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laraoblak/Downloads/"/>
    </mc:Choice>
  </mc:AlternateContent>
  <xr:revisionPtr revIDLastSave="0" documentId="13_ncr:1_{32B584B8-7A20-4C4A-90A3-4E70EBC66D99}" xr6:coauthVersionLast="45" xr6:coauthVersionMax="45" xr10:uidLastSave="{00000000-0000-0000-0000-000000000000}"/>
  <bookViews>
    <workbookView xWindow="0" yWindow="460" windowWidth="28800" windowHeight="15580" xr2:uid="{00000000-000D-0000-FFFF-FFFF00000000}"/>
  </bookViews>
  <sheets>
    <sheet name="animal.inclusions.s3" sheetId="3" r:id="rId1"/>
    <sheet name="human.inclusions.s3" sheetId="2" r:id="rId2"/>
  </sheets>
  <definedNames>
    <definedName name="_xlnm._FilterDatabase" localSheetId="1" hidden="1">'human.inclusions.s3'!$1:$421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85" i="2" l="1"/>
  <c r="AE200" i="2"/>
  <c r="BF528" i="3" l="1"/>
  <c r="BJ528" i="3"/>
  <c r="BF527" i="3"/>
  <c r="BJ527" i="3"/>
  <c r="BF526" i="3"/>
  <c r="BJ526" i="3"/>
  <c r="BF525" i="3"/>
  <c r="BJ525" i="3"/>
  <c r="BF524" i="3"/>
  <c r="BJ524" i="3"/>
  <c r="BF523" i="3"/>
  <c r="BJ523" i="3"/>
  <c r="BF522" i="3"/>
  <c r="BJ522" i="3"/>
  <c r="BF521" i="3"/>
  <c r="BJ521" i="3"/>
  <c r="BF520" i="3"/>
  <c r="BJ520" i="3"/>
  <c r="BF519" i="3"/>
  <c r="BJ519" i="3"/>
  <c r="BF518" i="3"/>
  <c r="BJ518" i="3"/>
  <c r="BF517" i="3"/>
  <c r="BJ517" i="3"/>
  <c r="BF516" i="3"/>
  <c r="BJ516" i="3"/>
  <c r="BF515" i="3"/>
  <c r="BJ515" i="3"/>
  <c r="BF514" i="3"/>
  <c r="BJ514" i="3"/>
  <c r="BF513" i="3"/>
  <c r="BJ513" i="3"/>
  <c r="BF512" i="3"/>
  <c r="BJ512" i="3"/>
  <c r="BF511" i="3"/>
  <c r="BJ511" i="3"/>
  <c r="BF510" i="3"/>
  <c r="BJ510" i="3"/>
  <c r="BF509" i="3"/>
  <c r="BJ509" i="3"/>
  <c r="BF508" i="3"/>
  <c r="BJ508" i="3"/>
  <c r="BF507" i="3"/>
  <c r="BJ507" i="3"/>
  <c r="BF506" i="3"/>
  <c r="BJ506" i="3"/>
  <c r="BF505" i="3"/>
  <c r="BJ505" i="3"/>
  <c r="BF504" i="3"/>
  <c r="BJ504" i="3"/>
  <c r="BF503" i="3"/>
  <c r="BJ503" i="3"/>
  <c r="BF502" i="3"/>
  <c r="BJ502" i="3"/>
  <c r="BF501" i="3"/>
  <c r="BJ501" i="3"/>
  <c r="BF500" i="3"/>
  <c r="BJ500" i="3"/>
  <c r="BF499" i="3"/>
  <c r="BJ499" i="3"/>
  <c r="BF498" i="3"/>
  <c r="BJ498" i="3"/>
  <c r="BF497" i="3"/>
  <c r="BJ497" i="3"/>
  <c r="BF496" i="3"/>
  <c r="BJ496" i="3"/>
  <c r="BF495" i="3"/>
  <c r="BJ495" i="3"/>
  <c r="BB120" i="2" l="1"/>
  <c r="BF120" i="2"/>
  <c r="AE183" i="2"/>
  <c r="AE182" i="2"/>
  <c r="AE420" i="2"/>
  <c r="AE419" i="2"/>
  <c r="AE418" i="2"/>
  <c r="AE417" i="2"/>
  <c r="AE416" i="2"/>
  <c r="AE415" i="2"/>
  <c r="AE414" i="2"/>
  <c r="AE365" i="2"/>
  <c r="AE364" i="2"/>
  <c r="AE363" i="2"/>
  <c r="AE362" i="2"/>
  <c r="AE361" i="2"/>
  <c r="AE359" i="2"/>
  <c r="AE358" i="2"/>
  <c r="AE357" i="2"/>
  <c r="AE356" i="2"/>
  <c r="AE355" i="2"/>
  <c r="AE354" i="2"/>
  <c r="AE353" i="2"/>
  <c r="AE352" i="2"/>
  <c r="AE351" i="2"/>
  <c r="AE350" i="2"/>
  <c r="AE347" i="2"/>
  <c r="AE346" i="2"/>
  <c r="AE345" i="2"/>
  <c r="AE344" i="2"/>
  <c r="AE343" i="2"/>
  <c r="AE313" i="2"/>
  <c r="AE312" i="2"/>
  <c r="AE311" i="2"/>
  <c r="AE310" i="2"/>
  <c r="AE309" i="2"/>
  <c r="AE307" i="2"/>
  <c r="AE306" i="2"/>
  <c r="AE305" i="2"/>
  <c r="AE304" i="2"/>
  <c r="AE303" i="2"/>
  <c r="AE251" i="2" l="1"/>
  <c r="AE250" i="2"/>
  <c r="AE232" i="2"/>
  <c r="AE211" i="2"/>
  <c r="AE210" i="2"/>
  <c r="AE229" i="2"/>
  <c r="AE228" i="2"/>
  <c r="AE227" i="2"/>
  <c r="AE174" i="2"/>
  <c r="AE173" i="2"/>
  <c r="AE172" i="2"/>
  <c r="AE171" i="2"/>
  <c r="AE170" i="2"/>
  <c r="AE169" i="2"/>
  <c r="AE168" i="2"/>
  <c r="AE167" i="2"/>
  <c r="AE166" i="2"/>
  <c r="AE165" i="2"/>
  <c r="AE164" i="2"/>
  <c r="AE147" i="2"/>
  <c r="AE146" i="2"/>
  <c r="AE145" i="2"/>
  <c r="BE147" i="2"/>
  <c r="BA147" i="2"/>
  <c r="BE146" i="2"/>
  <c r="BA146" i="2"/>
  <c r="BE145" i="2"/>
  <c r="BA145" i="2"/>
  <c r="BE144" i="2"/>
  <c r="BA144" i="2"/>
  <c r="AE117" i="2"/>
  <c r="AE116" i="2"/>
  <c r="AE115" i="2"/>
  <c r="AE114" i="2"/>
  <c r="AE113" i="2"/>
  <c r="AE50" i="2" l="1"/>
  <c r="AE51" i="2"/>
  <c r="AE411" i="2" l="1"/>
  <c r="AE409" i="2"/>
  <c r="AE408" i="2"/>
  <c r="AE407" i="2"/>
  <c r="AE406" i="2"/>
  <c r="AE405" i="2"/>
  <c r="AE402" i="2"/>
  <c r="AE401" i="2"/>
  <c r="AE400" i="2"/>
  <c r="AE399" i="2"/>
  <c r="AE398" i="2"/>
  <c r="AE396" i="2"/>
  <c r="AE395" i="2"/>
  <c r="AE394" i="2"/>
  <c r="AE381" i="2" l="1"/>
  <c r="AE382" i="2"/>
  <c r="AE383" i="2"/>
  <c r="AE384" i="2"/>
  <c r="AE385" i="2"/>
  <c r="AE386" i="2"/>
  <c r="AE387" i="2"/>
  <c r="AE388" i="2"/>
  <c r="AE389" i="2"/>
  <c r="AE390" i="2"/>
  <c r="AE391" i="2"/>
  <c r="AE392" i="2"/>
  <c r="AE368" i="2"/>
  <c r="AE369" i="2"/>
  <c r="AE370" i="2"/>
  <c r="AE371" i="2"/>
  <c r="AE372" i="2"/>
  <c r="AE373" i="2"/>
  <c r="AE374" i="2"/>
  <c r="AE375" i="2"/>
  <c r="AE376" i="2"/>
  <c r="AE377" i="2"/>
  <c r="AE378" i="2"/>
  <c r="AE379" i="2"/>
  <c r="AE380" i="2"/>
  <c r="AE341" i="2"/>
  <c r="AE340" i="2"/>
  <c r="AE338" i="2"/>
  <c r="AE337" i="2"/>
  <c r="AE336" i="2"/>
  <c r="AE335" i="2"/>
  <c r="AE334" i="2"/>
  <c r="AE332" i="2"/>
  <c r="AE331" i="2"/>
  <c r="AE330" i="2"/>
  <c r="AE329" i="2"/>
  <c r="AE328" i="2"/>
  <c r="AE326" i="2"/>
  <c r="AE325" i="2"/>
  <c r="AE324" i="2"/>
  <c r="AE323" i="2"/>
  <c r="AE322" i="2"/>
  <c r="AE327" i="2"/>
  <c r="AE333" i="2"/>
  <c r="AE319" i="2"/>
  <c r="AE318" i="2"/>
  <c r="AE317" i="2"/>
  <c r="BB316" i="2"/>
  <c r="BF319" i="2"/>
  <c r="BF318" i="2"/>
  <c r="BF317" i="2"/>
  <c r="BF316" i="2"/>
  <c r="BB319" i="2"/>
  <c r="BB318" i="2"/>
  <c r="BB317" i="2"/>
  <c r="AE308" i="2"/>
  <c r="BB299" i="2"/>
  <c r="BB296" i="2"/>
  <c r="BF296" i="2"/>
  <c r="BF299" i="2"/>
  <c r="BF300" i="2"/>
  <c r="BB293" i="2"/>
  <c r="BB290" i="2"/>
  <c r="BF290" i="2"/>
  <c r="BF293" i="2"/>
  <c r="AE293" i="2"/>
  <c r="AE299" i="2"/>
  <c r="AE296" i="2"/>
  <c r="AE290" i="2"/>
  <c r="BB292" i="2"/>
  <c r="BB301" i="2"/>
  <c r="BB300" i="2"/>
  <c r="BB298" i="2"/>
  <c r="BB297" i="2"/>
  <c r="BF298" i="2"/>
  <c r="BF297" i="2"/>
  <c r="BF301" i="2"/>
  <c r="AE301" i="2"/>
  <c r="AE300" i="2"/>
  <c r="AE298" i="2"/>
  <c r="AE297" i="2"/>
  <c r="AE292" i="2"/>
  <c r="AE295" i="2"/>
  <c r="BB295" i="2"/>
  <c r="BB294" i="2"/>
  <c r="BB291" i="2"/>
  <c r="BF292" i="2"/>
  <c r="BF291" i="2"/>
  <c r="BF295" i="2"/>
  <c r="BF294" i="2"/>
  <c r="AE294" i="2"/>
  <c r="AE289" i="2"/>
  <c r="AE288" i="2"/>
  <c r="AE287" i="2"/>
  <c r="BE289" i="2"/>
  <c r="BE288" i="2"/>
  <c r="BE287" i="2"/>
  <c r="BE286" i="2"/>
  <c r="BA289" i="2"/>
  <c r="BA288" i="2"/>
  <c r="BA287" i="2"/>
  <c r="BA286" i="2"/>
  <c r="AE283" i="2"/>
  <c r="AE282" i="2"/>
  <c r="AE281" i="2"/>
  <c r="AE280" i="2"/>
  <c r="AE279" i="2"/>
  <c r="AE278" i="2"/>
  <c r="AE276" i="2"/>
  <c r="AE275" i="2"/>
  <c r="AE274" i="2"/>
  <c r="AE273" i="2"/>
  <c r="AE272" i="2"/>
  <c r="AE271" i="2"/>
  <c r="AE269" i="2"/>
  <c r="AE268" i="2"/>
  <c r="AE267" i="2"/>
  <c r="AE266" i="2"/>
  <c r="AE265" i="2"/>
  <c r="AE264" i="2"/>
  <c r="AE262" i="2"/>
  <c r="AE261" i="2"/>
  <c r="AE260" i="2"/>
  <c r="AE259" i="2"/>
  <c r="AE258" i="2"/>
  <c r="AE257" i="2"/>
  <c r="AE270" i="2"/>
  <c r="AE277" i="2"/>
  <c r="AE263" i="2"/>
  <c r="AE255" i="2"/>
  <c r="AE254" i="2"/>
  <c r="AE253" i="2"/>
  <c r="AE248" i="2"/>
  <c r="AE247" i="2"/>
  <c r="AE246" i="2"/>
  <c r="AE245" i="2"/>
  <c r="AE244" i="2"/>
  <c r="AE243" i="2"/>
  <c r="AE242" i="2"/>
  <c r="AE241" i="2"/>
  <c r="AE240" i="2"/>
  <c r="AE239" i="2"/>
  <c r="AE238" i="2"/>
  <c r="AE237" i="2"/>
  <c r="AE236" i="2"/>
  <c r="AE235" i="2"/>
  <c r="AE234" i="2"/>
  <c r="BE248" i="2"/>
  <c r="BE247" i="2"/>
  <c r="BE246" i="2"/>
  <c r="BE245" i="2"/>
  <c r="BA248" i="2"/>
  <c r="BA247" i="2"/>
  <c r="BA246" i="2"/>
  <c r="BA245" i="2"/>
  <c r="BE240" i="2"/>
  <c r="BE239" i="2"/>
  <c r="BE238" i="2"/>
  <c r="BE237" i="2"/>
  <c r="BA240" i="2"/>
  <c r="BA239" i="2"/>
  <c r="BA238" i="2"/>
  <c r="BA237" i="2"/>
  <c r="BE244" i="2"/>
  <c r="BE243" i="2"/>
  <c r="BE242" i="2"/>
  <c r="BE241" i="2"/>
  <c r="BE236" i="2"/>
  <c r="BE235" i="2"/>
  <c r="BE234" i="2"/>
  <c r="BE233" i="2"/>
  <c r="AZ244" i="2"/>
  <c r="BA244" i="2" s="1"/>
  <c r="BA243" i="2"/>
  <c r="BA242" i="2"/>
  <c r="BA241" i="2"/>
  <c r="AZ236" i="2"/>
  <c r="BA236" i="2" s="1"/>
  <c r="BA235" i="2"/>
  <c r="BA234" i="2"/>
  <c r="BA233" i="2"/>
  <c r="AE224" i="2"/>
  <c r="AE223" i="2"/>
  <c r="AE222" i="2"/>
  <c r="AE219" i="2"/>
  <c r="AE218" i="2"/>
  <c r="AE216" i="2"/>
  <c r="AE214" i="2"/>
  <c r="AE207" i="2"/>
  <c r="AE206" i="2"/>
  <c r="AE205" i="2"/>
  <c r="AE204" i="2"/>
  <c r="AE203" i="2"/>
  <c r="AE202" i="2"/>
  <c r="BF198" i="2"/>
  <c r="BB198" i="2"/>
  <c r="BB197" i="2"/>
  <c r="BF197" i="2"/>
  <c r="AE198" i="2"/>
  <c r="AE195" i="2"/>
  <c r="AE194" i="2"/>
  <c r="AE193" i="2"/>
  <c r="AE192" i="2"/>
  <c r="AE191" i="2"/>
  <c r="BF195" i="2"/>
  <c r="BF194" i="2"/>
  <c r="BF193" i="2"/>
  <c r="BB195" i="2"/>
  <c r="BB194" i="2"/>
  <c r="BB193" i="2"/>
  <c r="BF192" i="2"/>
  <c r="BF191" i="2"/>
  <c r="BF190" i="2"/>
  <c r="BB192" i="2"/>
  <c r="BB191" i="2"/>
  <c r="BB190" i="2"/>
  <c r="AE189" i="2"/>
  <c r="BA189" i="2"/>
  <c r="BA188" i="2"/>
  <c r="BE189" i="2"/>
  <c r="BE188" i="2"/>
  <c r="BB179" i="2" l="1"/>
  <c r="BF179" i="2"/>
  <c r="AE177" i="2"/>
  <c r="BB177" i="2"/>
  <c r="BF177" i="2"/>
  <c r="BB176" i="2"/>
  <c r="BF176" i="2"/>
  <c r="AE176" i="2"/>
  <c r="AE162" i="2"/>
  <c r="AE158" i="2"/>
  <c r="AE157" i="2"/>
  <c r="AE156" i="2"/>
  <c r="AE154" i="2"/>
  <c r="AE153" i="2"/>
  <c r="AE152" i="2"/>
  <c r="AE151" i="2"/>
  <c r="AE150" i="2"/>
  <c r="BB151" i="2"/>
  <c r="BB150" i="2"/>
  <c r="BB149" i="2"/>
  <c r="BF151" i="2"/>
  <c r="BF150" i="2"/>
  <c r="BF149" i="2"/>
  <c r="AE143" i="2"/>
  <c r="AE141" i="2"/>
  <c r="BA139" i="2"/>
  <c r="BE139" i="2"/>
  <c r="AE136" i="2"/>
  <c r="AE137" i="2"/>
  <c r="AE138" i="2"/>
  <c r="AE135" i="2"/>
  <c r="AE134" i="2"/>
  <c r="AE133" i="2"/>
  <c r="AE132" i="2"/>
  <c r="AE131" i="2"/>
  <c r="AE130" i="2"/>
  <c r="AE129" i="2"/>
  <c r="AE128" i="2"/>
  <c r="AE127" i="2"/>
  <c r="AE126" i="2"/>
  <c r="BA138" i="2"/>
  <c r="BA137" i="2"/>
  <c r="BA136" i="2"/>
  <c r="BA135" i="2"/>
  <c r="BE138" i="2"/>
  <c r="BE137" i="2"/>
  <c r="BE136" i="2"/>
  <c r="BE135" i="2"/>
  <c r="BA134" i="2"/>
  <c r="BA133" i="2"/>
  <c r="BA132" i="2"/>
  <c r="BA131" i="2"/>
  <c r="BE134" i="2"/>
  <c r="BE133" i="2"/>
  <c r="BE132" i="2"/>
  <c r="BE131" i="2"/>
  <c r="BA130" i="2"/>
  <c r="BA129" i="2"/>
  <c r="BA128" i="2"/>
  <c r="BA127" i="2"/>
  <c r="BE130" i="2"/>
  <c r="BE129" i="2"/>
  <c r="BE128" i="2"/>
  <c r="BE127" i="2"/>
  <c r="BA126" i="2"/>
  <c r="BA125" i="2"/>
  <c r="BE126" i="2"/>
  <c r="BE125" i="2"/>
  <c r="AE125" i="2"/>
  <c r="AE124" i="2"/>
  <c r="AE123" i="2"/>
  <c r="AE122" i="2"/>
  <c r="BA110" i="2"/>
  <c r="BE110" i="2"/>
  <c r="AE107" i="2"/>
  <c r="AE106" i="2"/>
  <c r="AE105" i="2"/>
  <c r="BB107" i="2"/>
  <c r="BB106" i="2"/>
  <c r="BF107" i="2"/>
  <c r="BF106" i="2"/>
  <c r="BB105" i="2"/>
  <c r="BB104" i="2"/>
  <c r="BF105" i="2"/>
  <c r="BF104" i="2"/>
  <c r="AE103"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4" i="2"/>
  <c r="AE108" i="2"/>
  <c r="AE109" i="2"/>
  <c r="AE110" i="2"/>
  <c r="AE111" i="2"/>
  <c r="AE112" i="2"/>
  <c r="AE118" i="2"/>
  <c r="AE119" i="2"/>
  <c r="AE120" i="2"/>
  <c r="AE121" i="2"/>
  <c r="AE139" i="2"/>
  <c r="AE140" i="2"/>
  <c r="AE142" i="2"/>
  <c r="AE144" i="2"/>
  <c r="AE148" i="2"/>
  <c r="AE149" i="2"/>
  <c r="AE155" i="2"/>
  <c r="AE159" i="2"/>
  <c r="AE160" i="2"/>
  <c r="AE161" i="2"/>
  <c r="AE175" i="2"/>
  <c r="AE178" i="2"/>
  <c r="AE179" i="2"/>
  <c r="AE180" i="2"/>
  <c r="AE163" i="2"/>
  <c r="AE185" i="2"/>
  <c r="AE187" i="2"/>
  <c r="AE188" i="2"/>
  <c r="AE190" i="2"/>
  <c r="AE196" i="2"/>
  <c r="AE197" i="2"/>
  <c r="AE199" i="2"/>
  <c r="AE201" i="2"/>
  <c r="AE209" i="2"/>
  <c r="AE212" i="2"/>
  <c r="AE213" i="2"/>
  <c r="AE215" i="2"/>
  <c r="AE217" i="2"/>
  <c r="AE220" i="2"/>
  <c r="AE221" i="2"/>
  <c r="AE225" i="2"/>
  <c r="AE226" i="2"/>
  <c r="AE230" i="2"/>
  <c r="AE231" i="2"/>
  <c r="AE233" i="2"/>
  <c r="AE249" i="2"/>
  <c r="AE252" i="2"/>
  <c r="AE256" i="2"/>
  <c r="AE284" i="2"/>
  <c r="AE286" i="2"/>
  <c r="AE291" i="2"/>
  <c r="AE302" i="2"/>
  <c r="AE314" i="2"/>
  <c r="AE315" i="2"/>
  <c r="AE316" i="2"/>
  <c r="AE320" i="2"/>
  <c r="AE321" i="2"/>
  <c r="AE339" i="2"/>
  <c r="AE342" i="2"/>
  <c r="AE348" i="2"/>
  <c r="AE349" i="2"/>
  <c r="AE360" i="2"/>
  <c r="AE366" i="2"/>
  <c r="AE367" i="2"/>
  <c r="AE393" i="2"/>
  <c r="AE397" i="2"/>
  <c r="AE403" i="2"/>
  <c r="AE404" i="2"/>
  <c r="AE410" i="2"/>
  <c r="AE412" i="2"/>
  <c r="AE413" i="2"/>
  <c r="AE77" i="2"/>
  <c r="AE73" i="2"/>
  <c r="BF72" i="2"/>
  <c r="BB72" i="2"/>
  <c r="AE72" i="2"/>
  <c r="AE71" i="2"/>
  <c r="AE70" i="2"/>
  <c r="AE69" i="2"/>
  <c r="AE68" i="2"/>
  <c r="AE64" i="2"/>
  <c r="AE65" i="2"/>
  <c r="AE66" i="2"/>
  <c r="AE67" i="2"/>
  <c r="AE63" i="2"/>
  <c r="AE62" i="2"/>
  <c r="AE61" i="2"/>
  <c r="AE60" i="2"/>
  <c r="AE59" i="2"/>
  <c r="AE58" i="2"/>
  <c r="AE57" i="2"/>
  <c r="AE56" i="2"/>
  <c r="AE55" i="2"/>
  <c r="AE54" i="2"/>
  <c r="AE53" i="2"/>
  <c r="AE52" i="2"/>
  <c r="BB45" i="2"/>
  <c r="BF45" i="2"/>
  <c r="AE49" i="2"/>
  <c r="AE48" i="2"/>
  <c r="AE47" i="2"/>
  <c r="AE46" i="2" l="1"/>
  <c r="AE45" i="2" l="1"/>
  <c r="AE44" i="2"/>
  <c r="AE43" i="2"/>
  <c r="AE42" i="2"/>
  <c r="AE41" i="2"/>
  <c r="AE40" i="2"/>
  <c r="BE38" i="2"/>
  <c r="AE38" i="2"/>
  <c r="AE39" i="2"/>
  <c r="BE36" i="2"/>
  <c r="BE37" i="2"/>
  <c r="BE39" i="2"/>
  <c r="BA39" i="2"/>
  <c r="BA38" i="2"/>
  <c r="BA37" i="2"/>
  <c r="BA36" i="2"/>
  <c r="AE37" i="2"/>
  <c r="AE36" i="2"/>
  <c r="AE35" i="2"/>
  <c r="AE34" i="2"/>
  <c r="AE33" i="2"/>
  <c r="AE32" i="2"/>
  <c r="AE31" i="2" l="1"/>
  <c r="AE30" i="2"/>
  <c r="AE29" i="2"/>
  <c r="BB28" i="2"/>
  <c r="BB27" i="2"/>
  <c r="BF28" i="2"/>
  <c r="BF27" i="2"/>
  <c r="AE28" i="2"/>
  <c r="AE27" i="2"/>
  <c r="AE26" i="2"/>
  <c r="AE25" i="2"/>
  <c r="AE24" i="2"/>
  <c r="AE23" i="2"/>
  <c r="AE22" i="2"/>
  <c r="AE21" i="2"/>
  <c r="AE20" i="2"/>
  <c r="AE19" i="2"/>
  <c r="AE18" i="2"/>
  <c r="AE17" i="2"/>
  <c r="AE16" i="2"/>
  <c r="AE15" i="2"/>
  <c r="AE14" i="2"/>
  <c r="AE13" i="2"/>
  <c r="AE12" i="2"/>
  <c r="AE11" i="2"/>
  <c r="AE10" i="2"/>
  <c r="AE9" i="2"/>
  <c r="AE8" i="2"/>
  <c r="AE7" i="2"/>
  <c r="AE6" i="2"/>
  <c r="AE5" i="2"/>
  <c r="AE4" i="2"/>
  <c r="BF8" i="2"/>
  <c r="BF7" i="2"/>
  <c r="BF6" i="2"/>
  <c r="BF5" i="2"/>
  <c r="BF4" i="2"/>
  <c r="BF3" i="2"/>
  <c r="AE3" i="2" l="1"/>
  <c r="BJ184" i="3" l="1"/>
  <c r="BJ183" i="3"/>
  <c r="BJ182" i="3"/>
  <c r="BJ181" i="3"/>
  <c r="BJ180" i="3"/>
  <c r="BJ179" i="3"/>
  <c r="BJ178" i="3"/>
  <c r="BJ177" i="3"/>
  <c r="BJ176" i="3"/>
  <c r="BJ175" i="3"/>
  <c r="BJ174" i="3"/>
  <c r="BJ173" i="3"/>
  <c r="BF184" i="3"/>
  <c r="BF183" i="3"/>
  <c r="BF182" i="3"/>
  <c r="BF181" i="3"/>
  <c r="BF180" i="3"/>
  <c r="BF179" i="3"/>
  <c r="BF178" i="3"/>
  <c r="BF177" i="3"/>
  <c r="BF176" i="3"/>
  <c r="BF175" i="3"/>
  <c r="BF174" i="3"/>
  <c r="BF173" i="3"/>
  <c r="BF436" i="3"/>
  <c r="BF435" i="3"/>
  <c r="BF434" i="3"/>
  <c r="BF433" i="3"/>
  <c r="BF432" i="3"/>
  <c r="BF431" i="3"/>
  <c r="BF430" i="3"/>
  <c r="BF429" i="3"/>
  <c r="BF428" i="3"/>
  <c r="BF427" i="3"/>
  <c r="BF426" i="3"/>
  <c r="BF425" i="3"/>
  <c r="BF424" i="3"/>
  <c r="BF423" i="3"/>
  <c r="BJ436" i="3"/>
  <c r="BJ435" i="3"/>
  <c r="BJ434" i="3"/>
  <c r="BJ433" i="3"/>
  <c r="BJ432" i="3"/>
  <c r="BJ431" i="3"/>
  <c r="BJ430" i="3"/>
  <c r="BF422" i="3"/>
  <c r="BF421" i="3"/>
  <c r="BF420" i="3"/>
  <c r="BF419" i="3"/>
  <c r="BF418" i="3"/>
  <c r="BJ429" i="3"/>
  <c r="BJ428" i="3"/>
  <c r="BJ427" i="3"/>
  <c r="BJ426" i="3"/>
  <c r="BJ425" i="3"/>
  <c r="BJ424" i="3"/>
  <c r="BJ423" i="3"/>
  <c r="BJ422" i="3"/>
  <c r="BJ421" i="3"/>
  <c r="BJ420" i="3"/>
  <c r="BJ419" i="3"/>
  <c r="BJ418" i="3"/>
  <c r="BJ417" i="3"/>
  <c r="BJ416" i="3"/>
  <c r="BF417" i="3"/>
  <c r="BF416" i="3"/>
  <c r="BF609" i="3"/>
  <c r="BJ609" i="3"/>
  <c r="BF608" i="3"/>
  <c r="BF607" i="3"/>
  <c r="BF606" i="3"/>
  <c r="BJ608" i="3"/>
  <c r="BJ607" i="3"/>
  <c r="BJ606" i="3"/>
  <c r="BF604" i="3"/>
  <c r="BJ604" i="3"/>
  <c r="BF587" i="3"/>
  <c r="BF586" i="3"/>
  <c r="BJ587" i="3"/>
  <c r="BJ586" i="3"/>
  <c r="BF582" i="3"/>
  <c r="BF581" i="3"/>
  <c r="BF580" i="3"/>
  <c r="BJ582" i="3"/>
  <c r="BJ581" i="3"/>
  <c r="BJ580" i="3"/>
  <c r="BF579" i="3"/>
  <c r="BF578" i="3"/>
  <c r="BF577" i="3"/>
  <c r="BJ579" i="3"/>
  <c r="BJ578" i="3"/>
  <c r="BJ577" i="3"/>
  <c r="BF576" i="3"/>
  <c r="BJ576" i="3"/>
  <c r="BF575" i="3"/>
  <c r="BJ575" i="3"/>
  <c r="BF574" i="3"/>
  <c r="BJ574" i="3"/>
  <c r="BF573" i="3"/>
  <c r="BJ573" i="3"/>
  <c r="BF572" i="3"/>
  <c r="BF571" i="3"/>
  <c r="BF570" i="3"/>
  <c r="BF569" i="3"/>
  <c r="BF568" i="3"/>
  <c r="BJ572" i="3"/>
  <c r="BJ571" i="3"/>
  <c r="BJ570" i="3"/>
  <c r="BJ569" i="3"/>
  <c r="BJ568" i="3"/>
  <c r="BF567" i="3"/>
  <c r="BJ567" i="3"/>
  <c r="BF566" i="3"/>
  <c r="BJ566" i="3"/>
  <c r="BF565" i="3"/>
  <c r="BJ565" i="3"/>
  <c r="BF564" i="3"/>
  <c r="BF563" i="3"/>
  <c r="BF562" i="3"/>
  <c r="BF561" i="3"/>
  <c r="BF560" i="3"/>
  <c r="BJ564" i="3"/>
  <c r="BJ563" i="3"/>
  <c r="BJ562" i="3"/>
  <c r="BJ561" i="3"/>
  <c r="BJ560" i="3"/>
  <c r="BF559" i="3"/>
  <c r="BJ559" i="3"/>
  <c r="BF558" i="3"/>
  <c r="BJ558" i="3"/>
  <c r="BF556" i="3"/>
  <c r="BF557" i="3"/>
  <c r="BJ557" i="3"/>
  <c r="BJ556" i="3"/>
  <c r="BF554" i="3"/>
  <c r="BJ554" i="3"/>
  <c r="BF553" i="3"/>
  <c r="BJ553" i="3"/>
  <c r="BF552" i="3"/>
  <c r="BJ552" i="3"/>
  <c r="BF551" i="3"/>
  <c r="BJ551" i="3"/>
  <c r="BF550" i="3"/>
  <c r="BJ550" i="3"/>
  <c r="BF549" i="3"/>
  <c r="BJ549" i="3"/>
  <c r="BF548" i="3"/>
  <c r="BJ548" i="3"/>
  <c r="BF547" i="3"/>
  <c r="BJ547" i="3"/>
  <c r="BF546" i="3"/>
  <c r="BJ546" i="3"/>
  <c r="BF545" i="3"/>
  <c r="BJ545" i="3"/>
  <c r="BF544" i="3"/>
  <c r="BF543" i="3"/>
  <c r="BJ544" i="3"/>
  <c r="BJ543" i="3"/>
  <c r="BF541" i="3"/>
  <c r="BJ541" i="3"/>
  <c r="BF540" i="3"/>
  <c r="BJ540" i="3"/>
  <c r="BF539" i="3"/>
  <c r="BJ539" i="3"/>
  <c r="BF537" i="3"/>
  <c r="BF536" i="3"/>
  <c r="BF535" i="3"/>
  <c r="BF534" i="3"/>
  <c r="BF533" i="3"/>
  <c r="BF532" i="3"/>
  <c r="BF531" i="3"/>
  <c r="BF530" i="3"/>
  <c r="BJ537" i="3"/>
  <c r="BJ536" i="3"/>
  <c r="BJ535" i="3"/>
  <c r="BJ534" i="3"/>
  <c r="BJ533" i="3"/>
  <c r="BJ532" i="3"/>
  <c r="BJ531" i="3"/>
  <c r="BJ530" i="3"/>
  <c r="BJ493" i="3"/>
  <c r="BJ492" i="3"/>
  <c r="BJ491" i="3"/>
  <c r="BJ490" i="3"/>
  <c r="BJ489" i="3"/>
  <c r="BJ488" i="3"/>
  <c r="BF493" i="3"/>
  <c r="BF492" i="3"/>
  <c r="BF491" i="3"/>
  <c r="BF490" i="3"/>
  <c r="BF489" i="3"/>
  <c r="BF488" i="3"/>
  <c r="BF487" i="3"/>
  <c r="BF486" i="3"/>
  <c r="BF485" i="3"/>
  <c r="BF484" i="3"/>
  <c r="BF483" i="3"/>
  <c r="BF482" i="3"/>
  <c r="BJ487" i="3"/>
  <c r="BJ486" i="3"/>
  <c r="BJ485" i="3"/>
  <c r="BJ484" i="3"/>
  <c r="BJ483" i="3"/>
  <c r="BJ482" i="3"/>
  <c r="BF480" i="3"/>
  <c r="BF481" i="3"/>
  <c r="BF479" i="3"/>
  <c r="BF478" i="3"/>
  <c r="BF477" i="3"/>
  <c r="BF476" i="3"/>
  <c r="BJ481" i="3"/>
  <c r="BJ480" i="3"/>
  <c r="BJ479" i="3"/>
  <c r="BJ478" i="3"/>
  <c r="BJ477" i="3"/>
  <c r="BJ476" i="3"/>
  <c r="BF474" i="3" l="1"/>
  <c r="BF475" i="3"/>
  <c r="BF472" i="3"/>
  <c r="BF473" i="3"/>
  <c r="BJ475" i="3"/>
  <c r="BJ473" i="3"/>
  <c r="BJ474" i="3"/>
  <c r="BJ472" i="3"/>
  <c r="BF471" i="3"/>
  <c r="BF470" i="3"/>
  <c r="BF469" i="3"/>
  <c r="BF468" i="3"/>
  <c r="BF467" i="3"/>
  <c r="BF466" i="3"/>
  <c r="BJ471" i="3"/>
  <c r="BJ470" i="3"/>
  <c r="BJ469" i="3"/>
  <c r="BJ468" i="3"/>
  <c r="BJ467" i="3"/>
  <c r="BJ466" i="3"/>
  <c r="BF465" i="3"/>
  <c r="BF464" i="3"/>
  <c r="BF463" i="3"/>
  <c r="BF462" i="3"/>
  <c r="BJ465" i="3"/>
  <c r="BJ464" i="3"/>
  <c r="BJ463" i="3"/>
  <c r="BJ462" i="3"/>
  <c r="BF461" i="3"/>
  <c r="BF460" i="3"/>
  <c r="BF459" i="3"/>
  <c r="BJ461" i="3"/>
  <c r="BJ460" i="3"/>
  <c r="BJ459" i="3"/>
  <c r="BF458" i="3"/>
  <c r="BF457" i="3"/>
  <c r="BF456" i="3"/>
  <c r="BF455" i="3"/>
  <c r="BF454" i="3"/>
  <c r="BJ458" i="3"/>
  <c r="BJ457" i="3"/>
  <c r="BJ456" i="3"/>
  <c r="BJ455" i="3"/>
  <c r="BJ454" i="3"/>
  <c r="BF453" i="3"/>
  <c r="BF452" i="3"/>
  <c r="BF451" i="3"/>
  <c r="BF450" i="3"/>
  <c r="BF449" i="3"/>
  <c r="BF448" i="3"/>
  <c r="BF447" i="3"/>
  <c r="BF446" i="3"/>
  <c r="BJ453" i="3"/>
  <c r="BJ452" i="3"/>
  <c r="BJ451" i="3"/>
  <c r="BJ450" i="3"/>
  <c r="BJ449" i="3"/>
  <c r="BJ448" i="3"/>
  <c r="BJ447" i="3"/>
  <c r="BJ446" i="3"/>
  <c r="BI445" i="3"/>
  <c r="BE445" i="3"/>
  <c r="BE442" i="3"/>
  <c r="BI442" i="3"/>
  <c r="BE444" i="3"/>
  <c r="BI444" i="3"/>
  <c r="BI443" i="3"/>
  <c r="BE443" i="3"/>
  <c r="BF440" i="3"/>
  <c r="BF439" i="3"/>
  <c r="BJ440" i="3"/>
  <c r="BJ439" i="3"/>
  <c r="BF438" i="3"/>
  <c r="BJ438" i="3"/>
  <c r="BF437" i="3"/>
  <c r="BJ437" i="3"/>
  <c r="BF415" i="3"/>
  <c r="BF414" i="3"/>
  <c r="BJ415" i="3"/>
  <c r="BJ414" i="3"/>
  <c r="BF413" i="3"/>
  <c r="BF412" i="3"/>
  <c r="BF411" i="3"/>
  <c r="BJ413" i="3"/>
  <c r="BJ412" i="3"/>
  <c r="BJ411" i="3"/>
  <c r="BF410" i="3"/>
  <c r="BF409" i="3"/>
  <c r="BJ410" i="3"/>
  <c r="BJ409" i="3"/>
  <c r="BF407" i="3"/>
  <c r="BF406" i="3"/>
  <c r="BF405" i="3"/>
  <c r="BF404" i="3"/>
  <c r="BJ407" i="3"/>
  <c r="BJ406" i="3"/>
  <c r="BJ403" i="3"/>
  <c r="BJ405" i="3"/>
  <c r="BJ404" i="3"/>
  <c r="BF403" i="3"/>
  <c r="BF402" i="3"/>
  <c r="BF401" i="3"/>
  <c r="BF400" i="3"/>
  <c r="BJ402" i="3"/>
  <c r="BJ401" i="3"/>
  <c r="BJ400" i="3"/>
  <c r="BF399" i="3"/>
  <c r="BF398" i="3"/>
  <c r="BF397" i="3"/>
  <c r="BF396" i="3"/>
  <c r="BJ399" i="3"/>
  <c r="BJ398" i="3"/>
  <c r="BJ397" i="3"/>
  <c r="BJ396" i="3"/>
  <c r="BF395" i="3"/>
  <c r="BF394" i="3"/>
  <c r="BF393" i="3"/>
  <c r="BF392" i="3"/>
  <c r="BJ395" i="3"/>
  <c r="BJ394" i="3"/>
  <c r="BJ393" i="3"/>
  <c r="BJ392" i="3"/>
  <c r="BF391" i="3" l="1"/>
  <c r="BF390" i="3"/>
  <c r="BF389" i="3"/>
  <c r="BJ391" i="3"/>
  <c r="BJ390" i="3"/>
  <c r="BJ389" i="3"/>
  <c r="BF388" i="3"/>
  <c r="BF387" i="3"/>
  <c r="BF386" i="3"/>
  <c r="BJ388" i="3"/>
  <c r="BJ387" i="3"/>
  <c r="BJ386" i="3"/>
  <c r="BF385" i="3"/>
  <c r="BF384" i="3"/>
  <c r="BF383" i="3"/>
  <c r="BJ385" i="3"/>
  <c r="BJ384" i="3"/>
  <c r="BJ383" i="3"/>
  <c r="BF382" i="3"/>
  <c r="BF381" i="3"/>
  <c r="BF380" i="3"/>
  <c r="BJ382" i="3"/>
  <c r="BJ381" i="3"/>
  <c r="BJ380" i="3"/>
  <c r="BF379" i="3"/>
  <c r="BF378" i="3"/>
  <c r="BF377" i="3"/>
  <c r="BJ379" i="3"/>
  <c r="BJ378" i="3"/>
  <c r="BJ377" i="3"/>
  <c r="BF376" i="3"/>
  <c r="BF375" i="3"/>
  <c r="BF374" i="3"/>
  <c r="BJ376" i="3"/>
  <c r="BJ375" i="3"/>
  <c r="BJ374" i="3"/>
  <c r="BF372" i="3"/>
  <c r="BF371" i="3"/>
  <c r="BF370" i="3"/>
  <c r="BJ372" i="3"/>
  <c r="BJ371" i="3"/>
  <c r="BJ370" i="3"/>
  <c r="BF369" i="3"/>
  <c r="BF368" i="3"/>
  <c r="BJ369" i="3"/>
  <c r="BJ368" i="3"/>
  <c r="BF367" i="3"/>
  <c r="BF366" i="3"/>
  <c r="BF365" i="3"/>
  <c r="BJ367" i="3"/>
  <c r="BJ366" i="3"/>
  <c r="BJ365" i="3"/>
  <c r="BF364" i="3"/>
  <c r="BF363" i="3"/>
  <c r="BF362" i="3"/>
  <c r="BJ364" i="3"/>
  <c r="BJ363" i="3"/>
  <c r="BJ362" i="3"/>
  <c r="BF361" i="3"/>
  <c r="BF360" i="3"/>
  <c r="BF359" i="3"/>
  <c r="BF358" i="3"/>
  <c r="BF357" i="3"/>
  <c r="BF356" i="3"/>
  <c r="BJ361" i="3"/>
  <c r="BJ360" i="3"/>
  <c r="BJ359" i="3"/>
  <c r="BJ358" i="3"/>
  <c r="BJ357" i="3"/>
  <c r="BJ356" i="3"/>
  <c r="BF355" i="3"/>
  <c r="BJ355" i="3"/>
  <c r="BF354" i="3"/>
  <c r="BJ354" i="3"/>
  <c r="BF353" i="3"/>
  <c r="BF352" i="3"/>
  <c r="BJ353" i="3"/>
  <c r="BJ352" i="3"/>
  <c r="BF351" i="3"/>
  <c r="BF350" i="3"/>
  <c r="BF349" i="3"/>
  <c r="BJ351" i="3"/>
  <c r="BJ350" i="3"/>
  <c r="BJ349" i="3"/>
  <c r="BJ347" i="3"/>
  <c r="BF347" i="3"/>
  <c r="BF346" i="3"/>
  <c r="BJ346" i="3"/>
  <c r="BE343" i="3"/>
  <c r="BJ343" i="3"/>
  <c r="BE341" i="3"/>
  <c r="BI341" i="3"/>
  <c r="BE340" i="3"/>
  <c r="BE339" i="3"/>
  <c r="BE338" i="3"/>
  <c r="BE337" i="3"/>
  <c r="BE336" i="3"/>
  <c r="BE335" i="3"/>
  <c r="BI340" i="3"/>
  <c r="BI339" i="3"/>
  <c r="BI338" i="3"/>
  <c r="BI337" i="3"/>
  <c r="BI336" i="3"/>
  <c r="BI335" i="3"/>
  <c r="BF334" i="3"/>
  <c r="BJ334" i="3"/>
  <c r="BF333" i="3"/>
  <c r="BJ333" i="3"/>
  <c r="BF330" i="3"/>
  <c r="BF329" i="3"/>
  <c r="BF328" i="3"/>
  <c r="BJ330" i="3"/>
  <c r="BJ329" i="3"/>
  <c r="BJ328" i="3"/>
  <c r="BF327" i="3"/>
  <c r="BF326" i="3"/>
  <c r="BJ327" i="3"/>
  <c r="BJ326" i="3"/>
  <c r="BF325" i="3"/>
  <c r="BJ325" i="3"/>
  <c r="BF324" i="3"/>
  <c r="BF323" i="3"/>
  <c r="BF322" i="3"/>
  <c r="BF321" i="3"/>
  <c r="BJ324" i="3"/>
  <c r="BJ323" i="3"/>
  <c r="BJ322" i="3"/>
  <c r="BJ321" i="3"/>
  <c r="BF320" i="3"/>
  <c r="BJ320" i="3"/>
  <c r="BF319" i="3"/>
  <c r="BJ319" i="3"/>
  <c r="BF318" i="3"/>
  <c r="BJ318" i="3"/>
  <c r="BJ317" i="3"/>
  <c r="BJ316" i="3"/>
  <c r="BF317" i="3"/>
  <c r="BF316" i="3"/>
  <c r="BF315" i="3"/>
  <c r="BJ315" i="3"/>
  <c r="BF313" i="3"/>
  <c r="BF312" i="3"/>
  <c r="BF311" i="3"/>
  <c r="BF310" i="3"/>
  <c r="BF309" i="3"/>
  <c r="BJ313" i="3"/>
  <c r="BJ312" i="3"/>
  <c r="BJ311" i="3"/>
  <c r="BJ310" i="3"/>
  <c r="BJ309" i="3"/>
  <c r="BF308" i="3"/>
  <c r="BJ308" i="3"/>
  <c r="BF307" i="3"/>
  <c r="BJ307" i="3"/>
  <c r="BF306" i="3"/>
  <c r="BJ306" i="3"/>
  <c r="BF305" i="3"/>
  <c r="BJ305" i="3"/>
  <c r="BF304" i="3"/>
  <c r="BJ304" i="3"/>
  <c r="BF303" i="3"/>
  <c r="BF302" i="3"/>
  <c r="BF301" i="3"/>
  <c r="BF300" i="3"/>
  <c r="BJ303" i="3"/>
  <c r="BJ302" i="3"/>
  <c r="BJ301" i="3"/>
  <c r="BJ300" i="3"/>
  <c r="BF294" i="3"/>
  <c r="BF293" i="3"/>
  <c r="BF292" i="3"/>
  <c r="BF291" i="3"/>
  <c r="BJ294" i="3"/>
  <c r="BJ293" i="3"/>
  <c r="BJ292" i="3"/>
  <c r="BJ291" i="3"/>
  <c r="BF299" i="3"/>
  <c r="BF298" i="3"/>
  <c r="BF297" i="3"/>
  <c r="BJ299" i="3"/>
  <c r="BJ298" i="3"/>
  <c r="BJ297" i="3"/>
  <c r="BF290" i="3"/>
  <c r="BF289" i="3"/>
  <c r="BF288" i="3"/>
  <c r="BJ290" i="3"/>
  <c r="BJ289" i="3"/>
  <c r="BJ288" i="3"/>
  <c r="BF296" i="3"/>
  <c r="BF295" i="3"/>
  <c r="BJ296" i="3"/>
  <c r="BJ295" i="3"/>
  <c r="BF287" i="3"/>
  <c r="BF286" i="3"/>
  <c r="BJ287" i="3"/>
  <c r="BJ286" i="3"/>
  <c r="BE285" i="3"/>
  <c r="BE284" i="3"/>
  <c r="BE283" i="3"/>
  <c r="BE282" i="3"/>
  <c r="BE281" i="3"/>
  <c r="BI285" i="3"/>
  <c r="BI284" i="3"/>
  <c r="BI283" i="3"/>
  <c r="BI282" i="3"/>
  <c r="BI281" i="3"/>
  <c r="BF280" i="3"/>
  <c r="BJ280" i="3"/>
  <c r="BF279" i="3"/>
  <c r="BF278" i="3"/>
  <c r="BF277" i="3"/>
  <c r="BJ279" i="3"/>
  <c r="BJ278" i="3"/>
  <c r="BJ277" i="3"/>
  <c r="BF273" i="3"/>
  <c r="BF272" i="3"/>
  <c r="BJ273" i="3"/>
  <c r="BJ272" i="3"/>
  <c r="BF276" i="3"/>
  <c r="BF275" i="3"/>
  <c r="BF274" i="3"/>
  <c r="BJ276" i="3"/>
  <c r="BJ275" i="3"/>
  <c r="BJ274" i="3"/>
  <c r="BF269" i="3"/>
  <c r="BF268" i="3"/>
  <c r="BF267" i="3"/>
  <c r="BJ269" i="3"/>
  <c r="BJ268" i="3"/>
  <c r="BJ267" i="3"/>
  <c r="BJ266" i="3"/>
  <c r="BJ265" i="3"/>
  <c r="BF266" i="3"/>
  <c r="BF265" i="3"/>
  <c r="BF262" i="3"/>
  <c r="BF261" i="3"/>
  <c r="BF260" i="3"/>
  <c r="BF259" i="3"/>
  <c r="BF258" i="3"/>
  <c r="BF257" i="3"/>
  <c r="BF256" i="3"/>
  <c r="BJ262" i="3"/>
  <c r="BJ261" i="3"/>
  <c r="BJ260" i="3"/>
  <c r="BJ259" i="3"/>
  <c r="BJ258" i="3"/>
  <c r="BJ257" i="3"/>
  <c r="BJ256" i="3"/>
  <c r="BF255" i="3"/>
  <c r="BF254" i="3"/>
  <c r="BF253" i="3"/>
  <c r="BF252" i="3"/>
  <c r="BF251" i="3"/>
  <c r="BF250" i="3"/>
  <c r="BF249" i="3"/>
  <c r="BJ255" i="3"/>
  <c r="BJ254" i="3"/>
  <c r="BJ253" i="3"/>
  <c r="BJ252" i="3"/>
  <c r="BJ251" i="3"/>
  <c r="BJ250" i="3"/>
  <c r="BJ249" i="3"/>
  <c r="BF248" i="3"/>
  <c r="BJ248" i="3"/>
  <c r="BF247" i="3"/>
  <c r="BJ247" i="3"/>
  <c r="BF246" i="3"/>
  <c r="BJ246" i="3"/>
  <c r="BF243" i="3"/>
  <c r="BF245" i="3"/>
  <c r="BF244" i="3"/>
  <c r="BF242" i="3"/>
  <c r="BF241" i="3"/>
  <c r="BF240" i="3"/>
  <c r="BF239" i="3"/>
  <c r="BF238" i="3"/>
  <c r="BF237" i="3"/>
  <c r="BJ245" i="3"/>
  <c r="BJ244" i="3"/>
  <c r="BJ243" i="3"/>
  <c r="BJ242" i="3"/>
  <c r="BJ241" i="3"/>
  <c r="BJ240" i="3"/>
  <c r="BJ239" i="3"/>
  <c r="BJ238" i="3"/>
  <c r="BJ237" i="3"/>
  <c r="BF236" i="3"/>
  <c r="BJ236" i="3"/>
  <c r="BF234" i="3"/>
  <c r="BF233" i="3"/>
  <c r="BF232" i="3"/>
  <c r="BF231" i="3"/>
  <c r="BF230" i="3"/>
  <c r="BF229" i="3"/>
  <c r="BF228" i="3"/>
  <c r="BF227" i="3"/>
  <c r="BJ234" i="3"/>
  <c r="BJ233" i="3"/>
  <c r="BJ232" i="3"/>
  <c r="BJ231" i="3"/>
  <c r="BJ230" i="3"/>
  <c r="BJ229" i="3"/>
  <c r="BJ228" i="3"/>
  <c r="BJ227" i="3"/>
  <c r="BJ226" i="3"/>
  <c r="BJ225" i="3"/>
  <c r="BJ224" i="3"/>
  <c r="BJ223" i="3"/>
  <c r="BJ222" i="3"/>
  <c r="BJ221" i="3"/>
  <c r="BF226" i="3"/>
  <c r="BF225" i="3"/>
  <c r="BF223" i="3"/>
  <c r="BF222" i="3"/>
  <c r="BF224" i="3"/>
  <c r="BF221" i="3"/>
  <c r="BF220" i="3"/>
  <c r="BJ220" i="3"/>
  <c r="BF219" i="3"/>
  <c r="BJ219" i="3"/>
  <c r="BF218" i="3"/>
  <c r="BJ218" i="3"/>
  <c r="BE215" i="3"/>
  <c r="BE214" i="3"/>
  <c r="BE213" i="3"/>
  <c r="BE212" i="3"/>
  <c r="BE211" i="3"/>
  <c r="BI215" i="3"/>
  <c r="BI214" i="3"/>
  <c r="BI213" i="3"/>
  <c r="BI212" i="3"/>
  <c r="BI211" i="3"/>
  <c r="BF203" i="3"/>
  <c r="BF202" i="3"/>
  <c r="BJ203" i="3"/>
  <c r="BJ202" i="3"/>
  <c r="BF200" i="3"/>
  <c r="BJ200" i="3"/>
  <c r="BF199" i="3"/>
  <c r="BJ199" i="3"/>
  <c r="BF198" i="3"/>
  <c r="BJ198" i="3"/>
  <c r="BF197" i="3"/>
  <c r="BJ197" i="3"/>
  <c r="BF196" i="3"/>
  <c r="BJ196" i="3"/>
  <c r="BF195" i="3"/>
  <c r="BJ195" i="3"/>
  <c r="BF194" i="3"/>
  <c r="BJ194" i="3"/>
  <c r="BF193" i="3"/>
  <c r="BJ193" i="3"/>
  <c r="BF192" i="3"/>
  <c r="BJ192" i="3"/>
  <c r="BF191" i="3"/>
  <c r="BJ191" i="3"/>
  <c r="BF188" i="3"/>
  <c r="BF187" i="3"/>
  <c r="BF186" i="3"/>
  <c r="BF185" i="3"/>
  <c r="BJ188" i="3"/>
  <c r="BJ187" i="3"/>
  <c r="BJ186" i="3"/>
  <c r="BJ185" i="3"/>
  <c r="BF172" i="3"/>
  <c r="BJ172" i="3"/>
  <c r="BF171" i="3"/>
  <c r="BJ171" i="3"/>
  <c r="BF170" i="3"/>
  <c r="BJ170" i="3"/>
  <c r="BF169" i="3"/>
  <c r="BJ169" i="3"/>
  <c r="BF168" i="3"/>
  <c r="BJ168" i="3"/>
  <c r="BF167" i="3"/>
  <c r="BJ167" i="3"/>
  <c r="BF166" i="3"/>
  <c r="BJ166" i="3"/>
  <c r="BF165" i="3"/>
  <c r="BJ165" i="3"/>
  <c r="BF164" i="3"/>
  <c r="BJ164" i="3"/>
  <c r="BF163" i="3"/>
  <c r="BJ163" i="3"/>
  <c r="BF162" i="3"/>
  <c r="BJ162" i="3"/>
  <c r="BF161" i="3"/>
  <c r="BF160" i="3"/>
  <c r="BF159" i="3"/>
  <c r="BJ161" i="3"/>
  <c r="BJ160" i="3"/>
  <c r="BJ159" i="3"/>
  <c r="BF127" i="3"/>
  <c r="BF126" i="3"/>
  <c r="BJ127" i="3"/>
  <c r="BJ126" i="3"/>
  <c r="BF119" i="3"/>
  <c r="BF118" i="3"/>
  <c r="BJ119" i="3"/>
  <c r="BJ118" i="3"/>
  <c r="BF117" i="3"/>
  <c r="BJ117" i="3"/>
  <c r="BF116" i="3"/>
  <c r="BE45" i="3"/>
  <c r="BI45" i="3"/>
  <c r="BF20" i="3"/>
  <c r="BJ20" i="3"/>
  <c r="BI153" i="3"/>
  <c r="BE153" i="3"/>
  <c r="BF151" i="3"/>
  <c r="BJ151" i="3"/>
  <c r="BF152" i="3"/>
  <c r="BJ152" i="3"/>
  <c r="BF150" i="3"/>
  <c r="BJ150" i="3"/>
  <c r="BF149" i="3"/>
  <c r="BJ149" i="3"/>
  <c r="BF148" i="3"/>
  <c r="BF147" i="3"/>
  <c r="BJ148" i="3"/>
  <c r="BJ147" i="3"/>
  <c r="BF146" i="3"/>
  <c r="BF145" i="3"/>
  <c r="BJ146" i="3"/>
  <c r="BJ145" i="3"/>
  <c r="BF144" i="3"/>
  <c r="BF143" i="3"/>
  <c r="BJ144" i="3"/>
  <c r="BJ143" i="3"/>
  <c r="BJ142" i="3"/>
  <c r="BF142" i="3"/>
  <c r="BF141" i="3"/>
  <c r="BJ141" i="3"/>
  <c r="BF140" i="3"/>
  <c r="BJ140" i="3"/>
  <c r="BF139" i="3"/>
  <c r="BJ139" i="3"/>
  <c r="BF138" i="3"/>
  <c r="BJ138" i="3"/>
  <c r="BF137" i="3"/>
  <c r="BF136" i="3"/>
  <c r="BF135" i="3"/>
  <c r="BJ137" i="3"/>
  <c r="BJ136" i="3"/>
  <c r="BJ135" i="3"/>
  <c r="BF133" i="3"/>
  <c r="BF132" i="3"/>
  <c r="BF131" i="3"/>
  <c r="BJ133" i="3"/>
  <c r="BJ132" i="3"/>
  <c r="BJ131" i="3"/>
  <c r="BF130" i="3"/>
  <c r="BF129" i="3"/>
  <c r="BF128" i="3"/>
  <c r="BJ130" i="3"/>
  <c r="BJ129" i="3"/>
  <c r="BJ128" i="3"/>
  <c r="BF125" i="3"/>
  <c r="BF124" i="3"/>
  <c r="BF123" i="3"/>
  <c r="BJ125" i="3"/>
  <c r="BJ124" i="3"/>
  <c r="BJ123" i="3"/>
  <c r="BF122" i="3"/>
  <c r="BF121" i="3"/>
  <c r="BF120" i="3"/>
  <c r="BJ122" i="3"/>
  <c r="BJ121" i="3"/>
  <c r="BJ120" i="3"/>
  <c r="BF115" i="3"/>
  <c r="BJ115" i="3"/>
  <c r="BF114" i="3"/>
  <c r="BJ114" i="3"/>
  <c r="BF113" i="3"/>
  <c r="BF112" i="3"/>
  <c r="BF111" i="3"/>
  <c r="BF110" i="3"/>
  <c r="BF109" i="3"/>
  <c r="BJ113" i="3"/>
  <c r="BJ112" i="3"/>
  <c r="BJ111" i="3"/>
  <c r="BJ110" i="3"/>
  <c r="BJ109" i="3"/>
  <c r="BF108" i="3"/>
  <c r="BJ108" i="3"/>
  <c r="BF106" i="3"/>
  <c r="BJ106" i="3"/>
  <c r="BF105" i="3"/>
  <c r="BJ105" i="3"/>
  <c r="BF104" i="3"/>
  <c r="BJ104" i="3"/>
  <c r="BF103" i="3"/>
  <c r="BF102" i="3"/>
  <c r="BF101" i="3"/>
  <c r="BJ103" i="3"/>
  <c r="BJ102" i="3"/>
  <c r="BJ101" i="3"/>
  <c r="BF100" i="3"/>
  <c r="BJ100" i="3"/>
  <c r="BF99" i="3"/>
  <c r="BJ99" i="3"/>
  <c r="BF98" i="3"/>
  <c r="BJ98" i="3"/>
  <c r="BF97" i="3"/>
  <c r="BF96" i="3"/>
  <c r="BF95" i="3"/>
  <c r="BJ97" i="3"/>
  <c r="BJ96" i="3"/>
  <c r="BJ95" i="3"/>
  <c r="BF27" i="3"/>
  <c r="BF26" i="3"/>
  <c r="BF25" i="3"/>
  <c r="BJ27" i="3"/>
  <c r="BJ26" i="3"/>
  <c r="BJ25" i="3"/>
  <c r="BF94" i="3"/>
  <c r="BJ94" i="3"/>
  <c r="BF93" i="3"/>
  <c r="BF92" i="3"/>
  <c r="BF91" i="3"/>
  <c r="BF90" i="3"/>
  <c r="BJ93" i="3"/>
  <c r="BJ92" i="3"/>
  <c r="BJ91" i="3"/>
  <c r="BJ90" i="3"/>
  <c r="BD89" i="3"/>
  <c r="BF89" i="3" s="1"/>
  <c r="BJ89" i="3"/>
  <c r="BF88" i="3"/>
  <c r="BJ88" i="3"/>
  <c r="BF86" i="3"/>
  <c r="BJ86" i="3"/>
  <c r="BF85" i="3"/>
  <c r="BJ85" i="3"/>
  <c r="BF83" i="3"/>
  <c r="BJ83" i="3"/>
  <c r="BF82" i="3"/>
  <c r="BF81" i="3"/>
  <c r="BJ82" i="3"/>
  <c r="BJ81" i="3"/>
  <c r="BF80" i="3"/>
  <c r="BF79" i="3"/>
  <c r="BF78" i="3"/>
  <c r="BJ80" i="3"/>
  <c r="BJ79" i="3"/>
  <c r="BJ78" i="3"/>
  <c r="BF77" i="3"/>
  <c r="BF76" i="3"/>
  <c r="BF75" i="3"/>
  <c r="BJ77" i="3"/>
  <c r="BJ76" i="3"/>
  <c r="BJ75" i="3"/>
  <c r="BF71" i="3"/>
  <c r="BF70" i="3"/>
  <c r="BF69" i="3"/>
  <c r="BF68" i="3"/>
  <c r="BJ71" i="3"/>
  <c r="BJ70" i="3"/>
  <c r="BJ69" i="3"/>
  <c r="BJ68" i="3"/>
  <c r="BF67" i="3"/>
  <c r="BF66" i="3"/>
  <c r="BF65" i="3"/>
  <c r="BF64" i="3"/>
  <c r="BJ67" i="3"/>
  <c r="BJ66" i="3"/>
  <c r="BJ65" i="3"/>
  <c r="BJ64" i="3"/>
  <c r="BF63" i="3"/>
  <c r="BF62" i="3"/>
  <c r="BF61" i="3"/>
  <c r="BF60" i="3"/>
  <c r="BJ63" i="3"/>
  <c r="BJ62" i="3"/>
  <c r="BJ61" i="3"/>
  <c r="BJ60" i="3"/>
  <c r="BF59" i="3"/>
  <c r="BF58" i="3"/>
  <c r="BF57" i="3"/>
  <c r="BF56" i="3"/>
  <c r="BJ59" i="3"/>
  <c r="BJ58" i="3"/>
  <c r="BJ57" i="3"/>
  <c r="BJ56" i="3"/>
  <c r="BE55" i="3"/>
  <c r="BI55" i="3"/>
  <c r="BF54" i="3"/>
  <c r="BJ54" i="3"/>
  <c r="BF53" i="3"/>
  <c r="BJ53" i="3"/>
  <c r="BF52" i="3"/>
  <c r="BJ52" i="3"/>
  <c r="BF51" i="3"/>
  <c r="BF50" i="3"/>
  <c r="BF49" i="3"/>
  <c r="BJ51" i="3"/>
  <c r="BJ50" i="3"/>
  <c r="BJ49" i="3"/>
  <c r="BJ47" i="3"/>
  <c r="BF47" i="3"/>
  <c r="BJ46" i="3"/>
  <c r="BF46" i="3"/>
  <c r="BJ39" i="3"/>
  <c r="BJ38" i="3"/>
  <c r="BF39" i="3"/>
  <c r="BF38" i="3"/>
  <c r="BJ37" i="3"/>
  <c r="BJ36" i="3"/>
  <c r="BF37" i="3"/>
  <c r="BF36" i="3"/>
  <c r="BH35" i="3"/>
  <c r="BJ35" i="3" s="1"/>
  <c r="BJ34" i="3"/>
  <c r="BF35" i="3"/>
  <c r="BF34" i="3"/>
  <c r="BJ33" i="3" l="1"/>
  <c r="BJ32" i="3"/>
  <c r="BF33" i="3"/>
  <c r="BF32" i="3"/>
  <c r="BJ28" i="3"/>
  <c r="BF28" i="3"/>
  <c r="BJ21" i="3"/>
  <c r="BJ24" i="3"/>
  <c r="BJ23" i="3"/>
  <c r="BJ22" i="3"/>
  <c r="BF24" i="3"/>
  <c r="BF23" i="3"/>
  <c r="BF22" i="3"/>
  <c r="BF21" i="3"/>
  <c r="BF42" i="3" l="1"/>
  <c r="BJ42" i="3"/>
  <c r="BF41" i="3"/>
  <c r="BJ41" i="3"/>
  <c r="BJ40" i="3"/>
  <c r="BF40" i="3"/>
  <c r="BJ31" i="3"/>
  <c r="BF31" i="3"/>
  <c r="BF30" i="3"/>
  <c r="BJ30" i="3"/>
  <c r="BJ19" i="3" l="1"/>
  <c r="BF19" i="3"/>
  <c r="BF18" i="3"/>
  <c r="BJ18" i="3"/>
  <c r="BF17" i="3"/>
  <c r="BF16" i="3"/>
  <c r="BF15" i="3"/>
  <c r="BF14" i="3"/>
  <c r="BF13" i="3"/>
  <c r="BJ17" i="3"/>
  <c r="BJ16" i="3"/>
  <c r="BJ15" i="3"/>
  <c r="BJ14" i="3"/>
  <c r="BJ13" i="3"/>
  <c r="BJ12" i="3" l="1"/>
  <c r="AN11" i="3" l="1"/>
  <c r="AK11" i="3"/>
  <c r="AN9" i="3"/>
  <c r="AK9" i="3"/>
  <c r="AG9" i="3"/>
  <c r="AF9" i="3"/>
  <c r="AN8" i="3"/>
  <c r="AK8" i="3"/>
  <c r="AG8" i="3"/>
  <c r="AF8" i="3"/>
  <c r="AG10" i="3"/>
  <c r="AF10" i="3"/>
  <c r="AN10" i="3"/>
  <c r="AK10" i="3"/>
  <c r="AE6" i="3"/>
  <c r="AE5" i="3"/>
  <c r="AE4" i="3"/>
  <c r="AE3" i="3"/>
  <c r="AE2" i="3"/>
  <c r="AE9" i="3" l="1"/>
  <c r="AE8" i="3"/>
  <c r="AE10" i="3"/>
  <c r="AE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tc={AB92F1AF-BA8A-F044-9656-8151201AF0B0}</author>
  </authors>
  <commentList>
    <comment ref="AK44" authorId="0" shapeId="0" xr:uid="{AB92F1AF-BA8A-F044-9656-8151201AF0B0}">
      <text>
        <t>[Threaded comment]
Your version of Excel allows you to read this threaded comment; however, any edits to it will get removed if the file is opened in a newer version of Excel. Learn more: https://go.microsoft.com/fwlink/?linkid=870924
Comment:
    SD only given for PTSD+control combined</t>
      </text>
    </comment>
  </commentList>
</comments>
</file>

<file path=xl/sharedStrings.xml><?xml version="1.0" encoding="utf-8"?>
<sst xmlns="http://schemas.openxmlformats.org/spreadsheetml/2006/main" count="36269" uniqueCount="3901">
  <si>
    <t>PMID</t>
  </si>
  <si>
    <t>Title</t>
  </si>
  <si>
    <t>Authors</t>
  </si>
  <si>
    <t>Citation</t>
  </si>
  <si>
    <t>First Author</t>
  </si>
  <si>
    <t>Journal/Book</t>
  </si>
  <si>
    <t>Publication Year</t>
  </si>
  <si>
    <t>Create Date</t>
  </si>
  <si>
    <t>PMCID</t>
  </si>
  <si>
    <t>NIHMS ID</t>
  </si>
  <si>
    <t>DOI</t>
  </si>
  <si>
    <t>Screening_Human (1) of Animal (2)</t>
  </si>
  <si>
    <t>topic_to_read</t>
  </si>
  <si>
    <t>Criteria1_PTSD group / model</t>
  </si>
  <si>
    <t>Criteria2_healthy control group</t>
  </si>
  <si>
    <t>Criteria3_experimental studie</t>
  </si>
  <si>
    <t>Criteria4_adult subjects</t>
  </si>
  <si>
    <t>Criteria5_MemoryFC</t>
  </si>
  <si>
    <t>Criteria_5a behavioral measure</t>
  </si>
  <si>
    <t>Criteria_5b_post trauma measure (cases)</t>
  </si>
  <si>
    <t>Criteria_7_Availability</t>
  </si>
  <si>
    <t>inclusion.screening</t>
  </si>
  <si>
    <t>Data_Subjects_ResSus.split</t>
  </si>
  <si>
    <t>full.text.checked</t>
  </si>
  <si>
    <t>Screening_Notes_abstract screening</t>
  </si>
  <si>
    <t>Screening_Notes_full.screening</t>
  </si>
  <si>
    <t>Possible Long-Term Effects of Childhood Maltreatment on Cognitive Function in Adult Women With Posttraumatic Stress Disorder</t>
  </si>
  <si>
    <t>Nakayama M, Hori H, Itoh M, Lin M, Niwa M, Ino K, Imai R, Ogawa S, Sekiguchi A, Matsui M, Kunugi H, Kim Y.</t>
  </si>
  <si>
    <t>Front Psychiatry. 2020 Apr 24;11:344. doi: 10.3389/fpsyt.2020.00344. eCollection 2020.</t>
  </si>
  <si>
    <t>Nakayama M</t>
  </si>
  <si>
    <t>Front Psychiatry</t>
  </si>
  <si>
    <t>PMC7212372</t>
  </si>
  <si>
    <t>NA</t>
  </si>
  <si>
    <t>10.3389/fpsyt.2020.00344</t>
  </si>
  <si>
    <t>yes</t>
  </si>
  <si>
    <t>No robust differences in fear conditioning between patients with fear-related disorders and healthy controls</t>
  </si>
  <si>
    <t>P‚Äö√†√∂‚Äö√†√áhlchen D, Leuchs L, Binder FP, Blaskovich B, Nantawisarakul T, Topalidis P, Br‚Äö√†√∂¬¨‚à´ckl TM, Norrholm SD, Jovanovic T, Spoormaker VI; BeCOME working group.</t>
  </si>
  <si>
    <t>Behav Res Ther. 2020 Mar 29;129:103610. doi: 10.1016/j.brat.2020.103610. Online ahead of print.</t>
  </si>
  <si>
    <t>P‚Äö√†√∂‚Äö√†√áhlchen D</t>
  </si>
  <si>
    <t>Behav Res Ther</t>
  </si>
  <si>
    <t>10.1016/j.brat.2020.103610</t>
  </si>
  <si>
    <t>Neural correlates of conceptual-level fear generalization in posttraumatic stress disorder</t>
  </si>
  <si>
    <t>Morey RA, Haswell CC, Stjepanovi‚àÜ√≠‚àö¬∞ D; Mid-Atlantic MIRECC Workgroup,, Dunsmoor JE, LaBar KS.</t>
  </si>
  <si>
    <t>Neuropsychopharmacology. 2020 Jul;45(8):1380-1389. doi: 10.1038/s41386-020-0661-8. Epub 2020 Mar 28.</t>
  </si>
  <si>
    <t>Morey RA</t>
  </si>
  <si>
    <t>Neuropsychopharmacology</t>
  </si>
  <si>
    <t>10.1038/s41386-020-0661-8</t>
  </si>
  <si>
    <t>PTSD, but not history of mTBI, is associated with altered myelin in combat-exposed Iraq and Afghanistan Veterans</t>
  </si>
  <si>
    <t>Jak AJ, Jurick S, Hoffman S, Evangelista ND, Deford N, Keller A, Merritt VC, Sanderson-Cimino M, Sorg S, Delano-Wood L, Bangen KJ.</t>
  </si>
  <si>
    <t>Clin Neuropsychol. 2020 Mar 16:1-18. doi: 10.1080/13854046.2020.1730975. Online ahead of print.</t>
  </si>
  <si>
    <t>Jak AJ</t>
  </si>
  <si>
    <t>Clin Neuropsychol</t>
  </si>
  <si>
    <t>10.1080/13854046.2020.1730975</t>
  </si>
  <si>
    <t>The BDNF Val66Met polymorphism affects negative memory bias in civilian women with PTSD</t>
  </si>
  <si>
    <t>Hori H, Itoh M, Yoshida F, Lin M, Niwa M, Hakamata Y, Ino K, Imai R, Ogawa S, Matsui M, Kamo T, Kunugi H, Kim Y.</t>
  </si>
  <si>
    <t>Sci Rep. 2020 Feb 21;10(1):3151. doi: 10.1038/s41598-020-60096-1.</t>
  </si>
  <si>
    <t>Hori H</t>
  </si>
  <si>
    <t>Sci Rep</t>
  </si>
  <si>
    <t>PMC7035249</t>
  </si>
  <si>
    <t>10.1038/s41598-020-60096-1</t>
  </si>
  <si>
    <t>Exploring memory function in earthquake trauma survivors with resting-state fMRI and machine learning</t>
  </si>
  <si>
    <t>Li Y, Zhu H, Ren Z, Lui S, Yuan M, Gong Q, Yuan C, Gao M, Qiu C, Zhang W.</t>
  </si>
  <si>
    <t>BMC Psychiatry. 2020 Feb 3;20(1):43. doi: 10.1186/s12888-020-2452-5.</t>
  </si>
  <si>
    <t>Li Y</t>
  </si>
  <si>
    <t>BMC Psychiatry</t>
  </si>
  <si>
    <t>PMC6998246</t>
  </si>
  <si>
    <t>10.1186/s12888-020-2452-5</t>
  </si>
  <si>
    <t>yes?</t>
  </si>
  <si>
    <t>The temporal course of over-generalized conditioned threat expectancies in posttraumatic stress disorder</t>
  </si>
  <si>
    <t>Hammell AE, Helwig NE, Kaczkurkin AN, Sponheim SR, Lissek S.</t>
  </si>
  <si>
    <t>Behav Res Ther. 2020 Jan;124:103513. doi: 10.1016/j.brat.2019.103513. Epub 2019 Nov 9.</t>
  </si>
  <si>
    <t>Hammell AE</t>
  </si>
  <si>
    <t>PMC6941575</t>
  </si>
  <si>
    <t>NIHMS1547107</t>
  </si>
  <si>
    <t>10.1016/j.brat.2019.103513</t>
  </si>
  <si>
    <t>generalization over time ptsd!</t>
  </si>
  <si>
    <t>Inhibitory control of threat remembering in PTSD</t>
  </si>
  <si>
    <t>Tudorache AC, El-Hage W, Tapia G, Goutaudier N, Kalenzaga S, Bouazzaoui B, Jaafari N, Clarys D.</t>
  </si>
  <si>
    <t>Memory. 2019 Nov;27(10):1404-1414. doi: 10.1080/09658211.2019.1662053. Epub 2019 Sep 5.</t>
  </si>
  <si>
    <t>Tudorache AC</t>
  </si>
  <si>
    <t>Memory</t>
  </si>
  <si>
    <t>10.1080/09658211.2019.1662053</t>
  </si>
  <si>
    <t>Effects of hydrocortisone on autobiographical memory retrieval in patients with posttraumatic stress disorder and borderline personality disorder: the role of childhood trauma</t>
  </si>
  <si>
    <t>Metz S, Fleischer J, G‚Äö√†√∂¬¨√ürnter M, Golde S, Duesenberg M, Roepke S, Wolf OT, Otte C, Wingenfeld K.</t>
  </si>
  <si>
    <t>Neuropsychopharmacology. 2019 Nov;44(12):2038-2044. doi: 10.1038/s41386-019-0459-8. Epub 2019 Jul 6.</t>
  </si>
  <si>
    <t>Metz S</t>
  </si>
  <si>
    <t>PMC6898229</t>
  </si>
  <si>
    <t>10.1038/s41386-019-0459-8</t>
  </si>
  <si>
    <t>cort, memory, els, ptsd</t>
  </si>
  <si>
    <t>autobiografical memory task (AM), not behavior?</t>
  </si>
  <si>
    <t>Generalization of fear in post-traumatic stress disorder</t>
  </si>
  <si>
    <t>Lis S, Thome J, Kleindienst N, Mueller-Engelmann M, Steil R, Priebe K, Schmahl C, Hermans D, Bohus M.</t>
  </si>
  <si>
    <t>Psychophysiology. 2020 Jan;57(1):e13422. doi: 10.1111/psyp.13422. Epub 2019 Jun 17.</t>
  </si>
  <si>
    <t>Lis S</t>
  </si>
  <si>
    <t>Psychophysiology</t>
  </si>
  <si>
    <t>10.1111/psyp.13422</t>
  </si>
  <si>
    <t>fear gen in ptsd</t>
  </si>
  <si>
    <t>Using fMRI connectivity to define a treatment-resistant form of post-traumatic stress disorder</t>
  </si>
  <si>
    <t>Etkin A, Maron-Katz A, Wu W, Fonzo GA, Huemer J, V‚Äö√†√∂¬¨¬©rtes PE, Patenaude B, Richiardi J, Goodkind MS, Keller CJ, Ramos-Cejudo J, Zaiko YV, Peng KK, Shpigel E, Longwell P, Toll RT, Thompson A, Zack S, Gonzalez B, Edelstein R, Chen J, Akingbade I, Weiss E, Hart R, Mann S, Durkin K, Baete SH, Boada FE, Genfi A, Autea J, Newman J, Oathes DJ, Lindley SE, Abu-Amara D, Arnow BA, Crossley N, Hallmayer J, Fossati S, Rothbaum BO, Marmar CR, Bullmore ET, O'Hara R.</t>
  </si>
  <si>
    <t>Sci Transl Med. 2019 Apr 3;11(486):eaal3236. doi: 10.1126/scitranslmed.aal3236.</t>
  </si>
  <si>
    <t>Etkin A</t>
  </si>
  <si>
    <t>Sci Transl Med</t>
  </si>
  <si>
    <t>PMC6980337</t>
  </si>
  <si>
    <t>NIHMS1062539</t>
  </si>
  <si>
    <t>10.1126/scitranslmed.aal3236</t>
  </si>
  <si>
    <t>hc group?</t>
  </si>
  <si>
    <t>ptsd &amp; hc groups</t>
  </si>
  <si>
    <t>Memory bias and its association with memory function in women with posttraumatic stress disorder</t>
  </si>
  <si>
    <t>Itoh M, Hori H, Lin M, Niwa M, Ino K, Imai R, Ogawa S, Matsui M, Kamo T, Kim Y.</t>
  </si>
  <si>
    <t>J Affect Disord. 2019 Feb 15;245:461-467. doi: 10.1016/j.jad.2018.10.365. Epub 2018 Nov 2.</t>
  </si>
  <si>
    <t>Itoh M</t>
  </si>
  <si>
    <t>J Affect Disord</t>
  </si>
  <si>
    <t>10.1016/j.jad.2018.10.365</t>
  </si>
  <si>
    <t>Posttraumatic stress and autobiographical memory in chronic pain patients</t>
  </si>
  <si>
    <t>Siqveland J, Hauff E, Ruud T, Brennen TJ.</t>
  </si>
  <si>
    <t>Scand J Pain. 2019 Apr 24;19(2):337-343. doi: 10.1515/sjpain-2018-0044.</t>
  </si>
  <si>
    <t>Siqveland J</t>
  </si>
  <si>
    <t>Scand J Pain</t>
  </si>
  <si>
    <t>10.1515/sjpain-2018-0044</t>
  </si>
  <si>
    <t>ys</t>
  </si>
  <si>
    <t>15-cue-words version of the Autobiographical Memory Test (AMT); wel alll chronic pain patiens</t>
  </si>
  <si>
    <t>The neural dynamics of deficient memory control in heavily traumatized refugees</t>
  </si>
  <si>
    <t>Waldhauser GT, Dahl MJ, Ruf-Leuschner M, M‚Äö√†√∂¬¨‚à´ller-Bamouh V, Schauer M, Axmacher N, Elbert T, Hanslmayr S.</t>
  </si>
  <si>
    <t>Sci Rep. 2018 Sep 3;8(1):13132. doi: 10.1038/s41598-018-31400-x.</t>
  </si>
  <si>
    <t>Waldhauser GT</t>
  </si>
  <si>
    <t>PMC6120867</t>
  </si>
  <si>
    <t>10.1038/s41598-018-31400-x</t>
  </si>
  <si>
    <t>Earthquake brain: Impairment of spatial memory following long-term earthquake-related stress</t>
  </si>
  <si>
    <t>Bell CJ, Frampton CM, Colhoun HC, Douglas KM, McIntosh VV, Carter FA, Jordan J, Carter JD, Smith RA, Marie LM, Loughlin A, Porter RJ.</t>
  </si>
  <si>
    <t>Aust N Z J Psychiatry. 2019 Jan;53(1):37-47. doi: 10.1177/0004867418789498. Epub 2018 Jul 27.</t>
  </si>
  <si>
    <t>Bell CJ</t>
  </si>
  <si>
    <t>Aust N Z J Psychiatry</t>
  </si>
  <si>
    <t>10.1177/0004867418789498</t>
  </si>
  <si>
    <t>PTSD in women is associated with a block in conversion of progesterone to the GABAergic neurosteroids allopregnanolone and pregnanolone measured in plasma</t>
  </si>
  <si>
    <t>Pineles SL, Nillni YI, Pinna G, Irvine J, Webb A, Arditte Hall KA, Hauger R, Miller MW, Resick PA, Orr SP, Rasmusson AM.</t>
  </si>
  <si>
    <t>Psychoneuroendocrinology. 2018 Jul;93:133-141. doi: 10.1016/j.psyneuen.2018.04.024. Epub 2018 Apr 24.</t>
  </si>
  <si>
    <t>Pineles SL</t>
  </si>
  <si>
    <t>Psychoneuroendocrinology</t>
  </si>
  <si>
    <t>10.1016/j.psyneuen.2018.04.024</t>
  </si>
  <si>
    <t>The BDNF Val66Met polymorphism moderates the relationship between Posttraumatic Stress Disorder and fear extinction learning</t>
  </si>
  <si>
    <t>Felmingham KL, Zuj DV, Hsu KCM, Nicholson E, Palmer MA, Stuart K, Vickers JC, Malhi GS, Bryant RA.</t>
  </si>
  <si>
    <t>Psychoneuroendocrinology. 2018 May;91:142-148. doi: 10.1016/j.psyneuen.2018.03.002. Epub 2018 Mar 6.</t>
  </si>
  <si>
    <t>Felmingham KL</t>
  </si>
  <si>
    <t>10.1016/j.psyneuen.2018.03.002</t>
  </si>
  <si>
    <t>Cognitive function in Japanese women with posttraumatic stress disorder: Association with exercise habits</t>
  </si>
  <si>
    <t>Narita-Ohtaki R, Hori H, Itoh M, Lin M, Niwa M, Ino K, Imai R, Ogawa S, Sekiguchi A, Matsui M, Kunugi H, Kamo T, Kim Y.</t>
  </si>
  <si>
    <t>J Affect Disord. 2018 Aug 15;236:306-312. doi: 10.1016/j.jad.2018.02.061. Epub 2018 Feb 21.</t>
  </si>
  <si>
    <t>Narita-Ohtaki R</t>
  </si>
  <si>
    <t>10.1016/j.jad.2018.02.061</t>
  </si>
  <si>
    <t>Deficits in episodic memory and mental time travel in patients with post-traumatic stress disorder</t>
  </si>
  <si>
    <t>Zlomuzica A, Woud ML, Machulska A, Kleimt K, Dietrich L, Wolf OT, Assion HJ, Huston JP, De Souza Silva MA, Dere E, Margraf J.</t>
  </si>
  <si>
    <t>Prog Neuropsychopharmacol Biol Psychiatry. 2018 Apr 20;83:42-54. doi: 10.1016/j.pnpbp.2017.12.014. Epub 2017 Dec 26.</t>
  </si>
  <si>
    <t>Zlomuzica A</t>
  </si>
  <si>
    <t>Prog Neuropsychopharmacol Biol Psychiatry</t>
  </si>
  <si>
    <t>10.1016/j.pnpbp.2017.12.014</t>
  </si>
  <si>
    <t>Association between memory impairment and brain metabolite concentrations in North Korean refugees with posttraumatic stress disorder</t>
  </si>
  <si>
    <t>Shin JE, Choi CH, Lee JM, Kwon JS, Lee SH, Kim HC, Han NY, Choi SH, Yoo SY.</t>
  </si>
  <si>
    <t>PLoS One. 2017 Dec 7;12(12):e0188953. doi: 10.1371/journal.pone.0188953. eCollection 2017.</t>
  </si>
  <si>
    <t>Shin JE</t>
  </si>
  <si>
    <t>PLoS One</t>
  </si>
  <si>
    <t>PMC5720673</t>
  </si>
  <si>
    <t>10.1371/journal.pone.0188953</t>
  </si>
  <si>
    <t>spect. negative association between hippocampal NAA levels and delayed recall score on the auditory verbal learning test (≈í‚â§ = -1.744, p = 0.011) in the non-PTSD group, but not in the PTSD group</t>
  </si>
  <si>
    <t>Facilitated acquisition of the classically conditioned eyeblink response in active duty military expressing posttraumatic stress disorder symptoms</t>
  </si>
  <si>
    <t>Handy JD, Avcu P, Ko N, Ortiz A, Doria MJ, Servatius RJ.</t>
  </si>
  <si>
    <t>Behav Brain Res. 2018 Feb 26;339:106-113. doi: 10.1016/j.bbr.2017.11.014. Epub 2017 Nov 14.</t>
  </si>
  <si>
    <t>Handy JD</t>
  </si>
  <si>
    <t>Behav Brain Res</t>
  </si>
  <si>
    <t>10.1016/j.bbr.2017.11.014</t>
  </si>
  <si>
    <t>ptsd group?</t>
  </si>
  <si>
    <t>fig1 ptsd vs hc</t>
  </si>
  <si>
    <t>Posttraumatic Stress Disorder and Autobiographical Memories in Everyday Life</t>
  </si>
  <si>
    <t>Sch‚Äö√†√∂‚Äö√†√ánfeld S, Ehlers A.</t>
  </si>
  <si>
    <t>Clin Psychol Sci. 2017 Mar;5(2):325-340. doi: 10.1177/2167702616688878. Epub 2017 Mar 13.</t>
  </si>
  <si>
    <t>Sch‚Äö√†√∂‚Äö√†√ánfeld S</t>
  </si>
  <si>
    <t>Clin Psychol Sci</t>
  </si>
  <si>
    <t>PMC5528199</t>
  </si>
  <si>
    <t>10.1177/2167702616688878</t>
  </si>
  <si>
    <t>no</t>
  </si>
  <si>
    <t>memory task?</t>
  </si>
  <si>
    <t>autobiografical memory diary</t>
  </si>
  <si>
    <t>Susceptibility to traumatic stress sensitizes the dopaminergic response to cocaine and increases motivation for cocaine</t>
  </si>
  <si>
    <t>Brodnik ZD, Black EM, Clark MJ, Kornsey KN, Snyder NW, Espa‚Äö√†√∂¬¨¬±a RA.</t>
  </si>
  <si>
    <t>Neuropharmacology. 2017 Oct;125:295-307. doi: 10.1016/j.neuropharm.2017.07.032. Epub 2017 Aug 1.</t>
  </si>
  <si>
    <t>Brodnik ZD</t>
  </si>
  <si>
    <t>Neuropharmacology</t>
  </si>
  <si>
    <t>PMC5585061</t>
  </si>
  <si>
    <t>NIHMS898741</t>
  </si>
  <si>
    <t>10.1016/j.neuropharm.2017.07.032</t>
  </si>
  <si>
    <t>yes PSS</t>
  </si>
  <si>
    <t>?</t>
  </si>
  <si>
    <t>paper in human &amp; animal search</t>
  </si>
  <si>
    <t>Increased recruitment of cognitive control in the presence of traumatic stimuli in complex PTSD</t>
  </si>
  <si>
    <t>Herzog JI, Niedtfeld I, Rausch S, Thome J, Mueller-Engelmann M, Steil R, Priebe K, Bohus M, Schmahl C.</t>
  </si>
  <si>
    <t>Eur Arch Psychiatry Clin Neurosci. 2019 Mar;269(2):147-159. doi: 10.1007/s00406-017-0822-x. Epub 2017 Jul 15.</t>
  </si>
  <si>
    <t>Herzog JI</t>
  </si>
  <si>
    <t>Eur Arch Psychiatry Clin Neurosci</t>
  </si>
  <si>
    <t>10.1007/s00406-017-0822-x</t>
  </si>
  <si>
    <t>wel complex ptsd</t>
  </si>
  <si>
    <t>Newly acquired and reactivated contextual fear memories are more intense and prone to generalize after activation of prelimbic cortex NMDA receptors</t>
  </si>
  <si>
    <t>Vanvossen AC, Portes MAM, Scoz-Silva R, Reichmann HB, Stern CAJ, Bertoglio LJ.</t>
  </si>
  <si>
    <t>Neurobiol Learn Mem. 2017 Jan;137:154-162. doi: 10.1016/j.nlm.2016.12.002. Epub 2016 Dec 2.</t>
  </si>
  <si>
    <t>Vanvossen AC</t>
  </si>
  <si>
    <t>Neurobiol Learn Mem</t>
  </si>
  <si>
    <t>10.1016/j.nlm.2016.12.002</t>
  </si>
  <si>
    <t>NB not in animal search; prelimbic ctx = dACC; fear gen &amp; activatie dACC</t>
  </si>
  <si>
    <t>ptsd model?</t>
  </si>
  <si>
    <t>US 1mA</t>
  </si>
  <si>
    <t>Deficient fear extinction memory in posttraumatic stress disorder</t>
  </si>
  <si>
    <t>Wicking M, Steiger F, Nees F, Diener SJ, Grimm O, Ruttorf M, Schad LR, Winkelmann T, Wirtz G, Flor H.</t>
  </si>
  <si>
    <t>Neurobiol Learn Mem. 2016 Dec;136:116-126. doi: 10.1016/j.nlm.2016.09.016. Epub 2016 Sep 26.</t>
  </si>
  <si>
    <t>Wicking M</t>
  </si>
  <si>
    <t>10.1016/j.nlm.2016.09.016</t>
  </si>
  <si>
    <t>Neural Substrates of Overgeneralized Conditioned Fear in PTSD</t>
  </si>
  <si>
    <t>Kaczkurkin AN, Burton PC, Chazin SM, Manbeck AB, Espensen-Sturges T, Cooper SE, Sponheim SR, Lissek S.</t>
  </si>
  <si>
    <t>Am J Psychiatry. 2017 Feb 1;174(2):125-134. doi: 10.1176/appi.ajp.2016.15121549. Epub 2016 Oct 31.</t>
  </si>
  <si>
    <t>Kaczkurkin AN</t>
  </si>
  <si>
    <t>Am J Psychiatry</t>
  </si>
  <si>
    <t>PMC7269602</t>
  </si>
  <si>
    <t>NIHMS1590410</t>
  </si>
  <si>
    <t>10.1176/appi.ajp.2016.15121549</t>
  </si>
  <si>
    <t>Altered Pain Perception and Fear-Learning Deficits in Subjects With Posttraumatic Stress Disorder</t>
  </si>
  <si>
    <t>Jenewein J, Erni J, Moergeli H, Grillon C, Schumacher S, Mueller-Pfeiffer C, Hassanpour K, Seiler A, Wittmann L, Schnyder U, Hasler G.</t>
  </si>
  <si>
    <t>J Pain. 2016 Dec;17(12):1325-1333. doi: 10.1016/j.jpain.2016.09.002. Epub 2016 Sep 15.</t>
  </si>
  <si>
    <t>Jenewein J</t>
  </si>
  <si>
    <t>J Pain</t>
  </si>
  <si>
    <t>PMC5580085</t>
  </si>
  <si>
    <t>NIHMS900865</t>
  </si>
  <si>
    <t>10.1016/j.jpain.2016.09.002</t>
  </si>
  <si>
    <t>Neural changes in extinction recall following prolonged exposure treatment for PTSD: A longitudinal fMRI study</t>
  </si>
  <si>
    <t>Helpman L, Marin MF, Papini S, Zhu X, Sullivan GM, Schneier F, Neria M, Shvil E, Malaga Aragon MJ, Markowitz JC, Lindquist MA, Wager T, Milad M, Neria Y.</t>
  </si>
  <si>
    <t>Neuroimage Clin. 2016 Oct 10;12:715-723. doi: 10.1016/j.nicl.2016.10.007. eCollection 2016.</t>
  </si>
  <si>
    <t>Helpman L</t>
  </si>
  <si>
    <t>Neuroimage Clin</t>
  </si>
  <si>
    <t>PMC5065048</t>
  </si>
  <si>
    <t>10.1016/j.nicl.2016.10.007</t>
  </si>
  <si>
    <t>Acquisition of CS-US contingencies during Pavlovian fear conditioning and extinction in social anxiety disorder and posttraumatic stress disorder</t>
  </si>
  <si>
    <t>Rabinak CA, Mori S, Lyons M, Milad MR, Phan KL.</t>
  </si>
  <si>
    <t>J Affect Disord. 2017 Jan 1;207:76-85. doi: 10.1016/j.jad.2016.09.018. Epub 2016 Sep 23.</t>
  </si>
  <si>
    <t>Rabinak CA</t>
  </si>
  <si>
    <t>PMC6642659</t>
  </si>
  <si>
    <t>NIHMS1040685</t>
  </si>
  <si>
    <t>10.1016/j.jad.2016.09.018</t>
  </si>
  <si>
    <t>Reduced amygdala responsivity during conditioning to trauma-related stimuli in posttraumatic stress disorder</t>
  </si>
  <si>
    <t>Diener SJ, Nees F, Wessa M, Wirtz G, Frommberger U, Penga T, Ruttorf M, Ruf M, Schmahl C, Flor H.</t>
  </si>
  <si>
    <t>Psychophysiology. 2016 Oct;53(10):1460-71. doi: 10.1111/psyp.12699. Epub 2016 Jul 14.</t>
  </si>
  <si>
    <t>Diener SJ</t>
  </si>
  <si>
    <t>10.1111/psyp.12699</t>
  </si>
  <si>
    <t>Association of Resting Metabolism in the Fear Neural Network With Extinction Recall Activations and Clinical Measures in Trauma-Exposed Individuals</t>
  </si>
  <si>
    <t>Marin MF, Song H, VanElzakker MB, Staples-Bradley LK, Linnman C, Pace-Schott EF, Lasko NB, Shin LM, Milad MR.</t>
  </si>
  <si>
    <t>Am J Psychiatry. 2016 Sep 1;173(9):930-8. doi: 10.1176/appi.ajp.2015.14111460. Epub 2016 Feb 26.</t>
  </si>
  <si>
    <t>Marin MF</t>
  </si>
  <si>
    <t>10.1176/appi.ajp.2015.14111460</t>
  </si>
  <si>
    <t>Extinction retention and the menstrual cycle: Different associations for women with posttraumatic stress disorder</t>
  </si>
  <si>
    <t>Pineles SL, Nillni YI, King MW, Patton SC, Bauer MR, Mostoufi SM, Gerber MR, Hauger R, Resick PA, Rasmusson AM, Orr SP.</t>
  </si>
  <si>
    <t>J Abnorm Psychol. 2016 Apr;125(3):349-55. doi: 10.1037/abn0000138. Epub 2016 Feb 11.</t>
  </si>
  <si>
    <t>J Abnorm Psychol</t>
  </si>
  <si>
    <t>10.1037/abn0000138</t>
  </si>
  <si>
    <t>Breakdown of Inter-Hemispheric Connectivity Is Associated with Posttraumatic Symptomatology and Memory Impairment</t>
  </si>
  <si>
    <t>Saar-Ashkenazy R, Veksler R, Guez J, Jacob Y, Shelef I, Shalev H, Friedman A, Cohen JE.</t>
  </si>
  <si>
    <t>PLoS One. 2016 Feb 10;11(2):e0144766. doi: 10.1371/journal.pone.0144766. eCollection 2016.</t>
  </si>
  <si>
    <t>Saar-Ashkenazy R</t>
  </si>
  <si>
    <t>PMC4749292</t>
  </si>
  <si>
    <t>10.1371/journal.pone.0144766</t>
  </si>
  <si>
    <t>Fear learning circuitry is biased toward generalization of fear associations in posttraumatic stress disorder</t>
  </si>
  <si>
    <t>Morey RA, Dunsmoor JE, Haswell CC, Brown VM, Vora A, Weiner J, Stjepanovic D, Wagner HR 3rd; VA Mid-Atlantic MIRECC Workgroup, LaBar KS.</t>
  </si>
  <si>
    <t>Transl Psychiatry. 2015 Dec 15;5(12):e700. doi: 10.1038/tp.2015.196.</t>
  </si>
  <si>
    <t>Transl Psychiatry</t>
  </si>
  <si>
    <t>PMC5068591</t>
  </si>
  <si>
    <t>10.1038/tp.2015.196</t>
  </si>
  <si>
    <t>fear generalization in ptsd</t>
  </si>
  <si>
    <t>Behavioral and central correlates of contextual fear learning and contextual modulation of cued fear in posttraumatic stress disorder</t>
  </si>
  <si>
    <t>Steiger F, Nees F, Wicking M, Lang S, Flor H.</t>
  </si>
  <si>
    <t>Int J Psychophysiol. 2015 Dec;98(3 Pt 2):584-93. doi: 10.1016/j.ijpsycho.2015.06.009. Epub 2015 Jul 3.</t>
  </si>
  <si>
    <t>Steiger F</t>
  </si>
  <si>
    <t>Int J Psychophysiol</t>
  </si>
  <si>
    <t>10.1016/j.ijpsycho.2015.06.009</t>
  </si>
  <si>
    <t>impared fear contextualization in ptsd (contingency scores): cue / contex ptsd patients; more hipp activation during conditioning?;</t>
  </si>
  <si>
    <t>Failing to forget: inhibitory-control deficits compromise memory suppression in posttraumatic stress disorder</t>
  </si>
  <si>
    <t>Catarino A, K‚Äö√†√∂¬¨‚à´pper CS, Werner-Seidler A, Dalgleish T, Anderson MC.</t>
  </si>
  <si>
    <t>Psychol Sci. 2015 May;26(5):604-16. doi: 10.1177/0956797615569889. Epub 2015 Apr 6.</t>
  </si>
  <si>
    <t>Catarino A</t>
  </si>
  <si>
    <t>Psychol Sci</t>
  </si>
  <si>
    <t>PMC4426138</t>
  </si>
  <si>
    <t>10.1177/0956797615569889</t>
  </si>
  <si>
    <t>inhibitor control over memory</t>
  </si>
  <si>
    <t>yes Memory supression</t>
  </si>
  <si>
    <t>check task</t>
  </si>
  <si>
    <t>directed forgetting / remember</t>
  </si>
  <si>
    <t>The Effects of Mild Traumatic Brain Injury, Post-Traumatic Stress Disorder, and Combined Mild Traumatic Brain Injury/Post-Traumatic Stress Disorder on Returning Veterans</t>
  </si>
  <si>
    <t>Combs HL, Berry DT, Pape T, Babcock-Parziale J, Smith B, Schleenbaker R, Shandera-Ochsner A, Harp JP, High WM Jr.</t>
  </si>
  <si>
    <t>J Neurotrauma. 2015 Jul 1;32(13):956-66. doi: 10.1089/neu.2014.3585. Epub 2015 Feb 26.</t>
  </si>
  <si>
    <t>Combs HL</t>
  </si>
  <si>
    <t>J Neurotrauma</t>
  </si>
  <si>
    <t>PMC4492613</t>
  </si>
  <si>
    <t>10.1089/neu.2014.3585</t>
  </si>
  <si>
    <t>Impaired contextual modulation of memories in PTSD: an fMRI and psychophysiological study of extinction retention and fear renewal</t>
  </si>
  <si>
    <t>Garfinkel SN, Abelson JL, King AP, Sripada RK, Wang X, Gaines LM, Liberzon I.</t>
  </si>
  <si>
    <t>J Neurosci. 2014 Oct 1;34(40):13435-43. doi: 10.1523/JNEUROSCI.4287-13.2014.</t>
  </si>
  <si>
    <t>Garfinkel SN</t>
  </si>
  <si>
    <t>J Neurosci</t>
  </si>
  <si>
    <t>PMC4262698</t>
  </si>
  <si>
    <t>10.1523/JNEUROSCI.4287-13.2014</t>
  </si>
  <si>
    <t>contextualization of fear impaired in ptsd</t>
  </si>
  <si>
    <t>De novo fear conditioning across diagnostic groups in the affective disorders: evidence for learning impairments</t>
  </si>
  <si>
    <t>Otto MW, Moshier SJ, Kinner DG, Simon NM, Pollack MH, Orr SP.</t>
  </si>
  <si>
    <t>Behav Ther. 2014 Sep;45(5):619-29. doi: 10.1016/j.beth.2013.12.012. Epub 2014 Jan 5.</t>
  </si>
  <si>
    <t>Otto MW</t>
  </si>
  <si>
    <t>Behav Ther</t>
  </si>
  <si>
    <t>PMC4603557</t>
  </si>
  <si>
    <t>NIHMS638416</t>
  </si>
  <si>
    <t>10.1016/j.beth.2013.12.012</t>
  </si>
  <si>
    <t>ptsd group present; fig 1 ,2</t>
  </si>
  <si>
    <t>Autobiographical memory specificity in dissociative identity disorder</t>
  </si>
  <si>
    <t>Huntjens RJ, Wessel I, Hermans D, van Minnen A.</t>
  </si>
  <si>
    <t>J Abnorm Psychol. 2014 May;123(2):419-28. doi: 10.1037/a0036624.</t>
  </si>
  <si>
    <t>Huntjens RJ</t>
  </si>
  <si>
    <t>10.1037/a0036624</t>
  </si>
  <si>
    <t>yes am</t>
  </si>
  <si>
    <t>am</t>
  </si>
  <si>
    <t>Thermal signature of fear conditioning in mild post traumatic stress disorder</t>
  </si>
  <si>
    <t>Di Giacinto A, Brunetti M, Sepede G, Ferretti A, Merla A.</t>
  </si>
  <si>
    <t>Neuroscience. 2014 Apr 25;266:216-23. doi: 10.1016/j.neuroscience.2014.02.009. Epub 2014 Feb 20.</t>
  </si>
  <si>
    <t>Di Giacinto A</t>
  </si>
  <si>
    <t>Neuroscience</t>
  </si>
  <si>
    <t>10.1016/j.neuroscience.2014.02.009</t>
  </si>
  <si>
    <t>Reduced corpus-callosum volume in posttraumatic stress disorder highlights the importance of interhemispheric connectivity for associative memory</t>
  </si>
  <si>
    <t>Saar-Ashkenazy R, Cohen JE, Guez J, Gasho C, Shelef I, Friedman A, Shalev H.</t>
  </si>
  <si>
    <t>J Trauma Stress. 2014 Feb;27(1):18-26. doi: 10.1002/jts.21887. Epub 2014 Jan 28.</t>
  </si>
  <si>
    <t>J Trauma Stress</t>
  </si>
  <si>
    <t>10.1002/jts.21887</t>
  </si>
  <si>
    <t>left hemi: encoding; right hemi: retrieval; minder communicatie tussen helften in ptsd</t>
  </si>
  <si>
    <t>Directed forgetting in post-traumatic-stress-disorder: a study of refugee immigrants in Germany</t>
  </si>
  <si>
    <t>Baumann M, Zwissler B, Schalinski I, Ruf-Leuschner M, Schauer M, Kissler J.</t>
  </si>
  <si>
    <t>Front Behav Neurosci. 2013 Aug 7;7:94. doi: 10.3389/fnbeh.2013.00094. eCollection 2013.</t>
  </si>
  <si>
    <t>Baumann M</t>
  </si>
  <si>
    <t>Front Behav Neurosci</t>
  </si>
  <si>
    <t>PMC3736047</t>
  </si>
  <si>
    <t>10.3389/fnbeh.2013.00094</t>
  </si>
  <si>
    <t>Cortisol effects on autobiographic memory retrieval in PTSD: an analysis of word valence and time until retrieval</t>
  </si>
  <si>
    <t>Wingenfeld K, Driessen M, Schlosser N, Terfehr K, Carvalho Fernando S, Wolf OT.</t>
  </si>
  <si>
    <t>Stress. 2013 Sep;16(5):581-6. doi: 10.3109/10253890.2013.796925. Epub 2013 May 23.</t>
  </si>
  <si>
    <t>Wingenfeld K</t>
  </si>
  <si>
    <t>Stress</t>
  </si>
  <si>
    <t>10.3109/10253890.2013.796925</t>
  </si>
  <si>
    <t>√î¬™√∏The enhancing effect of cortisol on memory retrieval in PTSD seemed to be relatively independent of cue-word valence, while in the control group the impairing effects of cortisol were only seen in response to neutral cue-words</t>
  </si>
  <si>
    <t>Impact of posttraumatic stress disorder and depression on neuropsychological functioning in electrical injury survivors</t>
  </si>
  <si>
    <t>Grigorovich A, Gomez M, Leach L, Fish J.</t>
  </si>
  <si>
    <t>J Burn Care Res. 2013 Nov-Dec;34(6):659-65. doi: 10.1097/BCR.0b013e31827e5062.</t>
  </si>
  <si>
    <t>Grigorovich A</t>
  </si>
  <si>
    <t>J Burn Care Res</t>
  </si>
  <si>
    <t>10.1097/BCR.0b013e31827e5062</t>
  </si>
  <si>
    <t>Changes in intellect area in war veterans with developed PTSD</t>
  </si>
  <si>
    <t>Pavlovi‚àÜ√≠‚àö¬∞ S, Hasanovi‚àÜ√≠‚àö¬∞ M, Preli‚àÜ√≠‚àö¬∞ NK.</t>
  </si>
  <si>
    <t>Psychiatr Danub. 2012 Oct;24 Suppl 3:S377-83.</t>
  </si>
  <si>
    <t>Pavlovi‚àÜ√≠‚àö¬∞ S</t>
  </si>
  <si>
    <t>Psychiatr Danub</t>
  </si>
  <si>
    <t>Sleep disturbances and PTSD: a perpetual circle?</t>
  </si>
  <si>
    <t>van Liempt S.</t>
  </si>
  <si>
    <t>Eur J Psychotraumatol. 2012;3. doi: 10.3402/ejpt.v3i0.19142. Epub 2012 Oct 3.</t>
  </si>
  <si>
    <t>van Liempt S</t>
  </si>
  <si>
    <t>Eur J Psychotraumatol</t>
  </si>
  <si>
    <t>PMC3464455</t>
  </si>
  <si>
    <t>10.3402/ejpt.v3i0.19142</t>
  </si>
  <si>
    <t>Overgeneral autobiographical memory recollection in Iranian combat veterans with posttraumatic stress disorder</t>
  </si>
  <si>
    <t>Moradi AR, Abdi A, Fathi-Ashtiani A, Dalgleish T, Jobson L.</t>
  </si>
  <si>
    <t>Behav Res Ther. 2012 Jun;50(6):435-41. doi: 10.1016/j.brat.2012.03.009. Epub 2012 Apr 4.</t>
  </si>
  <si>
    <t>Moradi AR</t>
  </si>
  <si>
    <t>10.1016/j.brat.2012.03.009</t>
  </si>
  <si>
    <t>am &amp; wechsler</t>
  </si>
  <si>
    <t>Recollection of negative information in posttraumatic stress disorder</t>
  </si>
  <si>
    <t>Tapia G, Clarys D, Bugaiska A, El-Hage W.</t>
  </si>
  <si>
    <t>J Trauma Stress. 2012 Feb;25(1):120-3. doi: 10.1002/jts.21659. Epub 2012 Jan 25.</t>
  </si>
  <si>
    <t>Tapia G</t>
  </si>
  <si>
    <t>10.1002/jts.21659</t>
  </si>
  <si>
    <t>Cortisol has enhancing, rather than impairing effects on memory retrieval in PTSD</t>
  </si>
  <si>
    <t>Wingenfeld K, Driessen M, Terfehr K, Schlosser N, Fernando SC, Otte C, Beblo T, Spitzer C, L‚Äö√†√∂‚Äö√†√áwe B, Wolf OT.</t>
  </si>
  <si>
    <t>Psychoneuroendocrinology. 2012 Jul;37(7):1048-56. doi: 10.1016/j.psyneuen.2011.12.002. Epub 2011 Dec 22.</t>
  </si>
  <si>
    <t>10.1016/j.psyneuen.2011.12.002</t>
  </si>
  <si>
    <t>cort enhances retrieval memory ptsd (but reduced in HC)</t>
  </si>
  <si>
    <t>Memory control in post-traumatic stress disorder: evidence from item method directed forgetting in civil war victims in Northern Uganda</t>
  </si>
  <si>
    <t>Zwissler B, Hauswald A, Koessler S, Ertl V, Pfeiffer A, W‚Äö√†√∂‚Äö√†√áhrmann C, Winkler N, Kissler J.</t>
  </si>
  <si>
    <t>Psychol Med. 2012 Jun;42(6):1283-91. doi: 10.1017/S0033291711002273. Epub 2011 Oct 20.</t>
  </si>
  <si>
    <t>Zwissler B</t>
  </si>
  <si>
    <t>Psychol Med</t>
  </si>
  <si>
    <t>10.1017/S0033291711002273</t>
  </si>
  <si>
    <t>directed forgetting &amp; remember</t>
  </si>
  <si>
    <t>Tools for translational neuroscience: PTSD is associated with heightened fear responses using acoustic startle but not skin conductance measures</t>
  </si>
  <si>
    <t>Glover EM, Phifer JE, Crain DF, Norrholm SD, Davis M, Bradley B, Ressler KJ, Jovanovic T.</t>
  </si>
  <si>
    <t>Version 2. Depress Anxiety. 2011 Dec 21;28(12):1058-66. doi: 10.1002/da.20880. Epub 2011 Sep 2.</t>
  </si>
  <si>
    <t>Glover EM</t>
  </si>
  <si>
    <t>Depress Anxiety</t>
  </si>
  <si>
    <t>PMC3229665</t>
  </si>
  <si>
    <t>NIHMS316171</t>
  </si>
  <si>
    <t>10.1002/da.20880</t>
  </si>
  <si>
    <t>FPS increased in ptsd, SCR niet!</t>
  </si>
  <si>
    <t>Behaviorally inhibited temperament is associated with severity of post-traumatic stress disorder symptoms and faster eyeblink conditioning in veterans</t>
  </si>
  <si>
    <t>Myers CE, Vanmeenen KM, McAuley JD, Beck KD, Pang KC, Servatius RJ.</t>
  </si>
  <si>
    <t>Stress. 2012 Jan;15(1):31-44. doi: 10.3109/10253890.2011.578184. Epub 2011 Jul 26.</t>
  </si>
  <si>
    <t>Myers CE</t>
  </si>
  <si>
    <t>PMC3364604</t>
  </si>
  <si>
    <t>NIHMS374937</t>
  </si>
  <si>
    <t>10.3109/10253890.2011.578184</t>
  </si>
  <si>
    <t>bi &amp; traits -&gt; ptsd</t>
  </si>
  <si>
    <t>A specific deficit in spatial memory acquisition in post-traumatic stress disorder and the role of sleep in its consolidation</t>
  </si>
  <si>
    <t>Tempesta D, Mazza M, Iaria G, De Gennaro L, Ferrara M.</t>
  </si>
  <si>
    <t>Hippocampus. 2012 May;22(5):1154-63. doi: 10.1002/hipo.20961. Epub 2011 Jul 7.</t>
  </si>
  <si>
    <t>Tempesta D</t>
  </si>
  <si>
    <t>Hippocampus</t>
  </si>
  <si>
    <t>10.1002/hipo.20961</t>
  </si>
  <si>
    <t>spatial learning</t>
  </si>
  <si>
    <t>Changes in brain anatomy during the course of posttraumatic stress disorder</t>
  </si>
  <si>
    <t>Cardenas VA, Samuelson K, Lenoci M, Studholme C, Neylan TC, Marmar CR, Schuff N, Weiner MW.</t>
  </si>
  <si>
    <t>Psychiatry Res. 2011 Aug 30;193(2):93-100. doi: 10.1016/j.pscychresns.2011.01.013. Epub 2011 Jun 16.</t>
  </si>
  <si>
    <t>Cardenas VA</t>
  </si>
  <si>
    <t>Psychiatry Res</t>
  </si>
  <si>
    <t>PMC3175765</t>
  </si>
  <si>
    <t>NIHMS306335</t>
  </si>
  <si>
    <t>10.1016/j.pscychresns.2011.01.013</t>
  </si>
  <si>
    <t>Cortisol suppression by dexamethasone reduces exaggerated fear responses in posttraumatic stress disorder</t>
  </si>
  <si>
    <t>Jovanovic T, Phifer JE, Sicking K, Weiss T, Norrholm SD, Bradley B, Ressler KJ.</t>
  </si>
  <si>
    <t>Psychoneuroendocrinology. 2011 Nov;36(10):1540-52. doi: 10.1016/j.psyneuen.2011.04.008. Epub 2011 May 20.</t>
  </si>
  <si>
    <t>Jovanovic T</t>
  </si>
  <si>
    <t>PMC3686475</t>
  </si>
  <si>
    <t>NIHMS471220</t>
  </si>
  <si>
    <t>10.1016/j.psyneuen.2011.04.008</t>
  </si>
  <si>
    <t>Differential activity of subgenual cingulate and brainstem in panic disorder and PTSD</t>
  </si>
  <si>
    <t>Tuescher O, Protopopescu X, Pan H, Cloitre M, Butler T, Goldstein M, Root JC, Engelien A, Furman D, Silverman M, Yang Y, Gorman J, LeDoux J, Silbersweig D, Stern E.</t>
  </si>
  <si>
    <t>J Anxiety Disord. 2011 Mar;25(2):251-7. doi: 10.1016/j.janxdis.2010.09.010. Epub 2010 Nov 13.</t>
  </si>
  <si>
    <t>Tuescher O</t>
  </si>
  <si>
    <t>J Anxiety Disord</t>
  </si>
  <si>
    <t>PMC4096628</t>
  </si>
  <si>
    <t>NIHMS242541</t>
  </si>
  <si>
    <t>10.1016/j.janxdis.2010.09.010</t>
  </si>
  <si>
    <t>Cardiac coherence and posttraumatic stress disorder in combat veterans</t>
  </si>
  <si>
    <t>Ginsberg JP, Berry ME, Powell DA.</t>
  </si>
  <si>
    <t>Altern Ther Health Med. 2010 Jul-Aug;16(4):52-60.</t>
  </si>
  <si>
    <t>Ginsberg JP</t>
  </si>
  <si>
    <t>Altern Ther Health Med</t>
  </si>
  <si>
    <t>Impaired fear inhibition is a biomarker of PTSD but not depression</t>
  </si>
  <si>
    <t>Jovanovic T, Norrholm SD, Blanding NQ, Davis M, Duncan E, Bradley B, Ressler KJ.</t>
  </si>
  <si>
    <t>Depress Anxiety. 2010 Mar;27(3):244-51. doi: 10.1002/da.20663.</t>
  </si>
  <si>
    <t>PMC2841213</t>
  </si>
  <si>
    <t>NIHMS166503</t>
  </si>
  <si>
    <t>10.1002/da.20663</t>
  </si>
  <si>
    <t>Fear potentiation is associated with hypothalamic-pituitary-adrenal axis function in PTSD</t>
  </si>
  <si>
    <t>Jovanovic T, Norrholm SD, Blanding NQ, Phifer JE, Weiss T, Davis M, Duncan E, Bradley B, Ressler K.</t>
  </si>
  <si>
    <t>Psychoneuroendocrinology. 2010 Jul;35(6):846-57. doi: 10.1016/j.psyneuen.2009.11.009. Epub 2009 Dec 29.</t>
  </si>
  <si>
    <t>PMC2875386</t>
  </si>
  <si>
    <t>NIHMS162055</t>
  </si>
  <si>
    <t>10.1016/j.psyneuen.2009.11.009</t>
  </si>
  <si>
    <t>hpa+fps in ptsd</t>
  </si>
  <si>
    <t>Insular cortex involvement in declarative memory deficits in patients with post-traumatic stress disorder</t>
  </si>
  <si>
    <t>Chen S, Li L, Xu B, Liu J.</t>
  </si>
  <si>
    <t>BMC Psychiatry. 2009 Jun 18;9:39. doi: 10.1186/1471-244X-9-39.</t>
  </si>
  <si>
    <t>Chen S</t>
  </si>
  <si>
    <t>PMC2704184</t>
  </si>
  <si>
    <t>10.1186/1471-244X-9-39</t>
  </si>
  <si>
    <t>Posttraumatic stress disorder may be associated with impaired fear inhibition: relation to symptom severity</t>
  </si>
  <si>
    <t>Jovanovic T, Norrholm SD, Fennell JE, Keyes M, Fiallos AM, Myers KM, Davis M, Duncan EJ.</t>
  </si>
  <si>
    <t>Psychiatry Res. 2009 May 15;167(1-2):151-60. doi: 10.1016/j.psychres.2007.12.014. Epub 2009 Apr 5.</t>
  </si>
  <si>
    <t>PMC2713500</t>
  </si>
  <si>
    <t>NIHMS116175</t>
  </si>
  <si>
    <t>10.1016/j.psychres.2007.12.014</t>
  </si>
  <si>
    <t>Increased anxiety during anticipation of unpredictable aversive stimuli in posttraumatic stress disorder but not in generalized anxiety disorder</t>
  </si>
  <si>
    <t>Grillon C, Pine DS, Lissek S, Rabin S, Bonne O, Vythilingam M.</t>
  </si>
  <si>
    <t>Biol Psychiatry. 2009 Jul 1;66(1):47-53. doi: 10.1016/j.biopsych.2008.12.028. Epub 2009 Feb 12.</t>
  </si>
  <si>
    <t>Grillon C</t>
  </si>
  <si>
    <t>Biol Psychiatry</t>
  </si>
  <si>
    <t>PMC2696581</t>
  </si>
  <si>
    <t>NIHMS118533</t>
  </si>
  <si>
    <t>10.1016/j.biopsych.2008.12.028</t>
  </si>
  <si>
    <t>fc in ptsd &amp; gad</t>
  </si>
  <si>
    <t>Memory and prefrontal functions in earthquake survivors: differences between current and past post-traumatic stress disorder patients</t>
  </si>
  <si>
    <t>Eren-Ko‚Äö√†√∂‚àö√ºak E, Kili‚Äö√†√∂‚àö√º C, Aydin I, Hizli FG.</t>
  </si>
  <si>
    <t>Acta Psychiatr Scand. 2009 Jan;119(1):35-44. doi: 10.1111/j.1600-0447.2008.01281.x. Epub 2008 Oct 14.</t>
  </si>
  <si>
    <t>Eren-Ko‚Äö√†√∂‚àö√ºak E</t>
  </si>
  <si>
    <t>Acta Psychiatr Scand</t>
  </si>
  <si>
    <t>10.1111/j.1600-0447.2008.01281.x</t>
  </si>
  <si>
    <t>no ptsd, current ptsd, past ptsd &amp; verbal memory</t>
  </si>
  <si>
    <t>Disruption of bradycardia associated with discriminative conditioning in combat veterans with PTSD</t>
  </si>
  <si>
    <t>Ginsberg JP, Ayers E, Burriss L, Powell DA.</t>
  </si>
  <si>
    <t>Neuropsychiatr Dis Treat. 2008 Jun;4(3):635-46. doi: 10.2147/ndt.s2808.</t>
  </si>
  <si>
    <t>Neuropsychiatr Dis Treat</t>
  </si>
  <si>
    <t>PMC2526370</t>
  </si>
  <si>
    <t>10.2147/ndt.s2808</t>
  </si>
  <si>
    <t>Incidental retrieval of emotional contexts in post-traumatic stress disorder and depression: an fMRI study</t>
  </si>
  <si>
    <t>Whalley MG, Rugg MD, Smith AP, Dolan RJ, Brewin CR.</t>
  </si>
  <si>
    <t>Brain Cogn. 2009 Feb;69(1):98-107. doi: 10.1016/j.bandc.2008.05.008. Epub 2008 Jul 9.</t>
  </si>
  <si>
    <t>Whalley MG</t>
  </si>
  <si>
    <t>Brain Cogn</t>
  </si>
  <si>
    <t>PMC2666800</t>
  </si>
  <si>
    <t>10.1016/j.bandc.2008.05.008</t>
  </si>
  <si>
    <t>emotional &amp; neutral contexts</t>
  </si>
  <si>
    <t>Hippocampal function during associative learning in patients with posttraumatic stress disorder</t>
  </si>
  <si>
    <t>Werner NS, Meindl T, Engel RR, Rosner R, Riedel M, Reiser M, Fast K.</t>
  </si>
  <si>
    <t>J Psychiatr Res. 2009 Jan;43(3):309-18. doi: 10.1016/j.jpsychires.2008.03.011. Epub 2008 May 19.</t>
  </si>
  <si>
    <t>Werner NS</t>
  </si>
  <si>
    <t>J Psychiatr Res</t>
  </si>
  <si>
    <t>10.1016/j.jpsychires.2008.03.011</t>
  </si>
  <si>
    <t>Thinner prefrontal cortex in veterans with posttraumatic stress disorder</t>
  </si>
  <si>
    <t>Geuze E, Westenberg HG, Heinecke A, de Kloet CS, Goebel R, Vermetten E.</t>
  </si>
  <si>
    <t>Neuroimage. 2008 Jul 1;41(3):675-81. doi: 10.1016/j.neuroimage.2008.03.007. Epub 2008 Mar 20.</t>
  </si>
  <si>
    <t>Geuze E</t>
  </si>
  <si>
    <t>Neuroimage</t>
  </si>
  <si>
    <t>10.1016/j.neuroimage.2008.03.007</t>
  </si>
  <si>
    <t>Are Trauma Memories Disjointed from other Autobiographical Memories in Posttraumatic Stress Disorder? An Experimental Investigation</t>
  </si>
  <si>
    <t>Kleim B, Wallott F, Ehlers A.</t>
  </si>
  <si>
    <t>Behav Cogn Psychother. 2008 Mar;36(2):221-34. doi: 10.1017/S1352465807004080.</t>
  </si>
  <si>
    <t>Kleim B</t>
  </si>
  <si>
    <t>Behav Cogn Psychother</t>
  </si>
  <si>
    <t>PMC2889292</t>
  </si>
  <si>
    <t>10.1017/S1352465807004080</t>
  </si>
  <si>
    <t>yes (AMI baseline, during / after script more 'emotion induction')?</t>
  </si>
  <si>
    <t>AM</t>
  </si>
  <si>
    <t>Questions from Autobiographical memory Inventory (AMI; to prompt recent and remote memories e.g. ‚ÄúWhere did you spend last Christmas?‚Äù and ‚ÄúWhen you were a child, where did you live before you went to primary school?‚Äù)  1) before, 2) on'hotspot' sand 3) after autobiografic trauma vs negative event script (=script-driven imagery). latency (s) to answer on AMI is measured.</t>
  </si>
  <si>
    <t>Specificity of episodic and semantic aspects of autobiographical memory in relation to symptoms of posttraumatic stress disorder (PTSD)</t>
  </si>
  <si>
    <t>Moradi AR, Herlihy J, Yasseri G, Shahraray M, Turner S, Dalgleish T.</t>
  </si>
  <si>
    <t>Acta Psychol (Amst). 2008 Mar;127(3):645-53. doi: 10.1016/j.actpsy.2007.11.001. Epub 2008 Feb 14.</t>
  </si>
  <si>
    <t>Acta Psychol (Amst)</t>
  </si>
  <si>
    <t>10.1016/j.actpsy.2007.11.001</t>
  </si>
  <si>
    <t>ptsd less specific AM</t>
  </si>
  <si>
    <t>Precuneal activity during encoding in veterans with posttraumatic stress disorder</t>
  </si>
  <si>
    <t>Geuze E, Vermetten E, de Kloet CS, Westenberg HG.</t>
  </si>
  <si>
    <t>Prog Brain Res. 2008;167:293-7. doi: 10.1016/S0079-6123(07)67026-5.</t>
  </si>
  <si>
    <t>Prog Brain Res</t>
  </si>
  <si>
    <t>10.1016/S0079-6123(07)67026-5</t>
  </si>
  <si>
    <t>Social problem solving and autobiographical memory in posttraumatic stress disorder</t>
  </si>
  <si>
    <t>Sutherland K, Bryant RA.</t>
  </si>
  <si>
    <t>Behav Res Ther. 2008 Jan;46(1):154-61. doi: 10.1016/j.brat.2007.10.005. Epub 2007 Oct 13.</t>
  </si>
  <si>
    <t>Sutherland K</t>
  </si>
  <si>
    <t>10.1016/j.brat.2007.10.005</t>
  </si>
  <si>
    <t>Failure of extinction of fear responses in posttraumatic stress disorder: evidence from second-order conditioning</t>
  </si>
  <si>
    <t>Wessa M, Flor H.</t>
  </si>
  <si>
    <t>Am J Psychiatry. 2007 Nov;164(11):1684-92. doi: 10.1176/appi.ajp.2007.07030525.</t>
  </si>
  <si>
    <t>Wessa M</t>
  </si>
  <si>
    <t>10.1176/appi.ajp.2007.07030525</t>
  </si>
  <si>
    <t>PTSD psychiatric patients exhibit a deficit in remembering</t>
  </si>
  <si>
    <t>Tapia G, Clarys D, El Hage W, Belzung C, Isingrini M.</t>
  </si>
  <si>
    <t>Memory. 2007 Feb;15(2):145-53. doi: 10.1080/09658210601145965.</t>
  </si>
  <si>
    <t>10.1080/09658210601145965</t>
  </si>
  <si>
    <t>Autobiographical memory and the self-memory system in posttraumatic stress disorder</t>
  </si>
  <si>
    <t>J Anxiety Disord. 2008;22(3):555-60. doi: 10.1016/j.janxdis.2007.03.008. Epub 2007 Mar 19.</t>
  </si>
  <si>
    <t>10.1016/j.janxdis.2007.03.008</t>
  </si>
  <si>
    <t>Overgeneral memory and suppression of trauma memories in post-traumatic stress disorder</t>
  </si>
  <si>
    <t>Sch‚Äö√†√∂‚Äö√†√ánfeld S, Ehlers A, B‚Äö√†√∂‚Äö√†√állinghaus I, Rief W.</t>
  </si>
  <si>
    <t>Memory. 2007 Apr;15(3):339-52. doi: 10.1080/09658210701256571.</t>
  </si>
  <si>
    <t>10.1080/09658210701256571</t>
  </si>
  <si>
    <t>ogm over general memories</t>
  </si>
  <si>
    <t>Fear conditioning in posttraumatic stress disorder: evidence for delayed extinction of autonomic, experiential, and behavioural responses</t>
  </si>
  <si>
    <t>Blechert J, Michael T, Vriends N, Margraf J, Wilhelm FH.</t>
  </si>
  <si>
    <t>Behav Res Ther. 2007 Sep;45(9):2019-33. doi: 10.1016/j.brat.2007.02.012. Epub 2007 Mar 12.</t>
  </si>
  <si>
    <t>Blechert J</t>
  </si>
  <si>
    <t>10.1016/j.brat.2007.02.012</t>
  </si>
  <si>
    <t>Brain responses to symptom provocation and trauma-related short-term memory recall in coal mining accident survivors with acute severe PTSD</t>
  </si>
  <si>
    <t>Hou C, Liu J, Wang K, Li L, Liang M, He Z, Liu Y, Zhang Y, Li W, Jiang T.</t>
  </si>
  <si>
    <t>Brain Res. 2007 May 4;1144:165-74. doi: 10.1016/j.brainres.2007.01.089. Epub 2007 Jan 31.</t>
  </si>
  <si>
    <t>Hou C</t>
  </si>
  <si>
    <t>Brain Res</t>
  </si>
  <si>
    <t>10.1016/j.brainres.2007.01.089</t>
  </si>
  <si>
    <t>Overgeneral memory extends to pictorial retrieval cues and correlates with cognitive features in posttraumatic stress disorder</t>
  </si>
  <si>
    <t>Emotion. 2006 Nov;6(4):611-21. doi: 10.1037/1528-3542.6.4.611.</t>
  </si>
  <si>
    <t>Emotion</t>
  </si>
  <si>
    <t>10.1037/1528-3542.6.4.611</t>
  </si>
  <si>
    <t>OGM to pictures in ptsd</t>
  </si>
  <si>
    <t>AMT</t>
  </si>
  <si>
    <t>Longitudinal assessment of cognitive performance in Holocaust survivors with and without PTSD</t>
  </si>
  <si>
    <t>Yehuda R, Tischler L, Golier JA, Grossman R, Brand SR, Kaufman S, Harvey PD.</t>
  </si>
  <si>
    <t>Biol Psychiatry. 2006 Oct 1;60(7):714-21. doi: 10.1016/j.biopsych.2006.03.069.</t>
  </si>
  <si>
    <t>Yehuda R</t>
  </si>
  <si>
    <t>10.1016/j.biopsych.2006.03.069</t>
  </si>
  <si>
    <t>Trauma-related and neutral false memories in war-induced Posttraumatic Stress Disorder</t>
  </si>
  <si>
    <t>Brennen T, Dybdahl R, Kapidzi‚àÜ√≠‚àö¬∞ A.</t>
  </si>
  <si>
    <t>Conscious Cogn. 2007 Dec;16(4):877-85. doi: 10.1016/j.concog.2006.06.012. Epub 2006 Aug 9.</t>
  </si>
  <si>
    <t>Brennen T</t>
  </si>
  <si>
    <t>Conscious Cogn</t>
  </si>
  <si>
    <t>10.1016/j.concog.2006.06.012</t>
  </si>
  <si>
    <t>yes word list</t>
  </si>
  <si>
    <t>ook correct memory?</t>
  </si>
  <si>
    <t>20 word lists (war &amp; non-war) + immediate recall</t>
  </si>
  <si>
    <t>Verbal and nonverbal memory functioning in posttraumatic stress disorder (PTSD)</t>
  </si>
  <si>
    <t>Jelinek L, Jacobsen D, Kellner M, Larbig F, Biesold KH, Barre K, Moritz S.</t>
  </si>
  <si>
    <t>J Clin Exp Neuropsychol. 2006 Aug;28(6):940-8. doi: 10.1080/13803390591004347.</t>
  </si>
  <si>
    <t>Jelinek L</t>
  </si>
  <si>
    <t>J Clin Exp Neuropsychol</t>
  </si>
  <si>
    <t>10.1080/13803390591004347</t>
  </si>
  <si>
    <t>Combat veterans show normal discrimination during differential trace eyeblink conditioning, but increased responsivity to the conditioned and unconditioned stimulus</t>
  </si>
  <si>
    <t>Burriss L, Ayers E, Powell DA.</t>
  </si>
  <si>
    <t>J Psychiatr Res. 2007 Nov;41(9):785-94. doi: 10.1016/j.jpsychires.2006.04.004. Epub 2006 May 22.</t>
  </si>
  <si>
    <t>Burriss L</t>
  </si>
  <si>
    <t>10.1016/j.jpsychires.2006.04.004</t>
  </si>
  <si>
    <t>Retrieval and emotional processing of traumatic memories in posttraumatic stress disorder: peripheral and central correlates</t>
  </si>
  <si>
    <t>Wessa M, Jatzko A, Flor H.</t>
  </si>
  <si>
    <t>Neuropsychologia. 2006;44(10):1683-96. doi: 10.1016/j.neuropsychologia.2006.03.024. Epub 2006 May 22.</t>
  </si>
  <si>
    <t>Neuropsychologia</t>
  </si>
  <si>
    <t>10.1016/j.neuropsychologia.2006.03.024</t>
  </si>
  <si>
    <t>wechsler &amp; trauma-memory</t>
  </si>
  <si>
    <t>Morphometric and psychometric comparisons between non-substance-abusing patients with posttraumatic stress disorder and normal controls</t>
  </si>
  <si>
    <t>Emdad R, Bonekamp D, Sondergaard HP, Bjorklund T, Agartz I, Ingvar M, Theorell T.</t>
  </si>
  <si>
    <t>Psychother Psychosom. 2006;75(2):122-32. doi: 10.1159/000090897.</t>
  </si>
  <si>
    <t>Emdad R</t>
  </si>
  <si>
    <t>Psychother Psychosom</t>
  </si>
  <si>
    <t>10.1159/000090897</t>
  </si>
  <si>
    <t>Impaired memory and general intelligence related to severity and duration of patients' disease in Type A posttraumatic stress disorder</t>
  </si>
  <si>
    <t>Emdad R, S‚Äö√†√∂‚Äö√†√ándergaard HP.</t>
  </si>
  <si>
    <t>Behav Med. 2005 Summer;31(2):73-84. doi: 10.3200/BMED.31.2.73-86.</t>
  </si>
  <si>
    <t>Behav Med</t>
  </si>
  <si>
    <t>10.3200/BMED.31.2.73-86</t>
  </si>
  <si>
    <t>Hydrocortisone impairs hippocampal-dependent trace eyeblink conditioning in post-traumatic stress disorder</t>
  </si>
  <si>
    <t>Vythilingam M, Lawley M, Collin C, Bonne O, Agarwal R, Hadd K, Charney DS, Grillon C.</t>
  </si>
  <si>
    <t>Neuropsychopharmacology. 2006 Jan;31(1):182-8. doi: 10.1038/sj.npp.1300843.</t>
  </si>
  <si>
    <t>Vythilingam M</t>
  </si>
  <si>
    <t>10.1038/sj.npp.1300843</t>
  </si>
  <si>
    <t>hydrocort &amp;  trace conditioning in ptsd</t>
  </si>
  <si>
    <t>Positron emission tomographic imaging of neural correlates of a fear acquisition and extinction paradigm in women with childhood sexual-abuse-related post-traumatic stress disorder</t>
  </si>
  <si>
    <t>Bremner JD, Vermetten E, Schmahl C, Vaccarino V, Vythilingam M, Afzal N, Grillon C, Charney DS.</t>
  </si>
  <si>
    <t>Psychol Med. 2005 Jun;35(6):791-806. doi: 10.1017/s0033291704003290.</t>
  </si>
  <si>
    <t>Bremner JD</t>
  </si>
  <si>
    <t>PMC3233760</t>
  </si>
  <si>
    <t>NIHMS340171</t>
  </si>
  <si>
    <t>10.1017/s0033291704003290</t>
  </si>
  <si>
    <t>brain areas in FC &amp; extinction</t>
  </si>
  <si>
    <t>Smaller head of the hippocampus in Gulf War-related posttraumatic stress disorder</t>
  </si>
  <si>
    <t>Vythilingam M, Luckenbaugh DA, Lam T, Morgan CA 3rd, Lipschitz D, Charney DS, Bremner JD, Southwick SM.</t>
  </si>
  <si>
    <t>Psychiatry Res. 2005 Jul 30;139(2):89-99. doi: 10.1016/j.pscychresns.2005.04.003.</t>
  </si>
  <si>
    <t>10.1016/j.pscychresns.2005.04.003</t>
  </si>
  <si>
    <t>Directed forgetting in PTSD: a comparative study versus normal controls</t>
  </si>
  <si>
    <t>Cottencin O, Vaiva G, Huron C, Devos P, Ducrocq F, Jouvent R, Goudemand M, Thomas P.</t>
  </si>
  <si>
    <t>J Psychiatr Res. 2006 Feb;40(1):70-80. doi: 10.1016/j.jpsychires.2005.04.001.</t>
  </si>
  <si>
    <t>Cottencin O</t>
  </si>
  <si>
    <t>10.1016/j.jpsychires.2005.04.001</t>
  </si>
  <si>
    <t>yes (directed forgetting)</t>
  </si>
  <si>
    <t>directed forgetting (ook 'to remember tirals)</t>
  </si>
  <si>
    <t>Effects of dexamethasone on declarative memory function in posttraumatic stress disorder</t>
  </si>
  <si>
    <t>Bremner JD, Vythilingam M, Vermetten E, Afzal N, Nazeer A, Newcomer JW, Charney DS.</t>
  </si>
  <si>
    <t>Psychiatry Res. 2004 Nov 30;129(1):1-10. doi: 10.1016/j.psychres.2004.08.004.</t>
  </si>
  <si>
    <t>10.1016/j.psychres.2004.08.004</t>
  </si>
  <si>
    <t>hydrocort reduces memory in healthy pp, not in ptsd -&gt; altered sensitivity of memory to cort</t>
  </si>
  <si>
    <t>Hippocampal volume and memory performance in a community-based sample of women with posttraumatic stress disorder secondary to child abuse</t>
  </si>
  <si>
    <t>Pederson CL, Maurer SH, Kaminski PL, Zander KA, Peters CM, Stokes-Crowe LA, Osborn RE.</t>
  </si>
  <si>
    <t>J Trauma Stress. 2004 Feb;17(1):37-40. doi: 10.1023/B:JOTS.0000014674.84517.46.</t>
  </si>
  <si>
    <t>Pederson CL</t>
  </si>
  <si>
    <t>10.1023/B:JOTS.0000014674.84517.46</t>
  </si>
  <si>
    <t>yes (20-40)</t>
  </si>
  <si>
    <t>ptsd after els</t>
  </si>
  <si>
    <t>The psychophysiology of anxiety disorder: fear memory imagery</t>
  </si>
  <si>
    <t>Cuthbert BN, Lang PJ, Strauss C, Drobes D, Patrick CJ, Bradley MM.</t>
  </si>
  <si>
    <t>Psychophysiology. 2003 May;40(3):407-22. doi: 10.1111/1469-8986.00043.</t>
  </si>
  <si>
    <t>Cuthbert BN</t>
  </si>
  <si>
    <t>10.1111/1469-8986.00043</t>
  </si>
  <si>
    <t>immediate recall task: neutral and fearful scenes that pp need to memorize [Ôªø"Stimulus materials consisted of 12 one- or two-sentence imagery scripts, 6 each describing fearful and neutral scenes. Two of the fear scripts were personalized for each participant, based on interview and on Scene Construction forms filled out during. the initial session just after the ADIS-R interview."]. Ôªø1-2h na script creation: imagery: "Overall, the session consisted of six trial blocks. For each trial block, the participant‚Äôs task was to memorize two sentences (one fearful and one neutral in content), and when subsequently cued, separately recall each of the sentences and imagine its content ‚Äò‚Äòvividly, as a personal experience.‚Äô‚Äô"  - Ôªø_x000D_
" Before each trial block, two sentences werememorized to a criterion ofone perfect repetition."</t>
  </si>
  <si>
    <t>Directed forgetting following mood induction in chronic posttraumatic stress disorder patients</t>
  </si>
  <si>
    <t>Zoellner LA, Sacks MB, Foa EB.</t>
  </si>
  <si>
    <t>J Abnorm Psychol. 2003 Aug;112(3):508-14. doi: 10.1037/0021-843x.112.3.508.</t>
  </si>
  <si>
    <t>Zoellner LA</t>
  </si>
  <si>
    <t>10.1037/0021-843x.112.3.508</t>
  </si>
  <si>
    <t>directed forgetting</t>
  </si>
  <si>
    <t>Neural correlates of declarative memory for emotionally valenced words in women with posttraumatic stress disorder related to early childhood sexual abuse</t>
  </si>
  <si>
    <t>Bremner JD, Vythilingam M, Vermetten E, Southwick SM, McGlashan T, Staib LH, Soufer R, Charney DS.</t>
  </si>
  <si>
    <t>Biol Psychiatry. 2003 May 15;53(10):879-89. doi: 10.1016/s0006-3223(02)01891-7.</t>
  </si>
  <si>
    <t>10.1016/s0006-3223(02)01891-7</t>
  </si>
  <si>
    <t>emotional valenced declarative memory in ptsd after els; pet</t>
  </si>
  <si>
    <t>Neuropsychological function in female victims of intimate partner violence with and without posttraumatic stress disorder</t>
  </si>
  <si>
    <t>Stein MB, Kennedy CM, Twamley EW.</t>
  </si>
  <si>
    <t>Biol Psychiatry. 2002 Dec 1;52(11):1079-88. doi: 10.1016/s0006-3223(02)01414-2.</t>
  </si>
  <si>
    <t>Stein MB</t>
  </si>
  <si>
    <t>10.1016/s0006-3223(02)01414-2</t>
  </si>
  <si>
    <t>Olfactory identification in combat-related posttraumatic stress disorder</t>
  </si>
  <si>
    <t>Vasterling JJ, Brailey K, Sutker PB.</t>
  </si>
  <si>
    <t>J Trauma Stress. 2000 Apr;13(2):241-53. doi: 10.1023/A:1007754611030.</t>
  </si>
  <si>
    <t>Vasterling JJ</t>
  </si>
  <si>
    <t>10.1023/A:1007754611030</t>
  </si>
  <si>
    <t>yes ~50 (vietnam vets)</t>
  </si>
  <si>
    <t>adult?</t>
  </si>
  <si>
    <t>age ong 50</t>
  </si>
  <si>
    <t>Neuropsychological assessment of Vietnam combat veterans with and without PTSD</t>
  </si>
  <si>
    <t>Gilbertson MW, Gurvits TV, Lasko NB, Pitman RK.</t>
  </si>
  <si>
    <t>Ann N Y Acad Sci. 1997 Jun 21;821:476-9. doi: 10.1111/j.1749-6632.1997.tb48309.x.</t>
  </si>
  <si>
    <t>Gilbertson MW</t>
  </si>
  <si>
    <t>Ann N Y Acad Sci</t>
  </si>
  <si>
    <t>10.1111/j.1749-6632.1997.tb48309.x</t>
  </si>
  <si>
    <t>Autobiographical memory for childhood events: patterns of recall in psychiatric patients with a history of alleged trauma</t>
  </si>
  <si>
    <t>Parks ED, Balon R.</t>
  </si>
  <si>
    <t>Psychiatry. 1995 Aug;58(3):199-208. doi: 10.1080/00332747.1995.11024726.</t>
  </si>
  <si>
    <t>Parks ED</t>
  </si>
  <si>
    <t>Psychiatry</t>
  </si>
  <si>
    <t>10.1080/00332747.1995.11024726</t>
  </si>
  <si>
    <t>yes (childhood memories after els)</t>
  </si>
  <si>
    <t>ptsd/memory?</t>
  </si>
  <si>
    <t>full tekst not available, requested on RG</t>
  </si>
  <si>
    <t>MRI-based measurement of hippocampal volume in patients with combat-related posttraumatic stress disorder</t>
  </si>
  <si>
    <t>Bremner JD, Randall P, Scott TM, Bronen RA, Seibyl JP, Southwick SM, Delaney RC, McCarthy G, Charney DS, Innis RB.</t>
  </si>
  <si>
    <t>Am J Psychiatry. 1995 Jul;152(7):973-81. doi: 10.1176/ajp.152.7.973.</t>
  </si>
  <si>
    <t>PMC3233767</t>
  </si>
  <si>
    <t>NIHMS340189</t>
  </si>
  <si>
    <t>10.1176/ajp.152.7.973</t>
  </si>
  <si>
    <t>smaller hipp volume in ptsd; associated with memory deficit</t>
  </si>
  <si>
    <t>yes (vietnam vets ~45 years)</t>
  </si>
  <si>
    <t>check age</t>
  </si>
  <si>
    <t>age ong 45</t>
  </si>
  <si>
    <t>Deficits in short-term memory in posttraumatic stress disorder</t>
  </si>
  <si>
    <t>Bremner JD, Scott TM, Delaney RC, Southwick SM, Mason JW, Johnson DR, Innis RB, McCarthy G, Charney DS.</t>
  </si>
  <si>
    <t>Am J Psychiatry. 1993 Jul;150(7):1015-9. doi: 10.1176/ajp.150.7.1015.</t>
  </si>
  <si>
    <t>10.1176/ajp.150.7.1015</t>
  </si>
  <si>
    <t>yes (vietnam vets)</t>
  </si>
  <si>
    <t>age checked ~45</t>
  </si>
  <si>
    <t>[Neuropsychological findings following whiplash injury of the cervical spine]</t>
  </si>
  <si>
    <t>Radanov BP, Valach L, Wittlieb-Verpoort E, Dvorak J.</t>
  </si>
  <si>
    <t>Schweiz Med Wochenschr. 1990 May 12;120(19):704-8.</t>
  </si>
  <si>
    <t>Radanov BP</t>
  </si>
  <si>
    <t>Schweiz Med Wochenschr</t>
  </si>
  <si>
    <t>ptsd group / memory task?</t>
  </si>
  <si>
    <t>full tekst not available</t>
  </si>
  <si>
    <t>Implicit and explicit memory bias for threat in post-traumatic stress disorder</t>
  </si>
  <si>
    <t>Zeitlin SB, McNally RJ.</t>
  </si>
  <si>
    <t>Behav Res Ther. 1991;29(5):451-7. doi: 10.1016/0005-7967(91)90129-q.</t>
  </si>
  <si>
    <t>Zeitlin SB</t>
  </si>
  <si>
    <t>10.1016/0005-7967(91)90129-q</t>
  </si>
  <si>
    <t>excplicit &amp; implicit memory (/bias)</t>
  </si>
  <si>
    <t>[The PRM test (memory profile). Results in a situation of posttraumatic examination (author's transl)]</t>
  </si>
  <si>
    <t>Freyens R.</t>
  </si>
  <si>
    <t>Acta Psychiatr Belg. 1979 May-Jun;79(3):300-9.</t>
  </si>
  <si>
    <t>Freyens R</t>
  </si>
  <si>
    <t>Acta Psychiatr Belg</t>
  </si>
  <si>
    <t>old memory test?</t>
  </si>
  <si>
    <t>? Traumatism?</t>
  </si>
  <si>
    <t>in full tekst gezien dat MWM is afgenomen</t>
  </si>
  <si>
    <t>introductie cbc</t>
  </si>
  <si>
    <t>10.1016/s0006-3223(02)01909-1</t>
  </si>
  <si>
    <t>Cohen H</t>
  </si>
  <si>
    <t>Biol Psychiatry. 2003 Mar 15;53(6):463-73. doi: 10.1016/s0006-3223(02)01909-1.</t>
  </si>
  <si>
    <t>Cohen H, Zohar J, Matar M.</t>
  </si>
  <si>
    <t>The relevance of differential response to trauma in an animal model of posttraumatic stress disorder</t>
  </si>
  <si>
    <t>time-dependent sensitization ptsd model?</t>
  </si>
  <si>
    <t>10.1016/s0006-8993(03)03033-6</t>
  </si>
  <si>
    <t>Harvey BH</t>
  </si>
  <si>
    <t>Brain Res. 2003 Sep 5;983(1-2):97-107. doi: 10.1016/s0006-8993(03)03033-6.</t>
  </si>
  <si>
    <t>Harvey BH, Naciti C, Brand L, Stein DJ.</t>
  </si>
  <si>
    <t>Endocrine, cognitive and hippocampal/cortical 5HT 1A/2A receptor changes evoked by a time-dependent sensitisation (TDS) stress model in rats</t>
  </si>
  <si>
    <t>yes (SR)</t>
  </si>
  <si>
    <t>10.1016/j.psyneuen.2004.09.003</t>
  </si>
  <si>
    <t>Louvart H</t>
  </si>
  <si>
    <t>Psychoneuroendocrinology. 2005 May;30(4):316-24. doi: 10.1016/j.psyneuen.2004.09.003. Epub 2004 Dec 2.</t>
  </si>
  <si>
    <t>Louvart H, Maccari S, Ducrocq F, Thomas P, Darnaud‚Äö√†√∂¬¨¬©ry M.</t>
  </si>
  <si>
    <t>Long-term behavioural alterations in female rats after a single intense footshock followed by situational reminders</t>
  </si>
  <si>
    <t>cort pre trauma; in different strains</t>
  </si>
  <si>
    <t>10.1016/j.biopsych.2005.12.003</t>
  </si>
  <si>
    <t>Biol Psychiatry. 2006 Jun 15;59(12):1208-18. doi: 10.1016/j.biopsych.2005.12.003. Epub 2006 Feb 3.</t>
  </si>
  <si>
    <t>Cohen H, Zohar J, Gidron Y, Matar MA, Belkind D, Loewenthal U, Kozlovsky N, Kaplan Z.</t>
  </si>
  <si>
    <t>Blunted HPA axis response to stress influences susceptibility to posttraumatic stress response in rats</t>
  </si>
  <si>
    <t>10.1016/j.biopsych.2006.03.013</t>
  </si>
  <si>
    <t>Biol Psychiatry. 2006 Oct 1;60(7):767-76. doi: 10.1016/j.biopsych.2006.03.013. Epub 2006 Jun 2.</t>
  </si>
  <si>
    <t>Cohen H, Kaplan Z, Matar MA, Loewenthal U, Kozlovsky N, Zohar J.</t>
  </si>
  <si>
    <t>Anisomycin, a protein synthesis inhibitor, disrupts traumatic memory consolidation and attenuates posttraumatic stress response in rats</t>
  </si>
  <si>
    <t>10.1016/j.pbb.2006.08.015</t>
  </si>
  <si>
    <t>Pharmacol Biochem Behav</t>
  </si>
  <si>
    <t>Li S</t>
  </si>
  <si>
    <t>Pharmacol Biochem Behav. 2006 Oct;85(2):324-31. doi: 10.1016/j.pbb.2006.08.015. Epub 2006 Oct 10.</t>
  </si>
  <si>
    <t>Li S, Murakami Y, Wang M, Maeda K, Matsumoto K.</t>
  </si>
  <si>
    <t>The effects of chronic valproate and diazepam in a mouse model of posttraumatic stress disorder</t>
  </si>
  <si>
    <t>amp fc?</t>
  </si>
  <si>
    <t>yes (FC)</t>
  </si>
  <si>
    <t>relatie fear sensitizatie en generalizatie</t>
  </si>
  <si>
    <t>10.1016/j.physbeh.2006.08.032</t>
  </si>
  <si>
    <t>Physiol Behav</t>
  </si>
  <si>
    <t>Siegmund A</t>
  </si>
  <si>
    <t>Physiol Behav. 2007 Jan 30;90(1):103-7. doi: 10.1016/j.physbeh.2006.08.032. Epub 2006 Oct 17.</t>
  </si>
  <si>
    <t>Siegmund A, Wotjak CT.</t>
  </si>
  <si>
    <t>Hyperarousal does not depend on trauma-related contextual memory in an animal model of Posttraumatic Stress Disorder</t>
  </si>
  <si>
    <t>farmacological retrieval disruption</t>
  </si>
  <si>
    <t>10.1016/j.biopsych.2006.09.009</t>
  </si>
  <si>
    <t>NIHMS25974</t>
  </si>
  <si>
    <t>PMC1978220</t>
  </si>
  <si>
    <t>Tronel S</t>
  </si>
  <si>
    <t>Biol Psychiatry. 2007 Jul 1;62(1):33-9. doi: 10.1016/j.biopsych.2006.09.009. Epub 2007 Jan 3.</t>
  </si>
  <si>
    <t>Tronel S, Alberini CM.</t>
  </si>
  <si>
    <t>Persistent disruption of a traumatic memory by postretrieval inactivation of glucocorticoid receptors in the amygdala</t>
  </si>
  <si>
    <t>also no els group</t>
  </si>
  <si>
    <t>also ptsd alone (or only ptsd + ELS)</t>
  </si>
  <si>
    <t>yes (also ptsd without els groups)</t>
  </si>
  <si>
    <t>NA &amp; ELS?</t>
  </si>
  <si>
    <t>10.1016/j.brainres.2007.01.084</t>
  </si>
  <si>
    <t>Diehl LA</t>
  </si>
  <si>
    <t>Brain Res. 2007 May 4;1144:107-16. doi: 10.1016/j.brainres.2007.01.084. Epub 2007 Jan 30.</t>
  </si>
  <si>
    <t>Diehl LA, Silveira PP, Leite MC, Crema LM, Portella AK, Billodre MN, Nunes E, Henriques TP, Fidelix-da-Silva LB, Heis MD, Gon‚Äö√†√∂‚àö√ºalves CA, Quillfeldt JA, Dalmaz C.</t>
  </si>
  <si>
    <t>Long lasting sex-specific effects upon behavior and S100b levels after maternal separation and exposure to a model of post-traumatic stress disorder in rats</t>
  </si>
  <si>
    <t>characterisation SPS (behavior, endo, ephys)</t>
  </si>
  <si>
    <t>10.1016/j.neuroscience.2007.05.041</t>
  </si>
  <si>
    <t>Kohda K</t>
  </si>
  <si>
    <t>Neuroscience. 2007 Aug 10;148(1):22-33. doi: 10.1016/j.neuroscience.2007.05.041. Epub 2007 Jul 17.</t>
  </si>
  <si>
    <t>Kohda K, Harada K, Kato K, Hoshino A, Motohashi J, Yamaji T, Morinobu S, Matsuoka N, Kato N.</t>
  </si>
  <si>
    <t>Glucocorticoid receptor activation is involved in producing abnormal phenotypes of single-prolonged stress rats: a putative post-traumatic stress disorder model</t>
  </si>
  <si>
    <t>15x FS, then fc; also control group</t>
  </si>
  <si>
    <t>sefl</t>
  </si>
  <si>
    <t>yes SEFL</t>
  </si>
  <si>
    <t>yes (SEFL)</t>
  </si>
  <si>
    <t>SEFL + isofloraan</t>
  </si>
  <si>
    <t>10.1097/ALN.0b013e3181974f3e</t>
  </si>
  <si>
    <t>NIHMS117907</t>
  </si>
  <si>
    <t>PMC2803013</t>
  </si>
  <si>
    <t>Anesthesiology</t>
  </si>
  <si>
    <t>Rau V</t>
  </si>
  <si>
    <t>Anesthesiology. 2009 Mar;110(3):487-95. doi: 10.1097/ALN.0b013e3181974f3e.</t>
  </si>
  <si>
    <t>Rau V, Oh I, Laster M, Eger EI 2nd, Fanselow MS.</t>
  </si>
  <si>
    <t>Isoflurane suppresses stress-enhanced fear learning in a rodent model of post-traumatic stress disorder</t>
  </si>
  <si>
    <t>Physiol Res</t>
  </si>
  <si>
    <t>Wang HN</t>
  </si>
  <si>
    <t>Physiol Res. 2010;59(2):263-71. Epub 2009 Jun 19.</t>
  </si>
  <si>
    <t>Wang HN, Peng Y, Tan QR, Chen YC, Zhang RG, Qiao YT, Wang HH, Liu L, Kuang F, Wang BR, Zhang ZJ.</t>
  </si>
  <si>
    <t>Quetiapine ameliorates anxiety-like behavior and cognitive impairments in stressed rats: implications for the treatment of posttraumatic stress disorder</t>
  </si>
  <si>
    <t>"√î¬™√∏PTSD symptoms can be tracked back to pathologically modified associative fear, hyperarousal and a time-dependent fear generalization"; fear contextualization &amp; generalization</t>
  </si>
  <si>
    <t>10.1016/j.bbr.2009.08.019</t>
  </si>
  <si>
    <t>Golub Y</t>
  </si>
  <si>
    <t>Behav Brain Res. 2009 Dec 28;205(2):544-9. doi: 10.1016/j.bbr.2009.08.019. Epub 2009 Aug 22.</t>
  </si>
  <si>
    <t>Golub Y, Mauch CP, Dahlhoff M, Wotjak CT.</t>
  </si>
  <si>
    <t>Consequences of extinction training on associative and non-associative fear in a mouse model of Posttraumatic Stress Disorder (PTSD)</t>
  </si>
  <si>
    <t>10.1179/016164110X12556180206194</t>
  </si>
  <si>
    <t>Neurol Res</t>
  </si>
  <si>
    <t>Li X</t>
  </si>
  <si>
    <t>Neurol Res. 2010 Jul;32(6):579-86. doi: 10.1179/016164110X12556180206194. Epub 2010 Jan 21.</t>
  </si>
  <si>
    <t>Li X, Han F, Liu D, Shi Y.</t>
  </si>
  <si>
    <t>Changes of Bax, Bcl-2 and apoptosis in hippocampus in the rat model of post-traumatic stress disorder</t>
  </si>
  <si>
    <t>maybe?</t>
  </si>
  <si>
    <t>10.1016/j.euroneuro.2009.12.006</t>
  </si>
  <si>
    <t>Eur Neuropsychopharmacol</t>
  </si>
  <si>
    <t>Eur Neuropsychopharmacol. 2010 Apr;20(4):253-71. doi: 10.1016/j.euroneuro.2009.12.006. Epub 2010 Feb 2.</t>
  </si>
  <si>
    <t>Cohen H, Kozlovsky N, Matar MA, Kaplan Z, Zohar J.</t>
  </si>
  <si>
    <t>Mapping the brain pathways of traumatic memory: inactivation of protein kinase M zeta in different brain regions disrupts traumatic memory processes and attenuates traumatic stress responses in rats</t>
  </si>
  <si>
    <t>day 0 15fs SEFL (en HC) context B,  day 23 shock ctxB, day 24 test ctx B; day 25 test ctxA. (= ptsd+hc &amp; fc &amp; SR)</t>
  </si>
  <si>
    <t>moleculs in amy after trauma (rat)</t>
  </si>
  <si>
    <t>10.1038/npp.2010.10</t>
  </si>
  <si>
    <t>NIHMS267938</t>
  </si>
  <si>
    <t>PMC3040562</t>
  </si>
  <si>
    <t>Ponomarev I</t>
  </si>
  <si>
    <t>Version 2. Neuropsychopharmacology. 2010 May;35(6):1402-11. doi: 10.1038/npp.2010.10. Epub 2010 Feb 10.</t>
  </si>
  <si>
    <t>Ponomarev I, Rau V, Eger EI, Harris RA, Fanselow MS.</t>
  </si>
  <si>
    <t>Amygdala transcriptome and cellular mechanisms underlying stress-enhanced fear learning in a rat model of posttraumatic stress disorder</t>
  </si>
  <si>
    <t>10.1016/j.jpsychires.2010.03.013</t>
  </si>
  <si>
    <t>Yamamoto S</t>
  </si>
  <si>
    <t>J Psychiatr Res. 2010 Nov;44(15):1069-74. doi: 10.1016/j.jpsychires.2010.03.013. Epub 2010 Apr 27.</t>
  </si>
  <si>
    <t>Yamamoto S, Morinobu S, Iwamoto Y, Ueda Y, Takei S, Fujita Y, Yamawaki S.</t>
  </si>
  <si>
    <t>Alterations in the hippocampal glycinergic system in an animal model of posttraumatic stress disorder</t>
  </si>
  <si>
    <t>10.1016/j.neuroscience.2010.05.005</t>
  </si>
  <si>
    <t>Mackenzie L</t>
  </si>
  <si>
    <t>Neuroscience. 2010 Aug 25;169(2):733-42. doi: 10.1016/j.neuroscience.2010.05.005. Epub 2010 May 15.</t>
  </si>
  <si>
    <t>Mackenzie L, Nalivaiko E, Beig MI, Day TA, Walker FR.</t>
  </si>
  <si>
    <t>Ability of predator odour exposure to elicit conditioned versus sensitised post traumatic stress disorder-like behaviours, and forebrain deltaFosB expression, in rats</t>
  </si>
  <si>
    <t>fear gen</t>
  </si>
  <si>
    <t>10.1016/j.jpsychires.2010.06.015</t>
  </si>
  <si>
    <t>Pamplona FA</t>
  </si>
  <si>
    <t>J Psychiatr Res. 2011 Mar;45(3):354-60. doi: 10.1016/j.jpsychires.2010.06.015. Epub 2010 Jul 23.</t>
  </si>
  <si>
    <t>Pamplona FA, Henes K, Micale V, Mauch CP, Takahashi RN, Wotjak CT.</t>
  </si>
  <si>
    <t>Prolonged fear incubation leads to generalized avoidance behavior in mice</t>
  </si>
  <si>
    <t>10.1016/j.jpsychires.2010.08.009</t>
  </si>
  <si>
    <t>Takei S</t>
  </si>
  <si>
    <t>J Psychiatr Res. 2011 Apr;45(4):460-8. doi: 10.1016/j.jpsychires.2010.08.009. Epub 2010 Sep 21.</t>
  </si>
  <si>
    <t>Takei S, Morinobu S, Yamamoto S, Fuchikami M, Matsumoto T, Yamawaki S.</t>
  </si>
  <si>
    <t>Enhanced hippocampal BDNF/TrkB signaling in response to fear conditioning in an animal model of posttraumatic stress disorder</t>
  </si>
  <si>
    <t>amp fs? √î¬™√∏_x000D__x000D_
USs were 1_x000D__x000D_
sec, 0.8 mA scrambled electric footshocks.</t>
  </si>
  <si>
    <t>NA in FC</t>
  </si>
  <si>
    <t>10.1101/lm.1918210</t>
  </si>
  <si>
    <t>PMC2948893</t>
  </si>
  <si>
    <t>Learn Mem</t>
  </si>
  <si>
    <t>Lazzaro SC</t>
  </si>
  <si>
    <t>Learn Mem. 2010 Sep 24;17(10):489-93. doi: 10.1101/lm.1918210. Print 2010 Oct.</t>
  </si>
  <si>
    <t>Lazzaro SC, Hou M, Cunha C, LeDoux JE, Cain CK.</t>
  </si>
  <si>
    <t>Antagonism of lateral amygdala alpha1-adrenergic receptors facilitates fear conditioning and long-term potentiation</t>
  </si>
  <si>
    <t>10.1101/lm.1948910</t>
  </si>
  <si>
    <t>PMC2948889</t>
  </si>
  <si>
    <t>Goswami S</t>
  </si>
  <si>
    <t>Learn Mem. 2010 Sep 27;17(10):494-501. doi: 10.1101/lm.1948910. Print 2010 Oct.</t>
  </si>
  <si>
    <t>Goswami S, Cascardi M, Rodr‚Äö√†√∂‚Äö√¢‚Ä†guez-Sierra OE, Duvarci S, Par‚Äö√†√∂¬¨¬© D.</t>
  </si>
  <si>
    <t>Impact of predatory threat on fear extinction in Lewis rats</t>
  </si>
  <si>
    <t>acute (1day) and chronic (4day) defeat, and HC group</t>
  </si>
  <si>
    <t>ptsd model (not chronic)</t>
  </si>
  <si>
    <t>yes (acute defeat)</t>
  </si>
  <si>
    <t>individual differences &amp; stress &amp; novelty seeking</t>
  </si>
  <si>
    <t>10.1016/j.physbeh.2010.12.014</t>
  </si>
  <si>
    <t>NIHMS259528</t>
  </si>
  <si>
    <t>PMC3081532</t>
  </si>
  <si>
    <t>Duclot F</t>
  </si>
  <si>
    <t>Physiol Behav. 2011 Aug 3;104(2):296-305. doi: 10.1016/j.physbeh.2010.12.014. Epub 2010 Dec 21.</t>
  </si>
  <si>
    <t>Duclot F, Hollis F, Darcy MJ, Kabbaj M.</t>
  </si>
  <si>
    <t>Individual differences in novelty-seeking behavior in rats as a model for psychosocial stress-related mood disorders</t>
  </si>
  <si>
    <t>fc = 1mA; fear memoryes &amp; odor/object memories measured; naive rats as control?</t>
  </si>
  <si>
    <t>ptsd?</t>
  </si>
  <si>
    <t>10.1038/npp.2011.87</t>
  </si>
  <si>
    <t>PMC3158317</t>
  </si>
  <si>
    <t>Yang CH</t>
  </si>
  <si>
    <t>Neuropsychopharmacology. 2011 Sep;36(10):1992-2008. doi: 10.1038/npp.2011.87. Epub 2011 May 18.</t>
  </si>
  <si>
    <t>Yang CH, Huang CC, Hsu KS.</t>
  </si>
  <si>
    <t>Generalization of fear inhibition by disrupting hippocampal protein synthesis-dependent reconsolidation process</t>
  </si>
  <si>
    <t>mild stressor = cat hair; taruma = cfc with 0.7mA 2x;  --&gt; if interpreted otherway around: cat hair = pss; cfc=memory.. Then inclusion.. Otherwise exclusion (because cfc not trauma)</t>
  </si>
  <si>
    <t>ptsd/memory timeline?</t>
  </si>
  <si>
    <t>1?</t>
  </si>
  <si>
    <t>belang identifiing individuals before trauma, animal model</t>
  </si>
  <si>
    <t>10.1371/journal.pone.0019760</t>
  </si>
  <si>
    <t>PMC3097191</t>
  </si>
  <si>
    <t>Nalloor R</t>
  </si>
  <si>
    <t>PLoS One. 2011;6(5):e19760. doi: 10.1371/journal.pone.0019760. Epub 2011 May 18.</t>
  </si>
  <si>
    <t>Nalloor R, Bunting K, Vazdarjanova A.</t>
  </si>
  <si>
    <t>Predicting impaired extinction of traumatic memory and elevated startle</t>
  </si>
  <si>
    <t>context in extinction</t>
  </si>
  <si>
    <t>10.1101/lm.2175811</t>
  </si>
  <si>
    <t>Costanzi M</t>
  </si>
  <si>
    <t>Learn Mem. 2011 Jul 15;18(8):508-18. doi: 10.1101/lm.2175811. Print 2011.</t>
  </si>
  <si>
    <t>Costanzi M, Cannas S, Saraulli D, Rossi-Arnaud C, Cestari V.</t>
  </si>
  <si>
    <t>Extinction after retrieval: effects on the associative and nonassociative components of remote contextual fear memory</t>
  </si>
  <si>
    <t>fear sensitizatie (= angst in new environment); fear to novel &amp; shock context = SR = memory</t>
  </si>
  <si>
    <t>memory?</t>
  </si>
  <si>
    <t>10.1016/j.bbr.2011.09.004</t>
  </si>
  <si>
    <t>Chen X</t>
  </si>
  <si>
    <t>Behav Brain Res. 2012 Jan 1;226(1):112-7. doi: 10.1016/j.bbr.2011.09.004. Epub 2011 Sep 8.</t>
  </si>
  <si>
    <t>Chen X, Li Y, Li S, Kirouac GJ.</t>
  </si>
  <si>
    <t>Early fear as a predictor of avoidance in a rat model of post-traumatic stress disorder</t>
  </si>
  <si>
    <t>10.1101/lm.024356.111</t>
  </si>
  <si>
    <t>PMC3262971</t>
  </si>
  <si>
    <t>Knox D</t>
  </si>
  <si>
    <t>Learn Mem. 2012 Jan 12;19(2):43-9. doi: 10.1101/lm.024356.111. Print 2012 Feb.</t>
  </si>
  <si>
    <t>Knox D, George SA, Fitzpatrick CJ, Rabinak CA, Maren S, Liberzon I.</t>
  </si>
  <si>
    <t>Single prolonged stress disrupts retention of extinguished fear in rats</t>
  </si>
  <si>
    <t>yes sps + FC</t>
  </si>
  <si>
    <t>stress -&gt; apoptosis hippocampus</t>
  </si>
  <si>
    <t>10.1016/j.neures.2012.03.003</t>
  </si>
  <si>
    <t>Neurosci Res</t>
  </si>
  <si>
    <t>Wang H</t>
  </si>
  <si>
    <t>Neurosci Res. 2012 Jun;73(2):142-52. doi: 10.1016/j.neures.2012.03.003. Epub 2012 Mar 16.</t>
  </si>
  <si>
    <t>Wang H, Zuo D, He B, Qiao F, Zhao M, Wu Y.</t>
  </si>
  <si>
    <t>Conditioned fear stress combined with single-prolonged stress: a new PTSD mouse model</t>
  </si>
  <si>
    <t>extinction after pss; reminders and extinction of trauma memories = memory</t>
  </si>
  <si>
    <t>memory? Extinction?</t>
  </si>
  <si>
    <t>10.1016/j.bbr.2012.03.019</t>
  </si>
  <si>
    <t>Sandusky LA</t>
  </si>
  <si>
    <t>Behav Brain Res. 2012 May 16;231(1):208-12. doi: 10.1016/j.bbr.2012.03.019. Epub 2012 Mar 23.</t>
  </si>
  <si>
    <t>Sandusky LA, Flint RW Jr, McNay EC.</t>
  </si>
  <si>
    <t>Effects of the protein synthesis inhibitor cycloheximide on anxiety-like extinction behavior in an animal model of post-traumatic stress</t>
  </si>
  <si>
    <t>cue vs contextual fear PTSD</t>
  </si>
  <si>
    <t>10.1016/j.bbr.2012.05.016</t>
  </si>
  <si>
    <t>Sauerh‚Äö√†√∂‚Äö√†√áfer E</t>
  </si>
  <si>
    <t>Behav Brain Res. 2012 Aug 1;233(2):483-93. doi: 10.1016/j.bbr.2012.05.016. Epub 2012 May 30.</t>
  </si>
  <si>
    <t>Sauerh‚Äö√†√∂‚Äö√†√áfer E, Pamplona FA, Bedenk B, Moll GH, Dawirs RR, von H‚Äö√†√∂‚Äö√†√ársten S, Wotjak CT, Golub Y.</t>
  </si>
  <si>
    <t>Generalization of contextual fear depends on associative rather than non-associative memory components</t>
  </si>
  <si>
    <t>sps enhances GR expression in Hipp</t>
  </si>
  <si>
    <t>10.1016/j.neuroscience.2012.07.047</t>
  </si>
  <si>
    <t>Neuroscience. 2012 Oct 25;223:163-73. doi: 10.1016/j.neuroscience.2012.07.047. Epub 2012 Jul 31.</t>
  </si>
  <si>
    <t>Knox D, Nault T, Henderson C, Liberzon I.</t>
  </si>
  <si>
    <t>Glucocorticoid receptors and extinction retention deficits in the single prolonged stress model</t>
  </si>
  <si>
    <t>10.1111/acer.12012</t>
  </si>
  <si>
    <t>NIHMS408328</t>
  </si>
  <si>
    <t>PMC3567303</t>
  </si>
  <si>
    <t>Alcohol Clin Exp Res</t>
  </si>
  <si>
    <t>Meyer EM</t>
  </si>
  <si>
    <t>Alcohol Clin Exp Res. 2013 Apr;37(4):566-74. doi: 10.1111/acer.12012. Epub 2012 Nov 5.</t>
  </si>
  <si>
    <t>Meyer EM, Long V, Fanselow MS, Spigelman I.</t>
  </si>
  <si>
    <t>Stress increases voluntary alcohol intake, but does not alter established drinking habits in a rat model of posttraumatic stress disorder</t>
  </si>
  <si>
    <t>SEFL: ctxA 15x 1mA shock (+control group) ("trauma", ctxB 1x1mA shock) "learning"</t>
  </si>
  <si>
    <t>10.1016/j.pbb.2012.10.013</t>
  </si>
  <si>
    <t>Szczytkowski-Thomson JL</t>
  </si>
  <si>
    <t>Pharmacol Biochem Behav. 2013 Jan;103(3):672-7. doi: 10.1016/j.pbb.2012.10.013. Epub 2012 Nov 13.</t>
  </si>
  <si>
    <t>Szczytkowski-Thomson JL, Lebonville CL, Lysle DT.</t>
  </si>
  <si>
    <t>Morphine prevents the development of stress-enhanced fear learning</t>
  </si>
  <si>
    <t>10.1016/j.psyneuen.2013.01.014</t>
  </si>
  <si>
    <t>Ganon-Elazar E</t>
  </si>
  <si>
    <t>Psychoneuroendocrinology. 2013 Sep;38(9):1675-87. doi: 10.1016/j.psyneuen.2013.01.014. Epub 2013 Feb 21.</t>
  </si>
  <si>
    <t>Ganon-Elazar E, Akirav I.</t>
  </si>
  <si>
    <t>Cannabinoids and traumatic stress modulation of contextual fear extinction and GR expression in the amygdala-hippocampal-prefrontal circuit</t>
  </si>
  <si>
    <t>10.1007/s00213-013-3078-9</t>
  </si>
  <si>
    <t>Psychopharmacology (Berl)</t>
  </si>
  <si>
    <t>Matsumoto Y</t>
  </si>
  <si>
    <t>Psychopharmacology (Berl). 2013 Sep;229(1):51-62. doi: 10.1007/s00213-013-3078-9. Epub 2013 Apr 13.</t>
  </si>
  <si>
    <t>Matsumoto Y, Morinobu S, Yamamoto S, Matsumoto T, Takei S, Fujita Y, Yamawaki S.</t>
  </si>
  <si>
    <t>Vorinostat ameliorates impaired fear extinction possibly via the hippocampal NMDA-CaMKII pathway in an animal model of posttraumatic stress disorder</t>
  </si>
  <si>
    <t>mice: immobilization stress = ptsd model then MWM = memory (also HC); [also immobilizations &amp; control fc texp..); human SNP correclated to ptsd diagnozis  in traumatized  sample, in a subset of this cohort, fc task (corrected for ptsd syms, but no ptsd vs hc comparison) -&gt; mice include; human exclude</t>
  </si>
  <si>
    <t>mice &amp; human data (not in human list,); check ptsd model in mice / check human data</t>
  </si>
  <si>
    <t>mice= yes</t>
  </si>
  <si>
    <t>mice: yes</t>
  </si>
  <si>
    <t>mice &amp; human data; ptsd &amp; amygdala nociceptin resceptor</t>
  </si>
  <si>
    <t>1&amp;2</t>
  </si>
  <si>
    <t>10.1126/scitranslmed.3005656</t>
  </si>
  <si>
    <t>NIHMS497720</t>
  </si>
  <si>
    <t>PMC3732318</t>
  </si>
  <si>
    <t>Andero R</t>
  </si>
  <si>
    <t>Sci Transl Med. 2013 Jun 5;5(188):188ra73. doi: 10.1126/scitranslmed.3005656.</t>
  </si>
  <si>
    <t>Andero R, Brothers SP, Jovanovic T, Chen YT, Salah-Uddin H, Cameron M, Bannister TD, Almli L, Stevens JS, Bradley B, Binder EB, Wahlestedt C, Ressler KJ.</t>
  </si>
  <si>
    <t>Amygdala-dependent fear is regulated by Oprl1 in mice and humans with PTSD</t>
  </si>
  <si>
    <t>10.3389/fnbeh.2013.00060</t>
  </si>
  <si>
    <t>PMC3668327</t>
  </si>
  <si>
    <t>Polta SA</t>
  </si>
  <si>
    <t>Front Behav Neurosci. 2013 May 31;7:60. doi: 10.3389/fnbeh.2013.00060. eCollection 2013.</t>
  </si>
  <si>
    <t>Polta SA, Fenzl T, Jakubcakova V, Kimura M, Yassouridis A, Wotjak CT.</t>
  </si>
  <si>
    <t>Prognostic and symptomatic aspects of rapid eye movement sleep in a mouse model of posttraumatic stress disorder</t>
  </si>
  <si>
    <t>10.1016/j.biopsych.2013.05.039</t>
  </si>
  <si>
    <t>Elharrar E</t>
  </si>
  <si>
    <t>Biol Psychiatry. 2013 Dec 1;74(11):827-36. doi: 10.1016/j.biopsych.2013.05.039. Epub 2013 Jul 17.</t>
  </si>
  <si>
    <t>Elharrar E, Warhaftig G, Issler O, Sztainberg Y, Dikshtein Y, Zahut R, Redlus L, Chen A, Yadid G.</t>
  </si>
  <si>
    <t>Overexpression of corticotropin-releasing factor receptor type 2 in the bed nucleus of stria terminalis improves posttraumatic stress disorder-like symptoms in a model of incubation of fear</t>
  </si>
  <si>
    <t>cfc task</t>
  </si>
  <si>
    <t>astrocytes</t>
  </si>
  <si>
    <t>10.1016/j.bbr.2013.08.048</t>
  </si>
  <si>
    <t>Xia L</t>
  </si>
  <si>
    <t>Behav Brain Res. 2013 Nov 1;256:472-80. doi: 10.1016/j.bbr.2013.08.048. Epub 2013 Sep 5.</t>
  </si>
  <si>
    <t>Xia L, Zhai M, Wang L, Miao D, Zhu X, Wang W.</t>
  </si>
  <si>
    <t>FGF2 blocks PTSD symptoms via an astrocyte-based mechanism</t>
  </si>
  <si>
    <t>which ptsd model?</t>
  </si>
  <si>
    <t>10.1016/j.biopsych.2013.08.024</t>
  </si>
  <si>
    <t>NIHMS522982</t>
  </si>
  <si>
    <t>PMC3975818</t>
  </si>
  <si>
    <t>Marvar PJ</t>
  </si>
  <si>
    <t>Biol Psychiatry. 2014 Jun 1;75(11):864-72. doi: 10.1016/j.biopsych.2013.08.024. Epub 2013 Oct 4.</t>
  </si>
  <si>
    <t>Marvar PJ, Goodman J, Fuchs S, Choi DC, Banerjee S, Ressler KJ.</t>
  </si>
  <si>
    <t>Angiotensin type 1 receptor inhibition enhances the extinction of fear memory</t>
  </si>
  <si>
    <t>context-trauma association</t>
  </si>
  <si>
    <t>10.3389/fnbeh.2013.00134</t>
  </si>
  <si>
    <t>PMC3788327</t>
  </si>
  <si>
    <t>Girardi CE</t>
  </si>
  <si>
    <t>Front Behav Neurosci. 2013 Oct 2;7:134. doi: 10.3389/fnbeh.2013.00134. eCollection 2013.</t>
  </si>
  <si>
    <t>Girardi CE, Tiba PA, Llobet GB, Levin R, Abilio VC, Suchecki D.</t>
  </si>
  <si>
    <t>Contextual exploration previous to an aversive event predicts long-term emotional consequences of severe stress</t>
  </si>
  <si>
    <t>suppl. methods: fc 0.7mA; trauma RS (hh/day, 1-14 days) or UWT (1h/day for 14 days); data 1 day RS + control on FC is in supplementary figure 3b</t>
  </si>
  <si>
    <t>check ptsd model</t>
  </si>
  <si>
    <t>10.1038/mp.2013.135</t>
  </si>
  <si>
    <t>NIHMS560310</t>
  </si>
  <si>
    <t>PMC3988273</t>
  </si>
  <si>
    <t>Mol Psychiatry</t>
  </si>
  <si>
    <t>Meyer RM</t>
  </si>
  <si>
    <t>Mol Psychiatry. 2014 Dec;19(12):1284-94. doi: 10.1038/mp.2013.135. Epub 2013 Oct 15.</t>
  </si>
  <si>
    <t>Meyer RM, Burgos-Robles A, Liu E, Correia SS, Goosens KA.</t>
  </si>
  <si>
    <t>A ghrelin-growth hormone axis drives stress-induced vulnerability to enhanced fear</t>
  </si>
  <si>
    <t>ptsd model? (amp = 1mA)</t>
  </si>
  <si>
    <t>yes FC</t>
  </si>
  <si>
    <t>10.1016/j.pnpbp.2013.11.004</t>
  </si>
  <si>
    <t>NIHMS545420</t>
  </si>
  <si>
    <t>PMC3969852</t>
  </si>
  <si>
    <t>Laitman BM</t>
  </si>
  <si>
    <t>Prog Neuropsychopharmacol Biol Psychiatry. 2014 Mar 3;49:7-15. doi: 10.1016/j.pnpbp.2013.11.004. Epub 2013 Nov 15.</t>
  </si>
  <si>
    <t>Laitman BM, Gajewski ND, Mann GL, Kubin L, Morrison AR, Ross RJ.</t>
  </si>
  <si>
    <t>The ‚âà√≠¬¨¬±1 adrenoceptor antagonist prazosin enhances sleep continuity in fear-conditioned Wistar-Kyoto rats</t>
  </si>
  <si>
    <t>water maze as reexperiencing context?</t>
  </si>
  <si>
    <t>10.3389/fnbeh.2014.00001</t>
  </si>
  <si>
    <t>PMC3894455</t>
  </si>
  <si>
    <t>Ritov G</t>
  </si>
  <si>
    <t>Front Behav Neurosci. 2014 Jan 17;8:1. doi: 10.3389/fnbeh.2014.00001. eCollection 2014.</t>
  </si>
  <si>
    <t>Ritov G, Richter-Levin G.</t>
  </si>
  <si>
    <t>Water associated zero maze: a novel rat test for long term traumatic re-experiencing</t>
  </si>
  <si>
    <t>ventral hip in trauma recollection?</t>
  </si>
  <si>
    <t>10.3389/fnbeh.2014.00018</t>
  </si>
  <si>
    <t>PMC3905214</t>
  </si>
  <si>
    <t>Front Behav Neurosci. 2014 Jan 29;8:18. doi: 10.3389/fnbeh.2014.00018. eCollection 2014.</t>
  </si>
  <si>
    <t>Ritov G, Ardi Z, Richter-Levin G.</t>
  </si>
  <si>
    <t>Differential activation of amygdala, dorsal and ventral hippocampus following an exposure to a reminder of underwater trauma</t>
  </si>
  <si>
    <t>10.1007/s12031-014-0263-1</t>
  </si>
  <si>
    <t>J Mol Neurosci</t>
  </si>
  <si>
    <t>Zhao D</t>
  </si>
  <si>
    <t>J Mol Neurosci. 2014;54(2):147-55. doi: 10.1007/s12031-014-0263-1. Epub 2014 Mar 9.</t>
  </si>
  <si>
    <t>Zhao D, Han F, Shi Y.</t>
  </si>
  <si>
    <t>Effect of glucose-regulated protein 94 and endoplasmic reticulum modulator caspase-12 in medial prefrontal cortex in a rat model of posttraumatic stress disorder</t>
  </si>
  <si>
    <t>thc fear stress</t>
  </si>
  <si>
    <t>10.1016/j.pbb.2014.04.014</t>
  </si>
  <si>
    <t>Mayer TA</t>
  </si>
  <si>
    <t>Pharmacol Biochem Behav. 2014 Jul;122:307-18. doi: 10.1016/j.pbb.2014.04.014. Epub 2014 May 6.</t>
  </si>
  <si>
    <t>Mayer TA, Matar MA, Kaplan Z, Zohar J, Cohen H.</t>
  </si>
  <si>
    <t>Blunting of the HPA-axis underlies the lack of preventive efficacy of early post-stressor single-dose Delta-9-tetrahydrocannabinol (THC)</t>
  </si>
  <si>
    <t>10.1007/s00213-014-3635-x</t>
  </si>
  <si>
    <t>George SA</t>
  </si>
  <si>
    <t>Psychopharmacology (Berl). 2015 Jan;232(1):47-56. doi: 10.1007/s00213-014-3635-x. Epub 2014 May 31.</t>
  </si>
  <si>
    <t>George SA, Rodriguez-Santiago M, Riley J, Rodriguez E, Liberzon I.</t>
  </si>
  <si>
    <t>The effect of chronic phenytoin administration on single prolonged stress induced extinction retention deficits and glucocorticoid upregulation in the rat medial prefrontal cortex</t>
  </si>
  <si>
    <t>10.1016/j.pnpbp.2014.06.013</t>
  </si>
  <si>
    <t>Ji MH</t>
  </si>
  <si>
    <t>Prog Neuropsychopharmacol Biol Psychiatry. 2014 Oct 3;54:284-8. doi: 10.1016/j.pnpbp.2014.06.013. Epub 2014 Jul 6.</t>
  </si>
  <si>
    <t>Ji MH, Jia M, Zhang MQ, Liu WX, Xie ZC, Wang ZY, Yang JJ.</t>
  </si>
  <si>
    <t>Dexmedetomidine alleviates anxiety-like behaviors and cognitive impairments in a rat model of post-traumatic stress disorder</t>
  </si>
  <si>
    <t>fs 1.1mA + re-exposure to shock chamber</t>
  </si>
  <si>
    <t>10.1097/WNR.0000000000000232</t>
  </si>
  <si>
    <t>Neuroreport</t>
  </si>
  <si>
    <t>Feng T</t>
  </si>
  <si>
    <t>Neuroreport. 2014 Oct 1;25(14):1085-90. doi: 10.1097/WNR.0000000000000232.</t>
  </si>
  <si>
    <t>Feng T, Yang S, Wen D, Sun Q, Li Y, Ma C, Cong B.</t>
  </si>
  <si>
    <t>Stress-induced enhancement of fear conditioning activates the amygdalar cholecystokinin system in a rat model of post-traumatic stress disorder</t>
  </si>
  <si>
    <t>10.1055/s-0034-1390418</t>
  </si>
  <si>
    <t>Drug Res (Stuttg)</t>
  </si>
  <si>
    <t>Abraham R</t>
  </si>
  <si>
    <t>Drug Res (Stuttg). 2015 Aug;65(8):442-5. doi: 10.1055/s-0034-1390418. Epub 2014 Oct 13.</t>
  </si>
  <si>
    <t>Abraham R, Nirogi R, Shinde A, Benade VS.</t>
  </si>
  <si>
    <t>Therapeutic Potential of 5-HT6 Antagonist SB399885 in Traumatic Stress Disorder</t>
  </si>
  <si>
    <t>PMC4202577</t>
  </si>
  <si>
    <t>Basic Clin Neurosci</t>
  </si>
  <si>
    <t>Eskandarian S</t>
  </si>
  <si>
    <t>Basic Clin Neurosci. 2013 Fall;4(4):315-22.</t>
  </si>
  <si>
    <t>Eskandarian S, Vafaei AA, Vaezi GH, Taherian F, Kashefi A, Rashidy-Pour A.</t>
  </si>
  <si>
    <t>Effects of systemic administration of oxytocin on contextual fear extinction in a rat model of post-traumatic stress disorder</t>
  </si>
  <si>
    <t>10.1007/s12031-014-0464-7</t>
  </si>
  <si>
    <t>Wen L</t>
  </si>
  <si>
    <t>J Mol Neurosci. 2015 May;56(1):24-34. doi: 10.1007/s12031-014-0464-7. Epub 2014 Nov 19.</t>
  </si>
  <si>
    <t>Wen L, Han F, Shi Y.</t>
  </si>
  <si>
    <t>Changes in the glucocorticoid receptor and Ca¬¨¬®‚Äö√¢¬ß‚Äö√Ñ√∂‚àö√ñ‚Äö√†¬¥/calreticulin-dependent signalling pathway in the medial prefrontal cortex of rats with post-traumatic stress disorder</t>
  </si>
  <si>
    <t>10.1016/j.euroneuro.2014.11.012</t>
  </si>
  <si>
    <t>Levkovitz Y</t>
  </si>
  <si>
    <t>Eur Neuropsychopharmacol. 2015 Jan;25(1):124-32. doi: 10.1016/j.euroneuro.2014.11.012. Epub 2014 Nov 28.</t>
  </si>
  <si>
    <t>Levkovitz Y, Fenchel D, Kaplan Z, Zohar J, Cohen H.</t>
  </si>
  <si>
    <t>Early post-stressor intervention with minocycline, a second-generation tetracycline, attenuates post-traumatic stress response in an animal model of PTSD</t>
  </si>
  <si>
    <t>10.1016/j.neures.2015.02.001</t>
  </si>
  <si>
    <t>Iwasaki S</t>
  </si>
  <si>
    <t>Neurosci Res. 2015 Jun;95:66-73. doi: 10.1016/j.neures.2015.02.001. Epub 2015 Feb 12.</t>
  </si>
  <si>
    <t>Iwasaki S, Sakaguchi T, Ikegaya Y.</t>
  </si>
  <si>
    <t>Brief fear preexposure facilitates subsequent fear conditioning</t>
  </si>
  <si>
    <t>fs 1.5mA; also control group (exp 1); asr measure to validate ptsd like symps (no split affected non-affected)</t>
  </si>
  <si>
    <t>yes (Fs)</t>
  </si>
  <si>
    <t>NE + ptsd: √î¬™√∏ The increase in extracellular NE levels correlated in a U-shape manner with arousal levels and CF, thus suggesting a non-direct relationship.</t>
  </si>
  <si>
    <t>10.1111/ejn.12860</t>
  </si>
  <si>
    <t>Eur J Neurosci</t>
  </si>
  <si>
    <t>Kao CY</t>
  </si>
  <si>
    <t>Eur J Neurosci. 2015 May;41(9):1139-48. doi: 10.1111/ejn.12860. Epub 2015 Feb 27.</t>
  </si>
  <si>
    <t>Kao CY, Stalla G, Stalla J, Wotjak CT, Anderzhanova E.</t>
  </si>
  <si>
    <t>Norepinephrine and corticosterone in the medial prefrontal cortex and hippocampus predict PTSD-like symptoms in mice</t>
  </si>
  <si>
    <t>male / female responses to sps</t>
  </si>
  <si>
    <t>10.1016/j.bbr.2015.02.034</t>
  </si>
  <si>
    <t>NIHMS876442</t>
  </si>
  <si>
    <t>PMC5745062</t>
  </si>
  <si>
    <t>Keller SM</t>
  </si>
  <si>
    <t>Behav Brain Res. 2015 Jun 1;286:29-32. doi: 10.1016/j.bbr.2015.02.034. Epub 2015 Feb 24.</t>
  </si>
  <si>
    <t>Keller SM, Schreiber WB, Staib JM, Knox D.</t>
  </si>
  <si>
    <t>Sex differences in the single prolonged stress model</t>
  </si>
  <si>
    <t>glia sps</t>
  </si>
  <si>
    <t>10.1007/s11064-015-1549-6</t>
  </si>
  <si>
    <t>Neurochem Res</t>
  </si>
  <si>
    <t>Han F</t>
  </si>
  <si>
    <t>Neurochem Res. 2015 May;40(5):942-51. doi: 10.1007/s11064-015-1549-6. Epub 2015 Mar 7.</t>
  </si>
  <si>
    <t>Han F, Xiao B, Wen L.</t>
  </si>
  <si>
    <t>Loss of Glial Cells of the Hippocampus in a Rat Model of Post-traumatic Stress Disorder</t>
  </si>
  <si>
    <t>hpa &amp; hpg</t>
  </si>
  <si>
    <t>10.1016/j.euroneuro.2015.02.004</t>
  </si>
  <si>
    <t>Fenchel D</t>
  </si>
  <si>
    <t>Eur Neuropsychopharmacol. 2015 Jun;25(6):944-57. doi: 10.1016/j.euroneuro.2015.02.004. Epub 2015 Feb 28.</t>
  </si>
  <si>
    <t>Fenchel D, Levkovitz Y, Vainer E, Kaplan Z, Zohar J, Cohen H.</t>
  </si>
  <si>
    <t>Beyond the HPA-axis: The role of the gonadal steroid hormone receptors in modulating stress-related responses in an animal model of PTSD</t>
  </si>
  <si>
    <t>sps; gr; cort; fear learning</t>
  </si>
  <si>
    <t>10.1016/j.bbr.2015.03.043</t>
  </si>
  <si>
    <t>NIHMS876441</t>
  </si>
  <si>
    <t>PMC5511728</t>
  </si>
  <si>
    <t>Behav Brain Res. 2015;287:182-6. doi: 10.1016/j.bbr.2015.03.043. Epub 2015 Mar 31.</t>
  </si>
  <si>
    <t>Keller SM, Schreiber WB, Stanfield BR, Knox D.</t>
  </si>
  <si>
    <t>Inhibiting corticosterone synthesis during fear memory formation exacerbates cued fear extinction memory deficits within the single prolonged stress model</t>
  </si>
  <si>
    <t>include mice study; not human data</t>
  </si>
  <si>
    <t>human &amp; animal; not in human list; geen memory in human gemeten apoe+caps</t>
  </si>
  <si>
    <t>10.1038/npp.2015.95</t>
  </si>
  <si>
    <t>PMC4538360</t>
  </si>
  <si>
    <t>Johnson LA</t>
  </si>
  <si>
    <t>Neuropsychopharmacology. 2015 Sep;40(10):2443-53. doi: 10.1038/npp.2015.95. Epub 2015 May 10.</t>
  </si>
  <si>
    <t>Johnson LA, Zuloaga DG, Bidiman E, Marzulla T, Weber S, Wahbeh H, Raber J.</t>
  </si>
  <si>
    <t>ApoE2 Exaggerates PTSD-Related Behavioral, Cognitive, and Neuroendocrine Alterations</t>
  </si>
  <si>
    <t>10.1186/s13041-015-0104-3</t>
  </si>
  <si>
    <t>PMC4359441</t>
  </si>
  <si>
    <t>Mol Brain</t>
  </si>
  <si>
    <t>Muhie S</t>
  </si>
  <si>
    <t>Mol Brain. 2015 Feb 28;8:14. doi: 10.1186/s13041-015-0104-3.</t>
  </si>
  <si>
    <t>Muhie S, Gautam A, Meyerhoff J, Chakraborty N, Hammamieh R, Jett M.</t>
  </si>
  <si>
    <t>Brain transcriptome profiles in mouse model simulating features of post-traumatic stress disorder</t>
  </si>
  <si>
    <t>sefl?</t>
  </si>
  <si>
    <t>10.1038/npp.2015.210</t>
  </si>
  <si>
    <t>PMC4707829</t>
  </si>
  <si>
    <t>Sawamura T</t>
  </si>
  <si>
    <t>Neuropsychopharmacology. 2016 Feb;41(3):832-46. doi: 10.1038/npp.2015.210. Epub 2015 Jul 15.</t>
  </si>
  <si>
    <t>Sawamura T, Klengel T, Armario A, Jovanovic T, Norrholm SD, Ressler KJ, Andero R.</t>
  </si>
  <si>
    <t>Dexamethasone Treatment Leads to Enhanced Fear Extinction and Dynamic Fkbp5 Regulation in Amygdala</t>
  </si>
  <si>
    <t>if rabbit</t>
  </si>
  <si>
    <t>rabit ptsd</t>
  </si>
  <si>
    <t>10.1037/bne0000092</t>
  </si>
  <si>
    <t>NIHMS739374</t>
  </si>
  <si>
    <t>PMC4667790</t>
  </si>
  <si>
    <t>Behav Neurosci</t>
  </si>
  <si>
    <t>Burhans LB</t>
  </si>
  <si>
    <t>Behav Neurosci. 2015 Oct;129(5):611-20. doi: 10.1037/bne0000092. Epub 2015 Sep 7.</t>
  </si>
  <si>
    <t>Burhans LB, Smith-Bell CA, Schreurs BG.</t>
  </si>
  <si>
    <t>Effects of extinction treatments on the reduction of conditioned responding and conditioned hyperarousal in a rabbit model of posttraumatic stress disorder (PTSD)</t>
  </si>
  <si>
    <t>avoiders vs non-avoiders</t>
  </si>
  <si>
    <t>yes (SR avoidane)</t>
  </si>
  <si>
    <t>yes pss</t>
  </si>
  <si>
    <t>model for avoidance in ptsd</t>
  </si>
  <si>
    <t>10.3109/10253890.2015.1094689</t>
  </si>
  <si>
    <t>NIHMS794118</t>
  </si>
  <si>
    <t>PMC4938251</t>
  </si>
  <si>
    <t>Whitaker AM</t>
  </si>
  <si>
    <t>Stress. 2016;19(1):69-77. doi: 10.3109/10253890.2015.1094689. Epub 2015 Oct 20.</t>
  </si>
  <si>
    <t>Whitaker AM, Farooq MA, Edwards S, Gilpin NW.</t>
  </si>
  <si>
    <t>Post-traumatic stress avoidance is attenuated by corticosterone and associated with brain levels of steroid receptor co-activator-1 in rats</t>
  </si>
  <si>
    <t>yes (fs)</t>
  </si>
  <si>
    <t>10.1016/j.euroneuro.2015.12.021</t>
  </si>
  <si>
    <t>Bentefour Y</t>
  </si>
  <si>
    <t>Eur Neuropsychopharmacol. 2016 Feb;26(2):195-207. doi: 10.1016/j.euroneuro.2015.12.021. Epub 2015 Dec 10.</t>
  </si>
  <si>
    <t>Bentefour Y, Rakibi Y, Bennis M, Ba-M'hamed S, Garcia R.</t>
  </si>
  <si>
    <t>Paroxetine treatment, following behavioral suppression of PTSD-like symptoms in mice, prevents relapse by activating the infralimbic cortex</t>
  </si>
  <si>
    <t>development of sps model for mice</t>
  </si>
  <si>
    <t>10.1016/j.bbr.2016.01.056</t>
  </si>
  <si>
    <t>Perrine SA</t>
  </si>
  <si>
    <t>Behav Brain Res. 2016 Apr 15;303:228-37. doi: 10.1016/j.bbr.2016.01.056. Epub 2016 Jan 25.</t>
  </si>
  <si>
    <t>Perrine SA, Eagle AL, George SA, Mulo K, Kohler RJ, Gerard J, Harutyunyan A, Hool SM, Susick LL, Schneider BL, Ghoddoussi F, Galloway MP, Liberzon I, Conti AC.</t>
  </si>
  <si>
    <t>Severe, multimodal stress exposure induces PTSD-like characteristics in a mouse model of single prolonged stress</t>
  </si>
  <si>
    <t>check fc AMP</t>
  </si>
  <si>
    <t>10.1016/j.jpsychires.2016.02.003</t>
  </si>
  <si>
    <t>J Psychiatr Res. 2016 May;76:74-83. doi: 10.1016/j.jpsychires.2016.02.003. Epub 2016 Feb 8.</t>
  </si>
  <si>
    <t>Kao CY, He Z, Zannas AS, Hahn O, K‚Äö√†√∂¬¨‚à´hne C, Reichel JM, Binder EB, Wotjak CT, Khaitovich P, Turck CW.</t>
  </si>
  <si>
    <t>Fluoxetine treatment prevents the inflammatory response in a mouse model of posttraumatic stress disorder</t>
  </si>
  <si>
    <t>ptsd = SD; control group; then mtbi or sham; cFC</t>
  </si>
  <si>
    <t>ptsd alone group?</t>
  </si>
  <si>
    <t>10.3389/fnbeh.2016.00071</t>
  </si>
  <si>
    <t>PMC4835499</t>
  </si>
  <si>
    <t>Davies DR</t>
  </si>
  <si>
    <t>Front Behav Neurosci. 2016 Apr 19;10:71. doi: 10.3389/fnbeh.2016.00071. eCollection 2016.</t>
  </si>
  <si>
    <t>Davies DR, Olson D, Meyer DL, Scholl JL, Watt MJ, Manzerra P, Renner KJ, Forster GL.</t>
  </si>
  <si>
    <t>Mild Traumatic Brain Injury with Social Defeat Stress Alters Anxiety, Contextual Fear Extinction, and Limbic Monoamines in Adult Rats</t>
  </si>
  <si>
    <t>pss &amp; selectie geen verschil EPM, wel startle</t>
  </si>
  <si>
    <t>10.1080/10253890.2016.1189898</t>
  </si>
  <si>
    <t>Hadad NA</t>
  </si>
  <si>
    <t>Stress. 2016 Jul;19(4):406-18. doi: 10.1080/10253890.2016.1189898. Epub 2016 Jun 3.</t>
  </si>
  <si>
    <t>Hadad NA, Wu L, Hiller H, Krause EG, Schwendt M, Knackstedt LA.</t>
  </si>
  <si>
    <t>Conditioned stress prevents cue-primed cocaine reinstatement only in stress-responsive rats</t>
  </si>
  <si>
    <t>yes (sps)</t>
  </si>
  <si>
    <t>10.1016/j.euroneuro.2016.06.004</t>
  </si>
  <si>
    <t>Lin CC</t>
  </si>
  <si>
    <t>Eur Neuropsychopharmacol. 2016 Sep;26(9):1484-1495. doi: 10.1016/j.euroneuro.2016.06.004. Epub 2016 Aug 2.</t>
  </si>
  <si>
    <t>Lin CC, Tung CS, Lin PH, Huang CL, Liu YP.</t>
  </si>
  <si>
    <t>Traumatic stress causes distinctive effects on fear circuit catecholamines and the fear extinction profile in a rodent model of posttraumatic stress disorder</t>
  </si>
  <si>
    <t>sps mice; fc 0.4mA</t>
  </si>
  <si>
    <t>check amp fc</t>
  </si>
  <si>
    <t>yes (high low responsive)</t>
  </si>
  <si>
    <t>yes (fc)</t>
  </si>
  <si>
    <t>10.1016/j.neulet.2016.12.056</t>
  </si>
  <si>
    <t>Neurosci Lett</t>
  </si>
  <si>
    <t>Aikins DE</t>
  </si>
  <si>
    <t>Neurosci Lett. 2017 Feb 3;639:162-166. doi: 10.1016/j.neulet.2016.12.056. Epub 2016 Dec 24.</t>
  </si>
  <si>
    <t>Aikins DE, Strader JA, Kohler RJ, Bihani N, Perrine SA.</t>
  </si>
  <si>
    <t>Differences in hippocampal serotonergic activity in a mouse single prolonged stress paradigm impact discriminant fear acquisition and retention</t>
  </si>
  <si>
    <t>trauma reminder test</t>
  </si>
  <si>
    <t>invloed pretrauma infectie op stress response</t>
  </si>
  <si>
    <t>10.1016/j.bbr.2017.01.048</t>
  </si>
  <si>
    <t>Deslauriers J</t>
  </si>
  <si>
    <t>Behav Brain Res. 2017 Apr 14;323:117-123. doi: 10.1016/j.bbr.2017.01.048. Epub 2017 Jan 31.</t>
  </si>
  <si>
    <t>Deslauriers J, van Wijngaarde M, Geyer MA, Powell S, Risbrough VB.</t>
  </si>
  <si>
    <t>Effects of LPS-induced immune activation prior to trauma exposure on PTSD-like symptoms in mice</t>
  </si>
  <si>
    <t>10.1007/s12031-017-0895-z</t>
  </si>
  <si>
    <t>Kong F</t>
  </si>
  <si>
    <t>J Mol Neurosci. 2017 Apr;61(4):531-541. doi: 10.1007/s12031-017-0895-z. Epub 2017 Feb 16.</t>
  </si>
  <si>
    <t>Kong F, Han F, Xu Y, Shi Y.</t>
  </si>
  <si>
    <t>Molecular Mechanisms of IRE1‚âà√≠¬¨¬±-ASK1 Pathway Reactions to Unfolded Protein Response in DRN Neurons of Post-Traumatic Stress Disorder Rats</t>
  </si>
  <si>
    <t>10.1007/s12031-017-0909-x</t>
  </si>
  <si>
    <t>Zheng S</t>
  </si>
  <si>
    <t>J Mol Neurosci. 2017 May;62(1):43-54. doi: 10.1007/s12031-017-0909-x. Epub 2017 Mar 25.</t>
  </si>
  <si>
    <t>Zheng S, Han F, Shi Y, Wen L, Han D.</t>
  </si>
  <si>
    <t>Single-Prolonged-Stress-Induced Changes in Autophagy-Related Proteins Beclin-1, LC3, and p62 in the Medial Prefrontal Cortex of Rats with Post-traumatic Stress Disorder</t>
  </si>
  <si>
    <t>yes(SR)</t>
  </si>
  <si>
    <t>10.1016/j.euroneuro.2017.06.006</t>
  </si>
  <si>
    <t>Aisenberg N</t>
  </si>
  <si>
    <t>Eur Neuropsychopharmacol. 2017 Sep;27(9):913-927. doi: 10.1016/j.euroneuro.2017.06.006. Epub 2017 Jun 26.</t>
  </si>
  <si>
    <t>Aisenberg N, Serova L, Sabban EL, Akirav I.</t>
  </si>
  <si>
    <t>The effects of enhancing endocannabinoid signaling and blocking corticotrophin releasing factor receptor in the amygdala and hippocampus on the consolidation of a stressful event</t>
  </si>
  <si>
    <t>also in human search!</t>
  </si>
  <si>
    <t>rabbit</t>
  </si>
  <si>
    <t>rabbit ptsd</t>
  </si>
  <si>
    <t>10.1097/FBP.0000000000000333</t>
  </si>
  <si>
    <t>NIHMS891208</t>
  </si>
  <si>
    <t>PMC5599342</t>
  </si>
  <si>
    <t>Behav Pharmacol</t>
  </si>
  <si>
    <t>Behav Pharmacol. 2017 Oct;28(7):565-577. doi: 10.1097/FBP.0000000000000333.</t>
  </si>
  <si>
    <t>Effects of systemic glutamatergic manipulations on conditioned eyeblink responses and hyperarousal in a rabbit model of post-traumatic stress disorder</t>
  </si>
  <si>
    <t>GR &amp; endocan -&gt; ptsd</t>
  </si>
  <si>
    <t>10.1016/j.nlm.2017.08.004</t>
  </si>
  <si>
    <t>Shoshan N</t>
  </si>
  <si>
    <t>Neurobiol Learn Mem. 2017 Oct;144:248-258. doi: 10.1016/j.nlm.2017.08.004. Epub 2017 Aug 15.</t>
  </si>
  <si>
    <t>Shoshan N, Akirav I.</t>
  </si>
  <si>
    <t>The effects of cannabinoid receptors activation and glucocorticoid receptors deactivation in the amygdala and hippocampus on the consolidation of a traumatic event</t>
  </si>
  <si>
    <t>NA ptsd</t>
  </si>
  <si>
    <t>10.1007/s10571-017-0548-3</t>
  </si>
  <si>
    <t>Cell Mol Neurobiol</t>
  </si>
  <si>
    <t>Sabban EL</t>
  </si>
  <si>
    <t>Cell Mol Neurobiol. 2018 Jan;38(1):273-280. doi: 10.1007/s10571-017-0548-3. Epub 2017 Sep 9.</t>
  </si>
  <si>
    <t>Sabban EL, Serova LI, Newman E, Aisenberg N, Akirav I.</t>
  </si>
  <si>
    <t>Changes in Gene Expression in the Locus Coeruleus-Amygdala Circuitry in Inhibitory Avoidance PTSD Model</t>
  </si>
  <si>
    <t>ptsd, context, sleep</t>
  </si>
  <si>
    <t>10.1093/sleep/zsy003</t>
  </si>
  <si>
    <t>Sleep</t>
  </si>
  <si>
    <t>Sharma R</t>
  </si>
  <si>
    <t>Sleep. 2018 Mar 1;41(3). doi: 10.1093/sleep/zsy003.</t>
  </si>
  <si>
    <t>Sharma R, Sahota P, Thakkar MM.</t>
  </si>
  <si>
    <t>Severe and protracted sleep disruptions in mouse model of post-traumatic stress disorder</t>
  </si>
  <si>
    <t>10.1016/j.pnpbp.2018.01.026</t>
  </si>
  <si>
    <t>Burstein O</t>
  </si>
  <si>
    <t>Prog Neuropsychopharmacol Biol Psychiatry. 2018 Jun 8;84(Pt A):129-139. doi: 10.1016/j.pnpbp.2018.01.026. Epub 2018 Feb 17.</t>
  </si>
  <si>
    <t>Burstein O, Shoshan N, Doron R, Akirav I.</t>
  </si>
  <si>
    <t>Cannabinoids prevent depressive-like symptoms and alterations in BDNF expression in a rat model of PTSD</t>
  </si>
  <si>
    <t>10.1016/j.euroneuro.2018.02.004</t>
  </si>
  <si>
    <t>Fidelman S</t>
  </si>
  <si>
    <t>Eur Neuropsychopharmacol. 2018 May;28(5):630-642. doi: 10.1016/j.euroneuro.2018.02.004. Epub 2018 Mar 5.</t>
  </si>
  <si>
    <t>Fidelman S, Mizrachi Zer-Aviv T, Lange R, Hillard CJ, Akirav I.</t>
  </si>
  <si>
    <t>Chronic treatment with URB597 ameliorates post-stress symptoms in a rat model of PTSD</t>
  </si>
  <si>
    <t>10.1016/j.brainresbull.2018.03.009</t>
  </si>
  <si>
    <t>Brain Res Bull</t>
  </si>
  <si>
    <t>Alzoubi KH</t>
  </si>
  <si>
    <t>Brain Res Bull. 2018 May;139:263-268. doi: 10.1016/j.brainresbull.2018.03.009. Epub 2018 Mar 17.</t>
  </si>
  <si>
    <t>Alzoubi KH, Khabour OF, Ahmed M.</t>
  </si>
  <si>
    <t>Pentoxifylline prevents post-traumatic stress disorder induced memory impairment</t>
  </si>
  <si>
    <t>shocks orbita (0.1,0.3,0.5,1.0,2.0mA)</t>
  </si>
  <si>
    <t>if rabbits included</t>
  </si>
  <si>
    <t>rabbits ptsd; distregulation NA in ptsd</t>
  </si>
  <si>
    <t>10.1016/j.neuropharm.2018.03.029</t>
  </si>
  <si>
    <t>NIHMS957475</t>
  </si>
  <si>
    <t>PMC5975200</t>
  </si>
  <si>
    <t>Neuropharmacology. 2018 Jun;135:386-398. doi: 10.1016/j.neuropharm.2018.03.029. Epub 2018 Mar 23.</t>
  </si>
  <si>
    <t>Propranolol produces short-term facilitation of extinction in a rabbit model of post-traumatic stress disorder</t>
  </si>
  <si>
    <t>0.4 0.8mA shocks, non shocked controls</t>
  </si>
  <si>
    <t>check amp FC</t>
  </si>
  <si>
    <t>fear &amp; reward condition tasks; fear eerst</t>
  </si>
  <si>
    <t>10.1523/JNEUROSCI.3113-17.2018</t>
  </si>
  <si>
    <t>PMC6705931</t>
  </si>
  <si>
    <t>Jing Li J</t>
  </si>
  <si>
    <t>J Neurosci. 2018 May 9;38(19):4543-4555. doi: 10.1523/JNEUROSCI.3113-17.2018. Epub 2018 Apr 23.</t>
  </si>
  <si>
    <t>Jing Li J, Szkudlarek H, Renard J, Hudson R, Rushlow W, Laviolette SR.</t>
  </si>
  <si>
    <t>Fear Memory Recall Potentiates Opiate Reward Sensitivity through Dissociable Dopamine D1 versus D4 Receptor-Dependent Memory Mechanisms in the Prefrontal Cortex</t>
  </si>
  <si>
    <t>10.3389/fnbeh.2018.00105</t>
  </si>
  <si>
    <t>PMC5985313</t>
  </si>
  <si>
    <t>Renicker MD</t>
  </si>
  <si>
    <t>Front Behav Neurosci. 2018 May 28;12:105. doi: 10.3389/fnbeh.2018.00105. eCollection 2018.</t>
  </si>
  <si>
    <t>Renicker MD, Cysewski N, Palmer S, Nakonechnyy D, Keef A, Thomas M, Magori K, Daberkow DP.</t>
  </si>
  <si>
    <t>Ameliorating Impact of Prophylactic Intranasal Oxytocin on Signs of Fear in a Rat Model of Traumatic Stress</t>
  </si>
  <si>
    <t>check memory task</t>
  </si>
  <si>
    <t>10.1016/j.brainresbull.2018.06.003</t>
  </si>
  <si>
    <t>Reddy NR</t>
  </si>
  <si>
    <t>Brain Res Bull. 2018 Jun;140:365-377. doi: 10.1016/j.brainresbull.2018.06.003. Epub 2018 Jun 11.</t>
  </si>
  <si>
    <t>Reddy NR, Krishnamurthy S.</t>
  </si>
  <si>
    <t>Repeated olanzapine treatment mitigates PTSD like symptoms in rats with changes in cell signaling factors</t>
  </si>
  <si>
    <t>10.5607/en.2018.27.3.200</t>
  </si>
  <si>
    <t>PMC6050414</t>
  </si>
  <si>
    <t>Exp Neurobiol</t>
  </si>
  <si>
    <t>Shin JY</t>
  </si>
  <si>
    <t>Exp Neurobiol. 2018 Jun;27(3):200-209. doi: 10.5607/en.2018.27.3.200. Epub 2018 May 24.</t>
  </si>
  <si>
    <t>Shin JY, Shin JW, Ha SK, Kim Y, Swanberg KM, Lee S, Kim TW, Maeng S.</t>
  </si>
  <si>
    <t>Radix Polygalae Extract Attenuates PTSD-like Symptoms in a Mouse Model of Single Prolonged Stress and Conditioned Fear Possibly by Reversing BAG1</t>
  </si>
  <si>
    <t>yes (avoidance trauma cue?)</t>
  </si>
  <si>
    <t>10.3171/2018.5.FOCUS18166</t>
  </si>
  <si>
    <t>Neurosurg Focus</t>
  </si>
  <si>
    <t>Dengler BA</t>
  </si>
  <si>
    <t>Neurosurg Focus. 2018 Aug;45(2):E16. doi: 10.3171/2018.5.FOCUS18166.</t>
  </si>
  <si>
    <t>Dengler BA, Hawksworth SA, Berardo L, McDougall I, Papanastassiou AM.</t>
  </si>
  <si>
    <t>Bilateral amygdala stimulation reduces avoidance behavior in a predator scent posttraumatic stress disorder model</t>
  </si>
  <si>
    <t>10.1016/j.brs.2018.09.003</t>
  </si>
  <si>
    <t>Brain Stimul</t>
  </si>
  <si>
    <t>Legrand M</t>
  </si>
  <si>
    <t>Brain Stimul. 2019 Jan-Feb;12(1):87-95. doi: 10.1016/j.brs.2018.09.003. Epub 2018 Sep 8.</t>
  </si>
  <si>
    <t>Legrand M, Troubat R, Brizard B, Le Guisquet AM, Belzung C, El-Hage W.</t>
  </si>
  <si>
    <t>Prefrontal cortex rTMS reverses behavioral impairments and differentially activates c-Fos in a mouse model of post-traumatic stress¬¨¬®‚Äö√Ñ‚Ä†disorder</t>
  </si>
  <si>
    <t>10.1111/gbb.12520</t>
  </si>
  <si>
    <t>Genes Brain Behav</t>
  </si>
  <si>
    <t>Kataoka T</t>
  </si>
  <si>
    <t>Genes Brain Behav. 2019 Sep;18(7):e12520. doi: 10.1111/gbb.12520. Epub 2018 Oct 9.</t>
  </si>
  <si>
    <t>Kataoka T, Fuchikami M, Nojima S, Nagashima N, Araki M, Omura J, Miyagi T, Okamoto Y, Morinobu S.</t>
  </si>
  <si>
    <t>Combined brain-derived neurotrophic factor with extinction training alleviate impaired fear extinction in an animal model of post-traumatic stress disorder</t>
  </si>
  <si>
    <t>10.1038/s41398-018-0265-9</t>
  </si>
  <si>
    <t>PMC6173705</t>
  </si>
  <si>
    <t>Schwendt M</t>
  </si>
  <si>
    <t>Transl Psychiatry. 2018 Oct 5;8(1):209. doi: 10.1038/s41398-018-0265-9.</t>
  </si>
  <si>
    <t>Schwendt M, Shallcross J, Hadad NA, Namba MD, Hiller H, Wu L, Krause EG, Knackstedt LA.</t>
  </si>
  <si>
    <t>A novel rat model of comorbid PTSD and addiction reveals intersections between stress susceptibility and enhanced cocaine seeking with a role for mGlu5 receptors</t>
  </si>
  <si>
    <t>10.1016/j.psychres.2018.10.008</t>
  </si>
  <si>
    <t>Psychiatry Res. 2018 Dec;270:430-437. doi: 10.1016/j.psychres.2018.10.008. Epub 2018 Oct 6.</t>
  </si>
  <si>
    <t>Alzoubi KH, Al-Ibbini AM, Nuseir KQ.</t>
  </si>
  <si>
    <t>Prevention of memory impairment induced by post-traumatic stress disorder by cerebrolysin</t>
  </si>
  <si>
    <t>auteurs zeggen y-maze is WM (no other memory tasks) -&gt; y-maze zat wel in codes s1.. Wat te doen?</t>
  </si>
  <si>
    <t>check tasks</t>
  </si>
  <si>
    <t>y-maze = WM? (in s1 wel y-maze data included)</t>
  </si>
  <si>
    <t>10.18926/AMO/56245</t>
  </si>
  <si>
    <t>Acta Med Okayama</t>
  </si>
  <si>
    <t>Tanaka KI</t>
  </si>
  <si>
    <t>Acta Med Okayama. 2018 Oct;72(5):479-485. doi: 10.18926/AMO/56245.</t>
  </si>
  <si>
    <t>Tanaka KI, Yagi T, Nanba T, Asanuma M.</t>
  </si>
  <si>
    <t>Application of Single Prolonged Stress Induces Post-traumatic Stress Disorder-like Characteristics in Mice</t>
  </si>
  <si>
    <t>10.3389/fnbeh.2018.00247</t>
  </si>
  <si>
    <t>PMC6220349</t>
  </si>
  <si>
    <t>Chen CV</t>
  </si>
  <si>
    <t>Front Behav Neurosci. 2018 Oct 31;12:247. doi: 10.3389/fnbeh.2018.00247. eCollection 2018.</t>
  </si>
  <si>
    <t>Chen CV, Chaby LE, Nazeer S, Liberzon I.</t>
  </si>
  <si>
    <t>Effects of Trauma in Adulthood and Adolescence on Fear Extinction and Extinction Retention: Advancing Animal Models of Posttraumatic Stress Disorder</t>
  </si>
  <si>
    <t>GR receptor dynamisc in PTSD</t>
  </si>
  <si>
    <t>10.1371/journal.pone.0205144</t>
  </si>
  <si>
    <t>PMC6286002</t>
  </si>
  <si>
    <t>Moulton E</t>
  </si>
  <si>
    <t>PLoS One. 2018 Dec 7;13(12):e0205144. doi: 10.1371/journal.pone.0205144. eCollection 2018.</t>
  </si>
  <si>
    <t>Moulton E, Chamness M, Knox D.</t>
  </si>
  <si>
    <t>Characterizing changes in glucocorticoid receptor internalization in the fear circuit in an animal model of post traumatic stress disorder</t>
  </si>
  <si>
    <t>10.1186/s12906-018-2417-0</t>
  </si>
  <si>
    <t>PMC6323859</t>
  </si>
  <si>
    <t>BMC Complement Altern Med</t>
  </si>
  <si>
    <t>Lee B</t>
  </si>
  <si>
    <t>BMC Complement Altern Med. 2019 Jan 8;19(1):11. doi: 10.1186/s12906-018-2417-0.</t>
  </si>
  <si>
    <t>Lee B, Hong R, Lim P, Cho D, Yeom M, Lee S, Kang KS, Lee SC, Shim I, Lee H, Hahm DH.</t>
  </si>
  <si>
    <t>The ethanolic extract of Aralia continentalis ameliorates cognitive deficits via modifications of BDNF expression and anti-inflammatory effects in a rat model of post-traumatic stress disorder</t>
  </si>
  <si>
    <t>threat associated gene expression blood</t>
  </si>
  <si>
    <t>10.3389/fpsyt.2018.00778</t>
  </si>
  <si>
    <t>PMC6344436</t>
  </si>
  <si>
    <t>Lori A</t>
  </si>
  <si>
    <t>Front Psychiatry. 2019 Jan 17;9:778. doi: 10.3389/fpsyt.2018.00778. eCollection 2018.</t>
  </si>
  <si>
    <t>Lori A, Maddox SA, Sharma S, Andero R, Ressler KJ, Smith AK.</t>
  </si>
  <si>
    <t>Dynamic Patterns of Threat-Associated Gene Expression in the Amygdala and Blood</t>
  </si>
  <si>
    <t>10.1097/FBP.0000000000000479</t>
  </si>
  <si>
    <t>Behav Pharmacol. 2019 Apr;30(2 and 3-Spec Issue):201-207. doi: 10.1097/FBP.0000000000000479.</t>
  </si>
  <si>
    <t>Alzoubi KH, Shatnawi A, Al-Qudah MA, Alfaqih MA.</t>
  </si>
  <si>
    <t>Edaravone prevents memory impairment in an animal model of post-traumatic distress</t>
  </si>
  <si>
    <t>10.3390/biom9030100</t>
  </si>
  <si>
    <t>PMC6468674</t>
  </si>
  <si>
    <t>Biomolecules</t>
  </si>
  <si>
    <t>Alquraan L</t>
  </si>
  <si>
    <t>Biomolecules. 2019 Mar 12;9(3):100. doi: 10.3390/biom9030100.</t>
  </si>
  <si>
    <t>Alquraan L, Alzoubi KH, Hammad H, Rababa'h SY, Mayyas F.</t>
  </si>
  <si>
    <t>Omega-3 Fatty Acids Prevent Post-Traumatic Stress Disorder-Induced Memory Impairment</t>
  </si>
  <si>
    <t>8x 1.5mA</t>
  </si>
  <si>
    <t>FS AMP?</t>
  </si>
  <si>
    <t>10.1186/s13041-019-0449-0</t>
  </si>
  <si>
    <t>PMC6438009</t>
  </si>
  <si>
    <t>Tanaka M</t>
  </si>
  <si>
    <t>Mol Brain. 2019 Mar 28;12(1):25. doi: 10.1186/s13041-019-0449-0.</t>
  </si>
  <si>
    <t>Tanaka M, Li H, Zhang X, Singh J, Dalgard CL, Wilkerson M, Zhang Y.</t>
  </si>
  <si>
    <t>Region- and time-dependent gene regulation in the amygdala and anterior cingulate cortex of a PTSD-like mouse model</t>
  </si>
  <si>
    <t>10.1016/j.bbr.2019.111909</t>
  </si>
  <si>
    <t>Matonda-Ma-Nzuzi T</t>
  </si>
  <si>
    <t>Behav Brain Res. 2019 Aug 5;368:111909. doi: 10.1016/j.bbr.2019.111909. Epub 2019 Apr 12.</t>
  </si>
  <si>
    <t>Matonda-Ma-Nzuzi T, Didone V, Seutin V, Tirelli E, Quertemont E.</t>
  </si>
  <si>
    <t>Investigating the reciprocal relationships between locomotor sensitization to ethanol and PTSD-like clusters in DBA/2J mice</t>
  </si>
  <si>
    <t>10.1080/10253890.2019.1602604</t>
  </si>
  <si>
    <t>Souza RR</t>
  </si>
  <si>
    <t>Stress. 2019 Jul;22(4):509-520. doi: 10.1080/10253890.2019.1602604. Epub 2019 Apr 23.</t>
  </si>
  <si>
    <t>Souza RR, Robertson NM, Pruitt DT, Gonzales PA, Hays SA, Rennaker RL, Kilgard MP, McIntyre CK.</t>
  </si>
  <si>
    <t>Vagus nerve stimulation reverses the extinction impairments in a model of PTSD with prolonged and repeated trauma</t>
  </si>
  <si>
    <t>10.1016/j.neuropharm.2019.05.012</t>
  </si>
  <si>
    <t>Malikowska-Racia N</t>
  </si>
  <si>
    <t>Neuropharmacology. 2019 Sep 1;155:1-9. doi: 10.1016/j.neuropharm.2019.05.012. Epub 2019 May 11.</t>
  </si>
  <si>
    <t>Malikowska-Racia N, Sa‚Äö√¢√†‚àö√°at K, Nowaczyk A, Fija‚Äö√¢√†‚àö√°kowski ‚Äö√¢√†‚àö√ñ, Popik P.</t>
  </si>
  <si>
    <t>Dopamine D2/D3 receptor agonists attenuate PTSD-like symptoms in mice exposed to single prolonged stress</t>
  </si>
  <si>
    <t>10.1016/j.psychres.2018.12.034</t>
  </si>
  <si>
    <t>Gao ZW</t>
  </si>
  <si>
    <t>Psychiatry Res. 2019 Sep;279:130-137. doi: 10.1016/j.psychres.2018.12.034. Epub 2018 Dec 6.</t>
  </si>
  <si>
    <t>Gao ZW, Ju RL, Luo M, Wu SL, Zhang WT.</t>
  </si>
  <si>
    <t>The anxiolytic-like effects of ginsenoside Rg2 on an animal model of PTSD</t>
  </si>
  <si>
    <t>lijkt op TIC!</t>
  </si>
  <si>
    <t>10.1038/s41467-019-09926-z</t>
  </si>
  <si>
    <t>PMC6543038</t>
  </si>
  <si>
    <t>Nat Commun</t>
  </si>
  <si>
    <t>Dopfel D</t>
  </si>
  <si>
    <t>Nat Commun. 2019 May 30;10(1):2372. doi: 10.1038/s41467-019-09926-z.</t>
  </si>
  <si>
    <t>Dopfel D, Perez PD, Verbitsky A, Bravo-Rivera H, Ma Y, Quirk GJ, Zhang N.</t>
  </si>
  <si>
    <t>Individual variability in behavior and functional networks predicts vulnerability using an animal model of PTSD</t>
  </si>
  <si>
    <t>10.1016/j.bbi.2019.05.042</t>
  </si>
  <si>
    <t>Brain Behav Immun</t>
  </si>
  <si>
    <t>Smith KL</t>
  </si>
  <si>
    <t>Brain Behav Immun. 2019 Aug;80:889-899. doi: 10.1016/j.bbi.2019.05.042. Epub 2019 May 31.</t>
  </si>
  <si>
    <t>Smith KL, Kassem MS, Clarke DJ, Kuligowski MP, Bedoya-P‚Äö√†√∂¬¨¬©rez MA, Todd SM, Lagopoulos J, Bennett MR, Arnold JC.</t>
  </si>
  <si>
    <t>Microglial cell hyper-ramification and neuronal dendritic spine loss in the hippocampus and medial prefrontal cortex in a mouse model of PTSD</t>
  </si>
  <si>
    <t>sps; safety learning</t>
  </si>
  <si>
    <t>ptsd+memory?</t>
  </si>
  <si>
    <t>yes sps</t>
  </si>
  <si>
    <t>10.1073/pnas.1901902116</t>
  </si>
  <si>
    <t>PMC6600914</t>
  </si>
  <si>
    <t>Proc Natl Acad Sci U S A</t>
  </si>
  <si>
    <t>Yan R</t>
  </si>
  <si>
    <t>Proc Natl Acad Sci U S A. 2019 Jun 25;116(26):13077-13086. doi: 10.1073/pnas.1901902116. Epub 2019 Jun 10.</t>
  </si>
  <si>
    <t>Yan R, Wang T, Zhou Q.</t>
  </si>
  <si>
    <t>Elevated dopamine signaling from ventral tegmental area to prefrontal cortical parvalbumin neurons drives conditioned inhibition</t>
  </si>
  <si>
    <t>10.1007/s11033-019-04915-3</t>
  </si>
  <si>
    <t>Mol Biol Rep</t>
  </si>
  <si>
    <t>Mol Biol Rep. 2019 Oct;46(5):4709-4715. doi: 10.1007/s11033-019-04915-3. Epub 2019 Jun 19.</t>
  </si>
  <si>
    <t>Alzoubi KH, Al Hilo AS, Al-Balas QA, El-Salem K, El-Elimat T, Alali FQ.</t>
  </si>
  <si>
    <t>Withania somnifera root powder protects againist post-traumatic stress disorder-induced memory impairment</t>
  </si>
  <si>
    <t>control group &amp; 0.8mA group</t>
  </si>
  <si>
    <t>ptsd model, check fc AMP</t>
  </si>
  <si>
    <t>10.1016/j.bbr.2019.112160</t>
  </si>
  <si>
    <t>Hooversmith JM</t>
  </si>
  <si>
    <t>Behav Brain Res. 2019 Dec 16;375:112160. doi: 10.1016/j.bbr.2019.112160. Epub 2019 Aug 18.</t>
  </si>
  <si>
    <t>Hooversmith JM, Bhatti DL, Holmes PV.</t>
  </si>
  <si>
    <t>Galanin administration into the prelimbic cortex impairs consolidation and expression of contextual fear conditioning</t>
  </si>
  <si>
    <t>strong 1.2mA end weak shock groups (0.4 mA) and control (0.mA)</t>
  </si>
  <si>
    <t>ketamine &amp; fear gen</t>
  </si>
  <si>
    <t>10.1007/s12264-019-00422-4</t>
  </si>
  <si>
    <t>PMC6977810</t>
  </si>
  <si>
    <t>Neurosci Bull</t>
  </si>
  <si>
    <t>Asim M</t>
  </si>
  <si>
    <t>Neurosci Bull. 2020 Feb;36(2):153-164. doi: 10.1007/s12264-019-00422-4. Epub 2019 Aug 23.</t>
  </si>
  <si>
    <t>Asim M, Hao B, Yang YH, Fan BF, Xue L, Shi YW, Wang XG, Zhao H.</t>
  </si>
  <si>
    <t>Ketamine Alleviates Fear Generalization Through GluN2B-BDNF Signaling in Mice</t>
  </si>
  <si>
    <t>10.1101/lm.050310.119</t>
  </si>
  <si>
    <t>PMC6749928</t>
  </si>
  <si>
    <t>Della Valle R</t>
  </si>
  <si>
    <t>Learn Mem. 2019 Sep 16;26(10):1-9. doi: 10.1101/lm.050310.119. Print 2019 Oct.</t>
  </si>
  <si>
    <t>Della Valle R, Mohammadmirzaei N, Knox D.</t>
  </si>
  <si>
    <t>Single prolonged stress alters neural activation in the periacqueductal gray and midline thalamic nuclei during emotional learning and memory</t>
  </si>
  <si>
    <t>10.1016/j.neuropharm.2019.107804</t>
  </si>
  <si>
    <t>Maymon N</t>
  </si>
  <si>
    <t>Neuropharmacology. 2020 Jan 1;162:107804. doi: 10.1016/j.neuropharm.2019.107804. Epub 2019 Oct 14.</t>
  </si>
  <si>
    <t>Maymon N, Mizrachi Zer-Aviv T, Sabban EL, Akirav I.</t>
  </si>
  <si>
    <t>Neuropeptide Y and cannabinoids interaction in the amygdala after exposure to shock and reminders model of PTSD</t>
  </si>
  <si>
    <t>10.26402/jpp.2019.4.07</t>
  </si>
  <si>
    <t>J Physiol Pharmacol</t>
  </si>
  <si>
    <t>Ozbeyli D</t>
  </si>
  <si>
    <t>J Physiol Pharmacol. 2019 Aug;70(4). doi: 10.26402/jpp.2019.4.07. Epub 2019 Oct 19.</t>
  </si>
  <si>
    <t>Ozbeyli D, Aykac A, Alaca N, Hazar-Yavuz AN, Ozkan N, Sener G.</t>
  </si>
  <si>
    <t>Protective effects of vortioxetine in predator scent stress model of post-traumatic stress disorder in rats: role on neuroplasticity and apoptosis</t>
  </si>
  <si>
    <t>vit c to reduce hipp damage in ptsd</t>
  </si>
  <si>
    <t>10.1016/j.bbr.2019.112350</t>
  </si>
  <si>
    <t>Behav Brain Res. 2020 Feb 3;379:112350. doi: 10.1016/j.bbr.2019.112350. Epub 2019 Nov 8.</t>
  </si>
  <si>
    <t>Alzoubi KH, Shatnawi AF, Al-Qudah MA, Alfaqih MA.</t>
  </si>
  <si>
    <t>Vitamin C attenuates memory loss induced by post-traumatic stress like behavior in a rat model</t>
  </si>
  <si>
    <t>sps; control (HC) and sham (SPS only)  groups</t>
  </si>
  <si>
    <t>ptd model?</t>
  </si>
  <si>
    <t>SPS "Extiction resistent rat-model ptsd"</t>
  </si>
  <si>
    <t>10.1016/j.pnpbp.2019.109848</t>
  </si>
  <si>
    <t>Prog Neuropsychopharmacol Biol Psychiatry. 2020 Apr 20;99:109848. doi: 10.1016/j.pnpbp.2019.109848. Epub 2019 Dec 19.</t>
  </si>
  <si>
    <t>Souza RR, Robertson NM, Mathew E, Tabet MN, Bucksot JE, Pruitt DT, Rennaker RL, Hays SA, McIntyre CK, Kilgard MP.</t>
  </si>
  <si>
    <t>Efficient parameters of vagus nerve stimulation to enhance extinction learning in an extinction-resistant rat model of PTSD</t>
  </si>
  <si>
    <t>10.1002/syn.22146</t>
  </si>
  <si>
    <t>Synapse</t>
  </si>
  <si>
    <t>Xiao B</t>
  </si>
  <si>
    <t>Synapse. 2020 Jun;74(6):e22146. doi: 10.1002/syn.22146. Epub 2020 Feb 17.</t>
  </si>
  <si>
    <t>Xiao B, Han F, Shi Y.</t>
  </si>
  <si>
    <t>Administration of moclobemide facilitates fear extinction and attenuates anxiety-like behaviors by regulating synaptic-associated proteins in a rat model of post-traumatic stress disorder</t>
  </si>
  <si>
    <t>10.1080/00207454.2019.1711078</t>
  </si>
  <si>
    <t>Int J Neurosci</t>
  </si>
  <si>
    <t>Prajapati SK</t>
  </si>
  <si>
    <t>Int J Neurosci. 2020 Jan 12:1-12. doi: 10.1080/00207454.2019.1711078. Online ahead of print.</t>
  </si>
  <si>
    <t>Prajapati SK, Singh N, Garabadu D, Krishnamurthy S.</t>
  </si>
  <si>
    <t>A novel stress re-stress model: modification of re-stressor cue induces long-lasting post-traumatic stress disorder-like symptoms in rats</t>
  </si>
  <si>
    <t>full tekst not available requested on RG</t>
  </si>
  <si>
    <t>no?</t>
  </si>
  <si>
    <t>? Time-dependent sensitization model?</t>
  </si>
  <si>
    <t>sport &amp; brain ptsd</t>
  </si>
  <si>
    <t>10.23736/S0022-4707.20.10120-8</t>
  </si>
  <si>
    <t>J Sports Med Phys Fitness</t>
  </si>
  <si>
    <t>Zhang J</t>
  </si>
  <si>
    <t>J Sports Med Phys Fitness. 2020 Jan;60(1):172-179. doi: 10.23736/S0022-4707.20.10120-8.</t>
  </si>
  <si>
    <t>Zhang J, Xue R, Li YF, Zhang YZ, Wei HW.</t>
  </si>
  <si>
    <t>Anxiolytic-like effects of treadmill exercise on an animal model of post-traumatic stress disorder and its mechanism</t>
  </si>
  <si>
    <t>21 day restrained stress; FC 1mA; also HC and fc only groups (without chronic restrained)</t>
  </si>
  <si>
    <t>fc sterkte? / restrained duur te lang</t>
  </si>
  <si>
    <t>10.3390/biom10020212</t>
  </si>
  <si>
    <t>PMC7072246</t>
  </si>
  <si>
    <t>Merino JJ</t>
  </si>
  <si>
    <t>Biomolecules. 2020 Feb 1;10(2):212. doi: 10.3390/biom10020212.</t>
  </si>
  <si>
    <t>Merino JJ, Mu‚Äö√†√∂¬¨¬±et‚Äö√†√∂‚Äö√¢‚Ä¢n-Gomez V, Mu‚Äö√†√∂¬¨¬±et‚Äö√†√∂‚Äö√¢‚Ä¢n-G‚Äö√†√∂‚Äö√¢‚Ä¢mez C, P‚Äö√†√∂¬¨¬©rez-Izquierdo M‚Äö√†√∂‚àö√ñ, Loscertales M, Toledano Gasca A.</t>
  </si>
  <si>
    <t>Hippocampal CCR5/RANTES Elevations in a Rodent Model of Post-Traumatic Stress Disorder: Maraviroc (a CCR5 Antagonist) Increases Corticosterone Levels and Enhances Fear Memory Consolidation</t>
  </si>
  <si>
    <t>10.1016/j.bbr.2019.112455</t>
  </si>
  <si>
    <t>Salehabadi S</t>
  </si>
  <si>
    <t>Behav Brain Res. 2020 Apr 20;384:112455. doi: 10.1016/j.bbr.2019.112455. Epub 2020 Feb 7.</t>
  </si>
  <si>
    <t>Salehabadi S, Abrari K, Elahdadi Salmani M, Nasiri M, Lashkarbolouki T.</t>
  </si>
  <si>
    <t>Investigating the role of the amygdala orexin receptor 1 in memory acquisition and extinction in a rat model of PTSD</t>
  </si>
  <si>
    <t>10.1038/s41398-020-0714-0</t>
  </si>
  <si>
    <t>PMC7026036</t>
  </si>
  <si>
    <t>Le Dorze C</t>
  </si>
  <si>
    <t>Transl Psychiatry. 2020 Jan 27;10(1):27. doi: 10.1038/s41398-020-0714-0.</t>
  </si>
  <si>
    <t>Le Dorze C, Borreca A, Pignataro A, Ammassari-Teule M, Gisquet-Verrier P.</t>
  </si>
  <si>
    <t>Emotional remodeling with oxytocin durably rescues trauma-induced behavioral and neuro-morphological changes in rats: a promising treatment for PTSD</t>
  </si>
  <si>
    <t>10.1016/j.neuroscience.2020.02.026</t>
  </si>
  <si>
    <t>Han D</t>
  </si>
  <si>
    <t>Neuroscience. 2020 Apr 15;432:126-136. doi: 10.1016/j.neuroscience.2020.02.026. Epub 2020 Feb 27.</t>
  </si>
  <si>
    <t>Han D, Han F, Shi Y, Zheng S, Wen L.</t>
  </si>
  <si>
    <t>Mechanisms of Memory Impairment Induced by Orexin-A via Orexin 1 and Orexin 2 Receptors in Post-traumatic Stress Disorder Rats</t>
  </si>
  <si>
    <t>10.1007/s12031-020-01518-7</t>
  </si>
  <si>
    <t>Aykac A</t>
  </si>
  <si>
    <t>J Mol Neurosci. 2020 Mar 4. doi: 10.1007/s12031-020-01518-7. Online ahead of print.</t>
  </si>
  <si>
    <t>Aykac A, ‚Äö√¢√†‚àö¬™ehirli A‚Äö√†√∂‚àö¬±, G‚Äö√†√∂‚Äö√†√áren MZ.</t>
  </si>
  <si>
    <t>Evaluation of the Effect of Prazosin Treatment on ‚âà√≠¬¨¬±-2c Adrenoceptor and Apoptosis Protein Levels in the Predator Scent-Induced Rat Model of Post-Traumatic Stress Disorder</t>
  </si>
  <si>
    <t>10.1186/s12906-020-2868-y</t>
  </si>
  <si>
    <t>PMC7076861</t>
  </si>
  <si>
    <t>BMC Complement Med Ther</t>
  </si>
  <si>
    <t>BMC Complement Med Ther. 2020 Mar 6;20(1):70. doi: 10.1186/s12906-020-2868-y.</t>
  </si>
  <si>
    <t>Lee B, Choi GM, Sur B.</t>
  </si>
  <si>
    <t>Silibinin prevents depression-like behaviors in a single prolonged stress rat model: the possible role of serotonin</t>
  </si>
  <si>
    <t>10.1016/j.pnpbp.2020.109914</t>
  </si>
  <si>
    <t>Prog Neuropsychopharmacol Biol Psychiatry. 2020 Jul 13;101:109914. doi: 10.1016/j.pnpbp.2020.109914. Epub 2020 Mar 9.</t>
  </si>
  <si>
    <t>Lin CC, Chen TY, Cheng PY, Liu YP.</t>
  </si>
  <si>
    <t>Early life social experience affects adulthood fear extinction deficit and associated dopamine profile abnormalities in a rat model of PTSD</t>
  </si>
  <si>
    <t>10.1089/jmf.2019.4519</t>
  </si>
  <si>
    <t>J Med Food</t>
  </si>
  <si>
    <t>J Med Food. 2020 May;23(5):476-484. doi: 10.1089/jmf.2019.4519. Epub 2020 Apr 8.</t>
  </si>
  <si>
    <t>Lee B, Choi GM, Shim I, Lee H.</t>
  </si>
  <si>
    <t>Genistein Prevents Single Prolonged Stress-Induced Cognitive Impairment in a Post-Traumatic Stress Disorder Rat Model via Activation of the Serotonergic System</t>
  </si>
  <si>
    <t>NA -&gt; FC</t>
  </si>
  <si>
    <t>10.9758/cpn.2020.18.2.219</t>
  </si>
  <si>
    <t>PMC7242110</t>
  </si>
  <si>
    <t>Clin Psychopharmacol Neurosci</t>
  </si>
  <si>
    <t>Ketenci S</t>
  </si>
  <si>
    <t>Clin Psychopharmacol Neurosci. 2020 May 31;18(2):219-230. doi: 10.9758/cpn.2020.18.2.219.</t>
  </si>
  <si>
    <t>Ketenci S, Acet NG, Sar‚àÜ√≠¬¨¬±do‚àÜ√≠‚àö¬∫an GE, Ayd‚àÜ√≠¬¨¬±n B, Cabadak H, G‚Äö√†√∂‚Äö√†√áren MZ.</t>
  </si>
  <si>
    <t>The Neurochemical Effects of Prazosin Treatment on Fear Circuitry in a Rat Traumatic Stress Model</t>
  </si>
  <si>
    <t>hc?</t>
  </si>
  <si>
    <t>cort + hipp -&gt; ptsd</t>
  </si>
  <si>
    <t>10.1007/s00213-020-05523-x</t>
  </si>
  <si>
    <t>Araki M</t>
  </si>
  <si>
    <t>Psychopharmacology (Berl). 2020 Apr 24. doi: 10.1007/s00213-020-05523-x. Online ahead of print.</t>
  </si>
  <si>
    <t>Araki M, Fuchikami M, Omura J, Miyagi T, Nagashima N, Okamoto Y, Morinobu S.</t>
  </si>
  <si>
    <t>The role of glucocorticoid receptors in the induction and prevention of hippocampal abnormalities in an animal model of posttraumatic stress disorder</t>
  </si>
  <si>
    <t>els + sps maar ook  sps alone, fulll tekst checked</t>
  </si>
  <si>
    <t>els -&gt; ptsd (ook zonder syms!)</t>
  </si>
  <si>
    <t>10.1016/j.bbr.2020.112686</t>
  </si>
  <si>
    <t>Behav Brain Res. 2020 Aug 5;391:112686. doi: 10.1016/j.bbr.2020.112686. Epub 2020 May 16.</t>
  </si>
  <si>
    <t>Lin CC, Cheng PY, Liu YP.</t>
  </si>
  <si>
    <t>Effects of early life social experience on fear extinction and related glucocorticoid profiles - behavioral and neurochemical approaches in a rat model of PTSD</t>
  </si>
  <si>
    <t>inclusion.final</t>
  </si>
  <si>
    <t>MetaData_FINAL incl/excl_comment</t>
  </si>
  <si>
    <t>subject</t>
  </si>
  <si>
    <t>Data_Subjects_n</t>
  </si>
  <si>
    <t>Data_Subjects_n_ptsd</t>
  </si>
  <si>
    <t>Data_Subjects_n_control</t>
  </si>
  <si>
    <t>Data_Subjects_gender_ptsd (M = male; F = female; - = not reported)</t>
  </si>
  <si>
    <t>Data_Subjects_gender_control (M = male; F = female; - = not reported)</t>
  </si>
  <si>
    <t>Data_Subjects_m_Age_ptsd (- = not reported)</t>
  </si>
  <si>
    <t>Data_Subjects_m_weight.g_ptsd (- = not reported)</t>
  </si>
  <si>
    <t>Data_Subjects_sd_Age_ptsd (- = not reported)</t>
  </si>
  <si>
    <t>Data_Subjects_m_Age_control (- = not reported)</t>
  </si>
  <si>
    <t>Data_Subjects_m_weight.g_control(- = not reported)</t>
  </si>
  <si>
    <t>Data_Subjects_sd_Age_control (- = not reported)</t>
  </si>
  <si>
    <t>Data_Subjects_FS_#Shocks</t>
  </si>
  <si>
    <t>Data_Subjects_FS_Amperage(mA)</t>
  </si>
  <si>
    <t>Data_Subjects_PTSDtypeSHORT2</t>
  </si>
  <si>
    <t>Data_Subjects_Controltype</t>
  </si>
  <si>
    <t>Data_Subjects_Strain_or_Population</t>
  </si>
  <si>
    <t>Data_Subjects_ptsd-measure</t>
  </si>
  <si>
    <t>Data_Method_TimeTask-Trauma</t>
  </si>
  <si>
    <t>task</t>
  </si>
  <si>
    <t>Data_Method_animal light dark testing?</t>
  </si>
  <si>
    <t>measure</t>
  </si>
  <si>
    <t>Comparison</t>
  </si>
  <si>
    <t>ID_Experimental_group</t>
  </si>
  <si>
    <t>ID_Control_group</t>
  </si>
  <si>
    <t>Data_Outcome1_VarName</t>
  </si>
  <si>
    <t>Data_Outcome1_M</t>
  </si>
  <si>
    <t>Data_Outcome1_SD</t>
  </si>
  <si>
    <t>Data_Outcome1_SEM</t>
  </si>
  <si>
    <t>Data_Outcome2_VarName</t>
  </si>
  <si>
    <t>Data_Outcome2_M</t>
  </si>
  <si>
    <t>Data_Outcome2_SD</t>
  </si>
  <si>
    <t>Data_Outcome2_SEM</t>
  </si>
  <si>
    <t>SPS</t>
  </si>
  <si>
    <t>UnExp</t>
  </si>
  <si>
    <t>FC</t>
  </si>
  <si>
    <t>Sprague-Dawley</t>
  </si>
  <si>
    <t>7 days</t>
  </si>
  <si>
    <t>M</t>
  </si>
  <si>
    <t>social &amp; isolation rearing groups (IR not included); from pn21 in experiment, SPS at PND 57 (~8weeks)</t>
  </si>
  <si>
    <t>~ 8 weeks</t>
  </si>
  <si>
    <t>in fc (1mA)</t>
  </si>
  <si>
    <t>-</t>
  </si>
  <si>
    <t>PTSD_SPS_FC_Acq.Trial7</t>
  </si>
  <si>
    <t>Control_FC_Acq.Trial7</t>
  </si>
  <si>
    <t>12 hour light and dark cycles (lights on from 07:00 to 19:00).</t>
  </si>
  <si>
    <t>D</t>
  </si>
  <si>
    <t>PTSD_SPS_FC_RET/EXT1</t>
  </si>
  <si>
    <t>Control_FC_RET/EXT1</t>
  </si>
  <si>
    <t>8 days</t>
  </si>
  <si>
    <t>PTSD_SPS_FC_EXT8</t>
  </si>
  <si>
    <t>Control_FC_EXT8</t>
  </si>
  <si>
    <t>PTSD_SPS_FC_EXT15</t>
  </si>
  <si>
    <t>Control_FC_EXT15</t>
  </si>
  <si>
    <t>PTSD_SPS_FC_EXT.Ret1</t>
  </si>
  <si>
    <t>PTSD_SPS_FC_EXT.Ret6</t>
  </si>
  <si>
    <t>Control_FC_EXT.Ret1</t>
  </si>
  <si>
    <t>Control_FC_EXT.Ret6</t>
  </si>
  <si>
    <t>Acq_CS+_Freezing</t>
  </si>
  <si>
    <t>RET_CS+_Freezing</t>
  </si>
  <si>
    <t>EXT_CS+_Freezing</t>
  </si>
  <si>
    <t>EXT.M_CS+_Freezing</t>
  </si>
  <si>
    <t>12-h light/dark cycle; ﻿ All procedures took place during the light cycle.</t>
  </si>
  <si>
    <t>ShamExp</t>
  </si>
  <si>
    <t>in fc (0.8mA)</t>
  </si>
  <si>
    <t>PTSD_SPS_cFC_afterFC</t>
  </si>
  <si>
    <t>Control_cFC_afterFC</t>
  </si>
  <si>
    <t>PTSD_SPS_cFC_Ext.Training</t>
  </si>
  <si>
    <t>Control_cFC_Ext.Training</t>
  </si>
  <si>
    <t>PTSD_SPS_cFC_Ext.Test</t>
  </si>
  <si>
    <t>Control_cFC_Ext.Test</t>
  </si>
  <si>
    <t>PSS</t>
  </si>
  <si>
    <t>M&amp;F</t>
  </si>
  <si>
    <t>reversed 12 hours light/dark cycle</t>
  </si>
  <si>
    <t>SR</t>
  </si>
  <si>
    <t>Acq_CTX+_Freezing</t>
  </si>
  <si>
    <t>EXT.M_CTX+_Freezing</t>
  </si>
  <si>
    <t>retention or extinction (authors -&gt; extinction)</t>
  </si>
  <si>
    <t>PTSD_PSS_freezing_clean.cat.litter.sec</t>
  </si>
  <si>
    <t>Control_freezing_clean.cat.litter.sec</t>
  </si>
  <si>
    <t>traumaCue_Freezing</t>
  </si>
  <si>
    <t>7 weeks</t>
  </si>
  <si>
    <t>light and dark cycle of 12:12 h</t>
  </si>
  <si>
    <t>MWM</t>
  </si>
  <si>
    <t xml:space="preserve"> 6-7</t>
  </si>
  <si>
    <t>14 days</t>
  </si>
  <si>
    <t>ORT</t>
  </si>
  <si>
    <t>DR2</t>
  </si>
  <si>
    <t>PTSD_SPS_ORT_DR2</t>
  </si>
  <si>
    <t>Control_ORT_DR2</t>
  </si>
  <si>
    <t xml:space="preserve"> ~ 13</t>
  </si>
  <si>
    <t>EscapeLatency</t>
  </si>
  <si>
    <t>16 days</t>
  </si>
  <si>
    <t>17 days</t>
  </si>
  <si>
    <t>18 days</t>
  </si>
  <si>
    <t>19 days</t>
  </si>
  <si>
    <t>20 days</t>
  </si>
  <si>
    <t>PTSD_SPS_MWM_EsLatency1</t>
  </si>
  <si>
    <t>PTSD_SPS_MWM_EsLatency2</t>
  </si>
  <si>
    <t>PTSD_SPS_MWM_EsLatency3</t>
  </si>
  <si>
    <t>PTSD_SPS_MWM_EsLatency4</t>
  </si>
  <si>
    <t>PTSD_SPS_MWM_EsLatency5</t>
  </si>
  <si>
    <t>Control_MWM_EsLatency1</t>
  </si>
  <si>
    <t>Control_MWM_EsLatency2</t>
  </si>
  <si>
    <t>Control_MWM_EsLatency3</t>
  </si>
  <si>
    <t>Control_MWM_EsLatency4</t>
  </si>
  <si>
    <t>Control_MWM_EsLatency5</t>
  </si>
  <si>
    <t>TimeQuadrant_Target</t>
  </si>
  <si>
    <t>PTSD_SPS_MWM_TimeTQuadrant</t>
  </si>
  <si>
    <t>Control_MWM_TimeTQuadrant</t>
  </si>
  <si>
    <t>DistanceQuadrant_Target</t>
  </si>
  <si>
    <t>PTSD_SPS_MWM_DistanceTQuadrant</t>
  </si>
  <si>
    <t>Control_MWM_DistanceTQuadrant</t>
  </si>
  <si>
    <t>12 h light/dark cycles (lights on from 07:00 to 19:00)</t>
  </si>
  <si>
    <t>10 days</t>
  </si>
  <si>
    <t>8 weeks</t>
  </si>
  <si>
    <t>Only OFT and EPM</t>
  </si>
  <si>
    <t>Target_crossings</t>
  </si>
  <si>
    <t>Lara Comment</t>
  </si>
  <si>
    <t>12 days</t>
  </si>
  <si>
    <t>PTSD_SPS_MWM_TargetCrossExp1</t>
  </si>
  <si>
    <t>PTSD_SPS_MWM_TargetCrossExp2</t>
  </si>
  <si>
    <t>Control_MWM_TargetCrossExp1</t>
  </si>
  <si>
    <t>Control_MWM_TargetCrossExp2</t>
  </si>
  <si>
    <t>7/8 weeks</t>
  </si>
  <si>
    <t>Wistar</t>
  </si>
  <si>
    <t>12-h light/dark cycle (light on from 08:00 to 20:00)</t>
  </si>
  <si>
    <t>PTSD_SPS_FC_FreezingD1</t>
  </si>
  <si>
    <t>Control_FC_FreezingD1</t>
  </si>
  <si>
    <t>PTSD_SPS_FC_FreezingD2</t>
  </si>
  <si>
    <t>PTSD_SPS_FC_FreezingD3</t>
  </si>
  <si>
    <t>Control_FC_FreezingD2</t>
  </si>
  <si>
    <t>Control_FC_FreezingD3</t>
  </si>
  <si>
    <t>Exluded because chronic stress</t>
  </si>
  <si>
    <t>Trauma duration too long (21 days)</t>
  </si>
  <si>
    <t>No full paper available</t>
  </si>
  <si>
    <t>1 (4s)</t>
  </si>
  <si>
    <t>12:12 h light/dark cycle</t>
  </si>
  <si>
    <t>Charles Foster</t>
  </si>
  <si>
    <t>7-8 weeks</t>
  </si>
  <si>
    <t>RS+FS</t>
  </si>
  <si>
    <t>Paper not accessible</t>
  </si>
  <si>
    <t>2mA</t>
  </si>
  <si>
    <t>6 days</t>
  </si>
  <si>
    <t>PTSD_RS_SR_FreezingD8</t>
  </si>
  <si>
    <t>Control_FreezingD8</t>
  </si>
  <si>
    <t>traumaCTX_Freezing</t>
  </si>
  <si>
    <t>PTSD_SPS_FC_Cond4</t>
  </si>
  <si>
    <t>PTSD_SPS_FC_Cond7</t>
  </si>
  <si>
    <t>PTSD_SPS_FC_EXT1</t>
  </si>
  <si>
    <t>Control_FC_Cond4</t>
  </si>
  <si>
    <t>Control_FC_Cond7</t>
  </si>
  <si>
    <t>Control_FC_EXT1</t>
  </si>
  <si>
    <t>PTSD_SPS_FC_F5g</t>
  </si>
  <si>
    <t>Control_FC_F5g</t>
  </si>
  <si>
    <t xml:space="preserve">No clear if retention or extinction freezing was reported </t>
  </si>
  <si>
    <t>0,5 mA (inhibitory avoidance task)</t>
  </si>
  <si>
    <t>54 days</t>
  </si>
  <si>
    <t>SPS + FS</t>
  </si>
  <si>
    <t>SPS was comnined with FS on day 0</t>
  </si>
  <si>
    <t>37 days</t>
  </si>
  <si>
    <t>PTSD_SPS_V_FreezingD37</t>
  </si>
  <si>
    <t>Control_FreezingD37</t>
  </si>
  <si>
    <t>PTSD_R_FreezingD37</t>
  </si>
  <si>
    <t>E</t>
  </si>
  <si>
    <t>F</t>
  </si>
  <si>
    <t>TraumaExp</t>
  </si>
  <si>
    <t>43 days</t>
  </si>
  <si>
    <t>44 days</t>
  </si>
  <si>
    <t>PTSD_SPS_V_FreezingD43</t>
  </si>
  <si>
    <t>PTSD_SPS_V_FreezingD44</t>
  </si>
  <si>
    <t>Control_FreezingD43</t>
  </si>
  <si>
    <t>PTSD_R_FreezingD43</t>
  </si>
  <si>
    <t>Control_FreezingD44</t>
  </si>
  <si>
    <t>PTSD_R_FreezingD44</t>
  </si>
  <si>
    <t>PTSD_SPS_V_FreezingD54</t>
  </si>
  <si>
    <t>PTSD_R_FreezingD54</t>
  </si>
  <si>
    <t>Here all cues from above were presented at once (odor, tone + white safe box)</t>
  </si>
  <si>
    <t>Control_FreezingD54</t>
  </si>
  <si>
    <t>PTSD_SPS_FreezingTest</t>
  </si>
  <si>
    <t>Control_FreezingTest</t>
  </si>
  <si>
    <t>PTSD_SPS_FreezingTestVEH</t>
  </si>
  <si>
    <t>Control_FreezingTestVEH</t>
  </si>
  <si>
    <t>1,5 mA</t>
  </si>
  <si>
    <t>~ 12 weeks</t>
  </si>
  <si>
    <t>12:12 h, lights on at 6 am</t>
  </si>
  <si>
    <t>in fc (1,5 mA)</t>
  </si>
  <si>
    <t>in fc (2,0 mA)</t>
  </si>
  <si>
    <t>32 (8/day)</t>
  </si>
  <si>
    <t>12 h light/dark cycle (light on 7:00 am)</t>
  </si>
  <si>
    <t>RAWM</t>
  </si>
  <si>
    <t>Learn_Errors</t>
  </si>
  <si>
    <t>PTSD_SPS_LearnErr1</t>
  </si>
  <si>
    <t>PTSD_SPS_LearnErr6</t>
  </si>
  <si>
    <t>PTSD_SPS_LearnErr12</t>
  </si>
  <si>
    <t>Control_LearnErr1</t>
  </si>
  <si>
    <t>Control_LearnErr6</t>
  </si>
  <si>
    <t>Control_LearnErr12</t>
  </si>
  <si>
    <t>PTSD_SPS_ShortTermErr</t>
  </si>
  <si>
    <t>Control_ShortTermErr</t>
  </si>
  <si>
    <t>PTSD_SPS_LT5h</t>
  </si>
  <si>
    <t>Control_LT5h</t>
  </si>
  <si>
    <t>PTSD_SPS_LT24h</t>
  </si>
  <si>
    <t>Control_LT24h</t>
  </si>
  <si>
    <t>SD_Errors</t>
  </si>
  <si>
    <t>LD_Errors</t>
  </si>
  <si>
    <t>13 weeks</t>
  </si>
  <si>
    <t>PTSD_PSS_DS</t>
  </si>
  <si>
    <t>Control_DS</t>
  </si>
  <si>
    <t> 12-h light/dark cycles (lights turned on at 7am)</t>
  </si>
  <si>
    <t>FS</t>
  </si>
  <si>
    <t>23 days</t>
  </si>
  <si>
    <t>5 days</t>
  </si>
  <si>
    <t>TraumaCTX_latency_EXT</t>
  </si>
  <si>
    <t>Control_SR_Ext1</t>
  </si>
  <si>
    <t>Control_SR_Ext2</t>
  </si>
  <si>
    <t>Control_SR_Ext3</t>
  </si>
  <si>
    <t>Control_SR_Ext4</t>
  </si>
  <si>
    <t>Doesnt state whether SEM or SD is reported</t>
  </si>
  <si>
    <t>PTSD_SR__EXP1_Ext1</t>
  </si>
  <si>
    <t>PTSD_SR__EXP1_Ext2</t>
  </si>
  <si>
    <t>PTSD_SR__EXP1_Ext3</t>
  </si>
  <si>
    <t>PTSD_SR__EXP1_Ext4</t>
  </si>
  <si>
    <t>PTSD_SR__EXP2_Ext1</t>
  </si>
  <si>
    <t>PTSD_SR__EXP2_Ext2</t>
  </si>
  <si>
    <t>PTSD_SR__EXP2_Ext3</t>
  </si>
  <si>
    <t>PTSD_SR__EXP2_Ext4</t>
  </si>
  <si>
    <t>PTSD_SR__EXP3_Ext1</t>
  </si>
  <si>
    <t>PTSD_SR__EXP3_Ext2</t>
  </si>
  <si>
    <t>PTSD_SR__EXP3_Ext3</t>
  </si>
  <si>
    <t>PTSD_SR__EXP3_Ext4</t>
  </si>
  <si>
    <t>Control_SR_EXP1_Ext1</t>
  </si>
  <si>
    <t>Control_SR_EXP1_Ext2</t>
  </si>
  <si>
    <t>Control_SR_EXP1_Ext3</t>
  </si>
  <si>
    <t>Control_SR_EXP1_Ext4</t>
  </si>
  <si>
    <t>Control_SR_EXP2_Ext1</t>
  </si>
  <si>
    <t>Control_SR_EXP2_Ext2</t>
  </si>
  <si>
    <t>Control_SR_EXP2_Ext3</t>
  </si>
  <si>
    <t>Control_SR_EXP2_Ext4</t>
  </si>
  <si>
    <t>Control_SR_EXP3_Ext1</t>
  </si>
  <si>
    <t>Control_SR_EXP3_Ext2</t>
  </si>
  <si>
    <t>Control_SR_EXP3_Ext3</t>
  </si>
  <si>
    <t>Control_SR_EXP3_Ext4</t>
  </si>
  <si>
    <t>PTSD_SR__EXP4_Ext1</t>
  </si>
  <si>
    <t>PTSD_SR__EXP4_Ext2</t>
  </si>
  <si>
    <t>PTSD_SR__EXP4_Ext3</t>
  </si>
  <si>
    <t>PTSD_SR__EXP4_Ext4</t>
  </si>
  <si>
    <t>Control_SR_EXP4_Ext1</t>
  </si>
  <si>
    <t>Control_SR_EXP4_Ext2</t>
  </si>
  <si>
    <t>Control_SR_EXP4_Ext3</t>
  </si>
  <si>
    <t>Control_SR_EXP4_Ext4</t>
  </si>
  <si>
    <t>No behavioral testing results (FC was used to measure expression lvls)</t>
  </si>
  <si>
    <t>C57BL/6</t>
  </si>
  <si>
    <t>14-h/10-h light/dark cycle</t>
  </si>
  <si>
    <t>No proper PTSD model (less than 24h between trauma and task)</t>
  </si>
  <si>
    <t> 12:12 reverse light:dark cycle</t>
  </si>
  <si>
    <t xml:space="preserve">12 h light, 12 h dark cycle (light at 7:00 AM) </t>
  </si>
  <si>
    <t>Balb/c</t>
  </si>
  <si>
    <t>12 h light/dark cycle (8:00 AM ~ 20:00 PM)</t>
  </si>
  <si>
    <t>PTSD_SPS_FreezingCS-</t>
  </si>
  <si>
    <t>PTSD_SPS_FreezingCS+</t>
  </si>
  <si>
    <t>Control_FreezingCS-</t>
  </si>
  <si>
    <t>Control_FreezingCS+</t>
  </si>
  <si>
    <t>10 weeks</t>
  </si>
  <si>
    <t>C57BL6J</t>
  </si>
  <si>
    <t>inverse light/dark cycle</t>
  </si>
  <si>
    <t>28 days</t>
  </si>
  <si>
    <t>Control_FreezingDay29</t>
  </si>
  <si>
    <t>PTSD_FS_FreezingDay29</t>
  </si>
  <si>
    <t xml:space="preserve">Paper describes it as safety learning? Not sure which measure this would be. Freezing in response to threat vs non-threat stimulus </t>
  </si>
  <si>
    <t>Behavior measured on same day as Predator Scent exposure</t>
  </si>
  <si>
    <t>12h- light/dark cycle</t>
  </si>
  <si>
    <t>11 days</t>
  </si>
  <si>
    <t>in fc (0,8 mA)</t>
  </si>
  <si>
    <t>Handled</t>
  </si>
  <si>
    <t>PTSD_SPS_FC_Freezing</t>
  </si>
  <si>
    <t>Control_FC_Freezing</t>
  </si>
  <si>
    <t>RET_CTX+_Freezing</t>
  </si>
  <si>
    <t>light/dark (12:12-h) cycle, lights on at 8:00 a.m</t>
  </si>
  <si>
    <t>Albino Swiss (CD1)</t>
  </si>
  <si>
    <t>12 weeks</t>
  </si>
  <si>
    <t>12:12 h, lights on at 6 am</t>
  </si>
  <si>
    <t>in PAC (2,0 mA)</t>
  </si>
  <si>
    <t>Trauma duration over 1 day (SPS + 4 days PAC)</t>
  </si>
  <si>
    <t>29 days</t>
  </si>
  <si>
    <t>DBA/2 J</t>
  </si>
  <si>
    <t>12h:12 h light-dark cycle (lights on at 6:00)</t>
  </si>
  <si>
    <t>PTSD_FS_SR_Exp1</t>
  </si>
  <si>
    <t>Control_SR_Exp1</t>
  </si>
  <si>
    <t>Control_SR_Exp2</t>
  </si>
  <si>
    <t>PTSD_FS_SR_Exp2</t>
  </si>
  <si>
    <t>C57BL/6J</t>
  </si>
  <si>
    <t>9 weeks</t>
  </si>
  <si>
    <t>12 h light/dark cycle (light on at 6 AM)</t>
  </si>
  <si>
    <t>21 days</t>
  </si>
  <si>
    <t>35 days</t>
  </si>
  <si>
    <t>traumaCTX_latency</t>
  </si>
  <si>
    <t>PTSD_FS_SR_LatW1</t>
  </si>
  <si>
    <t>PTSD_FS_SR_LatW2</t>
  </si>
  <si>
    <t>PTSD_FS_SR_LatW3</t>
  </si>
  <si>
    <t>PTSD_FS_SR_LatW4</t>
  </si>
  <si>
    <t>PTSD_FS_SR_FreezingW5</t>
  </si>
  <si>
    <t>Control_SR_LatW1</t>
  </si>
  <si>
    <t>Control_SR_LatW2</t>
  </si>
  <si>
    <t>Control_SR_LatW3</t>
  </si>
  <si>
    <t>Control_SR_LatW4</t>
  </si>
  <si>
    <t>Control_SR_FreezingW5</t>
  </si>
  <si>
    <t>PTSD_SPS_FC_RET1</t>
  </si>
  <si>
    <t>PTSD_SPS_FC_RET3</t>
  </si>
  <si>
    <t>PTSD_SPS_FC_RET6</t>
  </si>
  <si>
    <t>Control_FC_RET1</t>
  </si>
  <si>
    <t>Control_FC_RET3</t>
  </si>
  <si>
    <t>Control_FC_RET6</t>
  </si>
  <si>
    <t>12 h light/dark cycle (light on: 7:00 am)</t>
  </si>
  <si>
    <t xml:space="preserve"> 12-h light/dark cycle (light on at 07.00 h) </t>
  </si>
  <si>
    <t>WIstar</t>
  </si>
  <si>
    <t>Behavior results not reported (gene expression was examined)</t>
  </si>
  <si>
    <t>12/12 h light-dark cycle</t>
  </si>
  <si>
    <t>PTSD_SPS_ORT_DI</t>
  </si>
  <si>
    <t>Control_ORT_DI</t>
  </si>
  <si>
    <t>15 days</t>
  </si>
  <si>
    <t>DistanceQuadrant_target</t>
  </si>
  <si>
    <t>Control_WMW_LatencyD1</t>
  </si>
  <si>
    <t>Control_WMW_LatencyD2</t>
  </si>
  <si>
    <t>Control_WMW_LatencyD3</t>
  </si>
  <si>
    <t>Control_WMW_LatencyD4</t>
  </si>
  <si>
    <t>Control_WMW_LatencyD5</t>
  </si>
  <si>
    <t>PTSD_SPS_MWM_LatencyD1</t>
  </si>
  <si>
    <t>PTSD_SPS_MWM_LatencyD2</t>
  </si>
  <si>
    <t>PTSD_SPS_MWM_LatencyD3</t>
  </si>
  <si>
    <t>PTSD_SPS_MWM_LatencyD4</t>
  </si>
  <si>
    <t>PTSD_SPS_MWM_LatencyD5</t>
  </si>
  <si>
    <t>PTSD_SPS_MWM_TimeQd</t>
  </si>
  <si>
    <t>PTSD_SPS_MWM_DistanceQd</t>
  </si>
  <si>
    <t>Control_MWM_TimeQd</t>
  </si>
  <si>
    <t>Control_MWM_DistanceQd</t>
  </si>
  <si>
    <t>5 weeks</t>
  </si>
  <si>
    <t>12 hour light/dark cycle</t>
  </si>
  <si>
    <t>in fc (1 mA)</t>
  </si>
  <si>
    <t>PTSD_SPS_FC_Trial5</t>
  </si>
  <si>
    <t>Control_FC_Trial5</t>
  </si>
  <si>
    <t>~ 7 weeks</t>
  </si>
  <si>
    <t>12:12 h light/dark cycle (lights on at 6 am)</t>
  </si>
  <si>
    <t>PTSD_SPS_FC_ConT5</t>
  </si>
  <si>
    <t>Control_FC_ConT5</t>
  </si>
  <si>
    <t>PTSD_SPS_FC_ExtB1</t>
  </si>
  <si>
    <t>Control_FC_ExtB1</t>
  </si>
  <si>
    <t>Control_FC_ExtB5</t>
  </si>
  <si>
    <t>Control_FC_ExtB10</t>
  </si>
  <si>
    <t>PTSD_SPS_FC_ExtB5</t>
  </si>
  <si>
    <t>PTSD_SPS_FC_ExtB10</t>
  </si>
  <si>
    <t>EXT_CTX+_Freezing</t>
  </si>
  <si>
    <t>PTSD_SPS_FC_Ret1</t>
  </si>
  <si>
    <t>PTSD_SPS_FC_Ret5</t>
  </si>
  <si>
    <t>PTSD_SPS_FC_Ret10</t>
  </si>
  <si>
    <t>Control_FC_Ret1</t>
  </si>
  <si>
    <t>Control_FC_Ret5</t>
  </si>
  <si>
    <t>Control_FC_Ret10</t>
  </si>
  <si>
    <t xml:space="preserve">Alternation was defined as successive entries into the three arms, on overlapping triplet
sets of test. The alternation ratio was calculated as the
ratio of actual to possible alternation (defined as the
total number of arm entries minus 2) multiplied by 100 </t>
  </si>
  <si>
    <t>12 h light/dark cycle (light on 7:00 am)</t>
  </si>
  <si>
    <t>22 days</t>
  </si>
  <si>
    <t>reversed 12-h light cycle with lights off at 7 am</t>
  </si>
  <si>
    <t>traumaCTX_freezing</t>
  </si>
  <si>
    <t>PTSD_PSS_Freezing</t>
  </si>
  <si>
    <t>Control_FreezingUnExp</t>
  </si>
  <si>
    <t>Control_FreezingResilient</t>
  </si>
  <si>
    <t>NA (adult)</t>
  </si>
  <si>
    <t xml:space="preserve">12‐hour light/dark cycle </t>
  </si>
  <si>
    <t>PTSD_SPS_EXP1_FreezingDay1</t>
  </si>
  <si>
    <t>PTSD_SPS_EXP1_FreezingDay2</t>
  </si>
  <si>
    <t>Control_EXP1_FreezingDay1</t>
  </si>
  <si>
    <t>Control_EXP1_FreezingDay2</t>
  </si>
  <si>
    <t>PTSD_SPS_EXP2_FreezingDay1</t>
  </si>
  <si>
    <t>PTSD_SPS_EXP2_FreezingDay2</t>
  </si>
  <si>
    <t>PTSD_SPS_EXP3_FreezingDay1</t>
  </si>
  <si>
    <t>PTSD_SPS_EXP3_FreezingDay2</t>
  </si>
  <si>
    <t>Control_EXP2_FreezingDay1</t>
  </si>
  <si>
    <t>Control_EXP2_FreezingDay2</t>
  </si>
  <si>
    <t>Control_EXP3_FreezingDay1</t>
  </si>
  <si>
    <t>Control_EXP3_FreezingDay2</t>
  </si>
  <si>
    <t>Swiss</t>
  </si>
  <si>
    <t>Experiments were conducted during the dark phase of a 12:12 light-dark cycle</t>
  </si>
  <si>
    <t>PTSD_FS_SR_FreezingDurationVeh</t>
  </si>
  <si>
    <t>Control_SR_FreezingDurationVeh</t>
  </si>
  <si>
    <t>PTSD_FS_ORT_ExplorationNovelVeh</t>
  </si>
  <si>
    <t>Control_ORT_ExplorationNovelVeh</t>
  </si>
  <si>
    <t>PTSD_FS_ORT_ExplorationNovelSham</t>
  </si>
  <si>
    <t>PTSD_FS_SR_FreezingDurationSham</t>
  </si>
  <si>
    <t>Control_ORT_ExplorationNovelSham</t>
  </si>
  <si>
    <t>Control_SR_FreezingDurationSham</t>
  </si>
  <si>
    <t>Sham TMS // anesthesia only with a loudspeaker reproducing the sound of the coil</t>
  </si>
  <si>
    <t>11 weeks</t>
  </si>
  <si>
    <t>Lewis</t>
  </si>
  <si>
    <t>12-hour light/dark cycle with lights on at 07:30</t>
  </si>
  <si>
    <t>PTSD_PSS_AvoidanceChamberTime</t>
  </si>
  <si>
    <t>Control_AvoidanceChamberTime</t>
  </si>
  <si>
    <t>Trauma lasted over 1 day (5 days of 1mA FS followed by SPS)</t>
  </si>
  <si>
    <t>Trauma over 1 day (3 days, 40 shocks/day, 8 mA/shock)</t>
  </si>
  <si>
    <t xml:space="preserve">Not sure but I think this has to be excluded, not really a proper PTSD model </t>
  </si>
  <si>
    <t>Paper excluded</t>
  </si>
  <si>
    <t>Highlighted fields mean:</t>
  </si>
  <si>
    <t>Day2: SPS+FS, Day8: FS, 6h later measured freezing in same chamber without FS -- can we include this?</t>
  </si>
  <si>
    <t>12 hr light/dark cycle</t>
  </si>
  <si>
    <t>EXT_CS+_FreezingRatio</t>
  </si>
  <si>
    <t>New method code added</t>
  </si>
  <si>
    <t>SPS + PAC</t>
  </si>
  <si>
    <t>TimeQuadrant_target_%</t>
  </si>
  <si>
    <t>PTSD_SPS_FC_Trial3</t>
  </si>
  <si>
    <t>Control_FC_Trial3</t>
  </si>
  <si>
    <t>Control_FC_ConT3</t>
  </si>
  <si>
    <t>PTSD_SPS_FC_ConT3</t>
  </si>
  <si>
    <t>ExplorationNovel</t>
  </si>
  <si>
    <t>traumaCTX_time.threat</t>
  </si>
  <si>
    <t>SRS model - should this have its own code? Rats were re-stressed on D1, D7, D14, D21 and D28 - do we include freezing measure from D7?</t>
  </si>
  <si>
    <t>Unsure about extraction</t>
  </si>
  <si>
    <t xml:space="preserve">Tested time spent in avoidance chamber - SR? </t>
  </si>
  <si>
    <t>Rabbit subjects</t>
  </si>
  <si>
    <t xml:space="preserve"> 12 h light/dark cycle (light on 7:00 am)</t>
  </si>
  <si>
    <t>DR3</t>
  </si>
  <si>
    <t>IOLČ.Ć-</t>
  </si>
  <si>
    <t>8,6 weeks</t>
  </si>
  <si>
    <t>FS+reminders</t>
  </si>
  <si>
    <t>12-h light/dark cycles (lights turned on at 07:00)</t>
  </si>
  <si>
    <t>PTSD_FS_NoSR_Ext1</t>
  </si>
  <si>
    <t>PTSD_FS_NoSR_Ext2</t>
  </si>
  <si>
    <t>PTSD_FS_NoSR_Ext3</t>
  </si>
  <si>
    <t>PTSD_FS_NoSR_Ext4</t>
  </si>
  <si>
    <t>Control_NoSR_Ext1</t>
  </si>
  <si>
    <t>Control_NoSR_Ext2</t>
  </si>
  <si>
    <t>Control_NoSR_Ext3</t>
  </si>
  <si>
    <t>Control_NoSR_Ext4</t>
  </si>
  <si>
    <t>PTSD_FS_SR_Ext1</t>
  </si>
  <si>
    <t>PTSD_FS_SR_Ext2</t>
  </si>
  <si>
    <t>PTSD_FS_SR_Ext3</t>
  </si>
  <si>
    <t>PTSD_FS_SR_Ext4</t>
  </si>
  <si>
    <t>traumaCTX_latency_EXT</t>
  </si>
  <si>
    <t>30 days</t>
  </si>
  <si>
    <t>31 days</t>
  </si>
  <si>
    <t>32 days</t>
  </si>
  <si>
    <t>12 h light/dark cycles</t>
  </si>
  <si>
    <t>25 days</t>
  </si>
  <si>
    <t>PTSD_FS_SR_Fig4_Ext1</t>
  </si>
  <si>
    <t>PTSD_FS_SR_Fig4_Ext2</t>
  </si>
  <si>
    <t>PTSD_FS_SR_Fig4_Ext3</t>
  </si>
  <si>
    <t>PTSD_FS_SR_Fig4_Ext4</t>
  </si>
  <si>
    <t>26 days</t>
  </si>
  <si>
    <t>27 days</t>
  </si>
  <si>
    <t>No behavioral testing for memory/learning</t>
  </si>
  <si>
    <t>12-h light/dark cycles</t>
  </si>
  <si>
    <t>PTSD_FS_NoSR_Ext5</t>
  </si>
  <si>
    <t>Control_NoSR_Ext5</t>
  </si>
  <si>
    <t>PTSD_FS_SR_Ext5</t>
  </si>
  <si>
    <t>Control_SR_Ext5</t>
  </si>
  <si>
    <t>rabbit study</t>
  </si>
  <si>
    <t>12:12 h light:dark cycle (lights on at 15:00 h)</t>
  </si>
  <si>
    <t>traumaCtx_Avoidance(delta.pre.post.trauma)</t>
  </si>
  <si>
    <t>Control_DeltaPaired</t>
  </si>
  <si>
    <t>Resilient_DeltaPaired</t>
  </si>
  <si>
    <t>PTSD_DeltaPaired</t>
  </si>
  <si>
    <t>Figure captions are incorrect (shifted up by one)</t>
  </si>
  <si>
    <t xml:space="preserve"> 12-h light/dark cycles (lights turned on at 7am)</t>
  </si>
  <si>
    <t>PTSD_Table1_FreezingSR1</t>
  </si>
  <si>
    <t>PTSD_Table1_FreezingSR2</t>
  </si>
  <si>
    <t>PTSD_Table1_FreezingSR3</t>
  </si>
  <si>
    <t>PTSD_Table1_FreezingSR4</t>
  </si>
  <si>
    <t>Control_Table1_FreezingSR1</t>
  </si>
  <si>
    <t>Control_Table1_FreezingSR2</t>
  </si>
  <si>
    <t>Control_Table1_FreezingSR3</t>
  </si>
  <si>
    <t>Control_Table1_FreezingSR4</t>
  </si>
  <si>
    <t>Results reported numerically in Table 1</t>
  </si>
  <si>
    <t>PTSD_Table1_LatencyEXT1</t>
  </si>
  <si>
    <t>PTSD_Table1_LatencyEXT2</t>
  </si>
  <si>
    <t>PTSD_Table1_LatencyEXT3</t>
  </si>
  <si>
    <t>Control_Table1_LatencyEXT1</t>
  </si>
  <si>
    <t>Control_Table1_LatencyEXT2</t>
  </si>
  <si>
    <t>Control_Table1_LatencyEXT3</t>
  </si>
  <si>
    <t>33 days</t>
  </si>
  <si>
    <t>12-h light/12-h dark cycle</t>
  </si>
  <si>
    <t xml:space="preserve">  </t>
  </si>
  <si>
    <t>Control_MWM_EscapeLatencyDay1</t>
  </si>
  <si>
    <t>Control_MWM_EscapeLatencyDay2</t>
  </si>
  <si>
    <t>Control_MWM_EscapeLatencyDay3</t>
  </si>
  <si>
    <t>Control_MWM_EscapeLatencyDay4</t>
  </si>
  <si>
    <t>Control_MWM_EscapeLatencyDay5</t>
  </si>
  <si>
    <t>PTSD_MWM_EscapeLatencyDay1</t>
  </si>
  <si>
    <t>PTSD_MWM_EscapeLatencyDay2</t>
  </si>
  <si>
    <t>PTSD_MWM_EscapeLatencyDay3</t>
  </si>
  <si>
    <t>PTSD_MWM_EscapeLatencyDay4</t>
  </si>
  <si>
    <t>PTSD_MWM_EscapeLatencyDay5</t>
  </si>
  <si>
    <t>PTSD_MWM_TargetQ%Day6</t>
  </si>
  <si>
    <t>Control_WMW_TargetQ%Day6</t>
  </si>
  <si>
    <t>9 days</t>
  </si>
  <si>
    <t>1 day</t>
  </si>
  <si>
    <t>3 days</t>
  </si>
  <si>
    <t>12 h/12 h reverse light/dark cycle (lights on at 7:00 P.M. and off at 7:00 A.M.)</t>
  </si>
  <si>
    <t>traumaCtx_Entries</t>
  </si>
  <si>
    <t>PTSD_SR_TimeOdorArea</t>
  </si>
  <si>
    <t>PTSD_SR_LatencyOdorArea</t>
  </si>
  <si>
    <t>PTSD_SR_EntriesOdorArea</t>
  </si>
  <si>
    <t>Control_EntiresOdorArea</t>
  </si>
  <si>
    <t>Control_TimeOdorArea</t>
  </si>
  <si>
    <t>Control_LatencyOdorArea</t>
  </si>
  <si>
    <t>in fc (0,4 mA)</t>
  </si>
  <si>
    <t>12 h light-dark cycle (lights on at 0700)</t>
  </si>
  <si>
    <t>RET_CS-_Freezing</t>
  </si>
  <si>
    <t>PTSD_FC_FreezingSPSHighReactive_CS+</t>
  </si>
  <si>
    <t>PTSD_FC_FreezingSPSHighReactive_CS-</t>
  </si>
  <si>
    <t>ControlLowReactive_FC_Freezing_CS+</t>
  </si>
  <si>
    <t>ControlHighReactive_FC_FreezingCS+</t>
  </si>
  <si>
    <t>SPSLowReactive_FC_FreezingCS+</t>
  </si>
  <si>
    <t>ControlLowReactive_FC_Freezing_CS-</t>
  </si>
  <si>
    <t>ControlHighReactive_FC_FreezingCS-</t>
  </si>
  <si>
    <t>SPSLowReactive_FC_FreezingCS-</t>
  </si>
  <si>
    <t>PTSD vs control high</t>
  </si>
  <si>
    <t>PTSD vs resilient</t>
  </si>
  <si>
    <t>PTSD vs control low</t>
  </si>
  <si>
    <t>12 h light/dark cycles (lights on from 07:00 to 19:00)</t>
  </si>
  <si>
    <t>Control_FC_Freezing_CON4</t>
  </si>
  <si>
    <t>Control_FC_Freezing_CON7</t>
  </si>
  <si>
    <t>Control_FC_Freezing_EXT1</t>
  </si>
  <si>
    <t>Control_FC_Freezing_EXT15</t>
  </si>
  <si>
    <t>Control_FC_Freezing_EXT8</t>
  </si>
  <si>
    <t>Control_FC_Freezing_RET1</t>
  </si>
  <si>
    <t>Control_FC_Freezing_RET4</t>
  </si>
  <si>
    <t>Control_FC_Freezing_RET8</t>
  </si>
  <si>
    <t>PTSD_FC_Freezing_CON4</t>
  </si>
  <si>
    <t>PTSD_FC_Freezing_CON7</t>
  </si>
  <si>
    <t>PTSD_FC_Freezing_EXT1</t>
  </si>
  <si>
    <t>PTSD_FC_Freezing_EXT8</t>
  </si>
  <si>
    <t>PTSD_FC_Freezing_EXT15</t>
  </si>
  <si>
    <t>PTSD_FC_Freezing_RET1</t>
  </si>
  <si>
    <t>PTSD_FC_Freezing_RET4</t>
  </si>
  <si>
    <t>PTSD_FC_Freezing_RET8</t>
  </si>
  <si>
    <t>SR only used to assess changes in cocaine seeking behavior</t>
  </si>
  <si>
    <t>reverse light cycle (12 h light/12 h dark)</t>
  </si>
  <si>
    <t>SD</t>
  </si>
  <si>
    <t>in fc (0,75 mA)</t>
  </si>
  <si>
    <t>Control_FC_FreezingAcquisition</t>
  </si>
  <si>
    <t>PTSD_FC_FreezingAcquisition</t>
  </si>
  <si>
    <t>Control_FC_FreezingRetentionDay1_1</t>
  </si>
  <si>
    <t>Control_FC_FreezingExtinctionDay1_4</t>
  </si>
  <si>
    <t>Control_FC_FreezingExtinctionDay1_8</t>
  </si>
  <si>
    <t>Control_FC_FreezingExtinctionDay2_1</t>
  </si>
  <si>
    <t>Control_FC_FreezingExtinctionDay2_4</t>
  </si>
  <si>
    <t>Control_FC_FreezingExtinctionDay2_8</t>
  </si>
  <si>
    <t>Control_FC_FreezingExtinctionDay3_1</t>
  </si>
  <si>
    <t>Control_FC_FreezingExtinctionDay3_4</t>
  </si>
  <si>
    <t>Control_FC_FreezingExtinctionDay3_8</t>
  </si>
  <si>
    <t>PTSD_FC_FreezingRetentionDay1_1</t>
  </si>
  <si>
    <t>PTSD_FC_FreezingExtinctionDay1_4</t>
  </si>
  <si>
    <t>PTSD_FC_FreezingExtinctionDay1_8</t>
  </si>
  <si>
    <t>PTSD_FC_FreezingExtinctionDay2_1</t>
  </si>
  <si>
    <t>PTSD_FC_FreezingExtinctionDay2_4</t>
  </si>
  <si>
    <t>PTSD_FC_FreezingExtinctionDay2_8</t>
  </si>
  <si>
    <t>PTSD_FC_FreezingExtinctionDay3_1</t>
  </si>
  <si>
    <t>PTSD_FC_FreezingExtinctionDay3_4</t>
  </si>
  <si>
    <t>PTSD_FC_FreezingExtinctionDay3_8</t>
  </si>
  <si>
    <t>7,5 weeks</t>
  </si>
  <si>
    <t>inverse 12:12 h light–dark cycle (light off at 7:00)</t>
  </si>
  <si>
    <t>PTSD_SR_Freezing</t>
  </si>
  <si>
    <t>PTSD_SR_FreezingChamber</t>
  </si>
  <si>
    <t>Control_SR_FreezingChamber</t>
  </si>
  <si>
    <t>57 days</t>
  </si>
  <si>
    <t>C57BL/6NCrl</t>
  </si>
  <si>
    <t>C57Bl/6</t>
  </si>
  <si>
    <t>12 h light–dark cycle with lights on at 7AM</t>
  </si>
  <si>
    <t>SPS + PSS</t>
  </si>
  <si>
    <t>PTSD_SR_Exp1_Freezing</t>
  </si>
  <si>
    <t>Control_SR_Exp1_Freezing</t>
  </si>
  <si>
    <t>Control_SR_Exp2_Freezing</t>
  </si>
  <si>
    <t>PTSD_SR_Exp2_Freezing</t>
  </si>
  <si>
    <t>PTSD_FC_Freezing_D1_3</t>
  </si>
  <si>
    <t>PTSD_FC_Freezing_D2_1</t>
  </si>
  <si>
    <t>PTSD_FC_Freezing_D2_10</t>
  </si>
  <si>
    <t>PTSD_FC_Freezing_D3_1</t>
  </si>
  <si>
    <t>PTSD_FC_Freezing_D3_2</t>
  </si>
  <si>
    <t>PTSD_FC_Freezing_D1_2</t>
  </si>
  <si>
    <t>Control_FC_Freezing_D1_2</t>
  </si>
  <si>
    <t>Control_FC_Freezing_D1_3</t>
  </si>
  <si>
    <t>Control_FC_Freezing_D2_1</t>
  </si>
  <si>
    <t>Control_FC_Freezing_D2_10</t>
  </si>
  <si>
    <t>Control_FC_Freezing_D3_1</t>
  </si>
  <si>
    <t>Control_FC_Freezing_D3_2</t>
  </si>
  <si>
    <t>PTSD_FC_Freezing_D2_5</t>
  </si>
  <si>
    <t>Control_FC_Freezing_D2_5</t>
  </si>
  <si>
    <t xml:space="preserve">mSPS was used which also incorporates predator scent </t>
  </si>
  <si>
    <t>12-h light/dark cycle (lights ON at 7:00am)</t>
  </si>
  <si>
    <t>Control_SR_LatencyD14</t>
  </si>
  <si>
    <t>Control_SR_LatencyD30</t>
  </si>
  <si>
    <t>Control_SR_LatencyD31</t>
  </si>
  <si>
    <t>Control_SR_LatencyD32</t>
  </si>
  <si>
    <t>Control_SR_LatencyD33</t>
  </si>
  <si>
    <t>Control_SR_LatencyD34</t>
  </si>
  <si>
    <t>Control_SR_LatencyD35</t>
  </si>
  <si>
    <t>PTSD_SR_LatencyD14</t>
  </si>
  <si>
    <t>PTSD_SR_LatencyD30</t>
  </si>
  <si>
    <t>PTSD_SR_LatencyD31</t>
  </si>
  <si>
    <t>PTSD_SR_LatencyD32</t>
  </si>
  <si>
    <t>PTSD_SR_LatencyD33</t>
  </si>
  <si>
    <t>PTSD_SR_LatencyD34</t>
  </si>
  <si>
    <t>PTSD_SR_LatencyD35</t>
  </si>
  <si>
    <t>34 days</t>
  </si>
  <si>
    <t>Very odd paper. Is it latency_EXT  if there was only 1 trial each day?</t>
  </si>
  <si>
    <t>12h light/12h dark cycle (lights off at 8am)</t>
  </si>
  <si>
    <t>Behavior tested within 24 h of PSS</t>
  </si>
  <si>
    <t>12-h light/dark cycle, with all behavioral procedures being performed during the light cycle</t>
  </si>
  <si>
    <t>RS</t>
  </si>
  <si>
    <t>PTSD_FC_CON_CS3</t>
  </si>
  <si>
    <t>PTSD_FC_CON_CS5</t>
  </si>
  <si>
    <t>Control_FC_CON_CS3</t>
  </si>
  <si>
    <t>Control_FC_CON_CS5</t>
  </si>
  <si>
    <t>PTSD_FC_EXT_CS1-10</t>
  </si>
  <si>
    <t>PTSD_FC_EXT_CS11-20</t>
  </si>
  <si>
    <t>PTSD_FC_EXT_CS21-30</t>
  </si>
  <si>
    <t>Control_FC_EXT_CS1-10</t>
  </si>
  <si>
    <t>Control_FC_EXT_CS11-20</t>
  </si>
  <si>
    <t>Control_FC_EXT_CS21-30</t>
  </si>
  <si>
    <t>Behavior not quantified/reported</t>
  </si>
  <si>
    <t>Chronic stress model (multiple stressors each day for 5 days)</t>
  </si>
  <si>
    <t>12 h light/dark cycle</t>
  </si>
  <si>
    <t>PTSD_FC_CON_T3</t>
  </si>
  <si>
    <t>Control_FC_CON_T3</t>
  </si>
  <si>
    <t>PTSD_FC_CON_T5</t>
  </si>
  <si>
    <t>Control_FC_CON_T5</t>
  </si>
  <si>
    <t>PTSD_FC_EXT_T1</t>
  </si>
  <si>
    <t>PTSD_FC_EXT_T7</t>
  </si>
  <si>
    <t>PTSD_FC_EXT_T15</t>
  </si>
  <si>
    <t>Control_FC_EXT_T1</t>
  </si>
  <si>
    <t>Control_FC_EXT_T7</t>
  </si>
  <si>
    <t>Control_FC_EXT_T15</t>
  </si>
  <si>
    <t>PTSD_FC_EXT_T1_D2</t>
  </si>
  <si>
    <t>PTSD_FC_EXT_T7_D2</t>
  </si>
  <si>
    <t>PTSD_FC_EXT_T15_D2</t>
  </si>
  <si>
    <t>Control_FC_EXT_T1_D2</t>
  </si>
  <si>
    <t>Control_FC_EXT_T7_D2</t>
  </si>
  <si>
    <t>Control_FC_EXT_T15_D2</t>
  </si>
  <si>
    <t>12:12 light–dark cycle</t>
  </si>
  <si>
    <t>PTSD_SR_FreezingVeh</t>
  </si>
  <si>
    <t>Control_SR_FreezingVeh</t>
  </si>
  <si>
    <t>12:12 h light/dark cycle</t>
  </si>
  <si>
    <t>PTSD_MWM_LatencyDay1</t>
  </si>
  <si>
    <t>PTSD_MWM_LatencyDay2</t>
  </si>
  <si>
    <t>PTSD_MWM_LatencyDay3</t>
  </si>
  <si>
    <t>PTSD_MWM_LatencyDay4</t>
  </si>
  <si>
    <t>PTSD_MWM_LatencyDay5</t>
  </si>
  <si>
    <t>Control_WMW_LatencyDay1</t>
  </si>
  <si>
    <t>Control_WMW_LatencyDay2</t>
  </si>
  <si>
    <t>Control_WMW_LatencyDay3</t>
  </si>
  <si>
    <t>Control_WMW_LatencyDay4</t>
  </si>
  <si>
    <t>Control_WMW_LatencyDay5</t>
  </si>
  <si>
    <t>12-h light/dark cycle</t>
  </si>
  <si>
    <t>PTSD_Male_CONT3</t>
  </si>
  <si>
    <t>PTSD_Male_CONT5</t>
  </si>
  <si>
    <t>PTSD_Male_EXT1</t>
  </si>
  <si>
    <t>PTSD_Male_EXT7</t>
  </si>
  <si>
    <t>PTSD_Male_EXT15</t>
  </si>
  <si>
    <t>PTSD_Male_EXT1_D2</t>
  </si>
  <si>
    <t>PTSD_Male_EXT2_D2</t>
  </si>
  <si>
    <t>PTSD_Male_EXT4_D2</t>
  </si>
  <si>
    <t>Control_Male_CONT3</t>
  </si>
  <si>
    <t>Control_Male_EXT1</t>
  </si>
  <si>
    <t>Control_Male_EXT7</t>
  </si>
  <si>
    <t>Control_Male_EXT15</t>
  </si>
  <si>
    <t>Control_Male_EXT1_D2</t>
  </si>
  <si>
    <t>Control_Male_EXT2_D2</t>
  </si>
  <si>
    <t>Control_Male_EXT4_D2</t>
  </si>
  <si>
    <t>PTSD_Female_CONT3</t>
  </si>
  <si>
    <t>Control_Female_CONT3</t>
  </si>
  <si>
    <t>PTSD_Female_CONT4</t>
  </si>
  <si>
    <t>Control_Female_CONT4</t>
  </si>
  <si>
    <t>PTSD_Female_EXT1</t>
  </si>
  <si>
    <t>Control_Female_EXT1</t>
  </si>
  <si>
    <t>PTSD_Female_EXT7</t>
  </si>
  <si>
    <t>Control_Female_EXT7</t>
  </si>
  <si>
    <t>PTSD_Female_EXT15</t>
  </si>
  <si>
    <t>Control_Female_EXT15</t>
  </si>
  <si>
    <t>PTSD_Female_EXT1_D2</t>
  </si>
  <si>
    <t>Control_Female_EXT1_D2</t>
  </si>
  <si>
    <t>PTSD_Female_EXT2_D2</t>
  </si>
  <si>
    <t>Control_Female_EXT2_D2</t>
  </si>
  <si>
    <t>PTSD_Female_EXT4_D2</t>
  </si>
  <si>
    <t>Control_Female_EXT4_D2</t>
  </si>
  <si>
    <t>Control_Male_CONT5</t>
  </si>
  <si>
    <t>Control_Female_EXT3_D2</t>
  </si>
  <si>
    <t>PTSD_Female_EXT3_D2</t>
  </si>
  <si>
    <t>PTSD_Male_EXT3_D2</t>
  </si>
  <si>
    <t>Control_Male_EXT3_D2</t>
  </si>
  <si>
    <t>Not clear if 24 M+F rats or 24 each (I put in a more conservative n)</t>
  </si>
  <si>
    <t xml:space="preserve">inverse 12 : 12 h light : dark cycle (light off at 07:00 h) </t>
  </si>
  <si>
    <t>PTSD_SR_FreezingCF32</t>
  </si>
  <si>
    <t>Control_SR_FreezingCF32</t>
  </si>
  <si>
    <t>12:12-h light/dark cycle</t>
  </si>
  <si>
    <t xml:space="preserve">C57BL/6 J </t>
  </si>
  <si>
    <t>1 mA</t>
  </si>
  <si>
    <t>PTSD_FC_FreezingCON_7d</t>
  </si>
  <si>
    <t>Control_FC_FreezingCON_7d</t>
  </si>
  <si>
    <t>PTSD_FC_FreezingTEST_7d</t>
  </si>
  <si>
    <t>Control_FC_FreezingTEST_7d</t>
  </si>
  <si>
    <t>1mA FS = trauma, later both groups get 4x 1mA in FC</t>
  </si>
  <si>
    <t>1 mA + 4x1mA during FC</t>
  </si>
  <si>
    <t>reversed 12 h light/dark cycle</t>
  </si>
  <si>
    <t>Control_SR_Freezing</t>
  </si>
  <si>
    <t xml:space="preserve"> 12-h light–dark cycle (lights on at 08:00 and off at 20:00)</t>
  </si>
  <si>
    <t>Control_MWM_DistanceTQ</t>
  </si>
  <si>
    <t>PTSD_MWM_DistanceTQ</t>
  </si>
  <si>
    <t>PTSD_FC_FreezingDay1</t>
  </si>
  <si>
    <t>PTSD_FC_FreezingDay2</t>
  </si>
  <si>
    <t>PTSD_FC_FreezingDay3</t>
  </si>
  <si>
    <t>PTSD_FC_FreezingDay4</t>
  </si>
  <si>
    <t>Control_FC_FreezingDay1</t>
  </si>
  <si>
    <t>Control_FC_FreezingDay2</t>
  </si>
  <si>
    <t>Control_FC_FreezingDay3</t>
  </si>
  <si>
    <t>Control_FC_FreezingDay4</t>
  </si>
  <si>
    <t>PTSD_FC_FreezingDay11</t>
  </si>
  <si>
    <t>Control_FC_FreezingDay11</t>
  </si>
  <si>
    <t>Could not access full paper</t>
  </si>
  <si>
    <t>Milou, maybe check if you have access?</t>
  </si>
  <si>
    <t>12 : 12 h light-dark schedule (lights on at 07:00 a.m.)</t>
  </si>
  <si>
    <t>1.1 mA</t>
  </si>
  <si>
    <t>PTSD_SR_SPS7day</t>
  </si>
  <si>
    <t>PTSD_SR_SPS14day</t>
  </si>
  <si>
    <t>PTSD_SR_SPS28day</t>
  </si>
  <si>
    <t>Control_SR_SPS7day</t>
  </si>
  <si>
    <t>Control_SR_SPS14day</t>
  </si>
  <si>
    <t>Control_SR_SPS28day</t>
  </si>
  <si>
    <t xml:space="preserve">No actual data on N per group, i estimated from total number of rats in experiment </t>
  </si>
  <si>
    <t>2 mA</t>
  </si>
  <si>
    <t>PTSD_SR_FreezingDay7</t>
  </si>
  <si>
    <t>Control_SR_FreezingDay7</t>
  </si>
  <si>
    <t>Control_SR_FreezingDay14</t>
  </si>
  <si>
    <t>Control_SR_FreezingDay21</t>
  </si>
  <si>
    <t>PTSD_SR_FreezingDay14</t>
  </si>
  <si>
    <t>PTSD_SR_FreezingDay21</t>
  </si>
  <si>
    <t>24 days</t>
  </si>
  <si>
    <t>PTSD_MWM_LatencyDay24</t>
  </si>
  <si>
    <t>PTSD_MWM_LatencyDay25</t>
  </si>
  <si>
    <t>PTSD_MWM_LatencyDay26</t>
  </si>
  <si>
    <t>PTSD_MWM_LatencyDay27</t>
  </si>
  <si>
    <t>Control_MWM_LatencyDay24</t>
  </si>
  <si>
    <t>Control_MWM_LatencyDay25</t>
  </si>
  <si>
    <t>Control_MWM_LatencyDay26</t>
  </si>
  <si>
    <t>Control_MWM_LatencyDay27</t>
  </si>
  <si>
    <t>Different groups really hard to distinguish in graph</t>
  </si>
  <si>
    <t>PTSD_MWM_TimeTQ</t>
  </si>
  <si>
    <t>Control_MWM_TimeTQ</t>
  </si>
  <si>
    <t xml:space="preserve"> 12-h light/dark cycle</t>
  </si>
  <si>
    <t>PTSD_FC_CONT3</t>
  </si>
  <si>
    <t>Control_FC_CONT3</t>
  </si>
  <si>
    <t>PTSD_FC_CONT5</t>
  </si>
  <si>
    <t>Control_FC_CONT5</t>
  </si>
  <si>
    <t>PTSD_FC_EXT1</t>
  </si>
  <si>
    <t>Control_FC_EXT5</t>
  </si>
  <si>
    <t>Control_FC_EXT10</t>
  </si>
  <si>
    <t>PTSD_FC_EXT5</t>
  </si>
  <si>
    <t>PTSD_FC_EXT10</t>
  </si>
  <si>
    <t>Control_FC_EXTRET_early</t>
  </si>
  <si>
    <t>Control_FC_EXTRET_late</t>
  </si>
  <si>
    <t>PTSD_FC_EXTRET_early</t>
  </si>
  <si>
    <t>PTSD_FC_EXTRET_late</t>
  </si>
  <si>
    <t>Late extinction retention trials</t>
  </si>
  <si>
    <t>Early extinction retention trials // graph shows very different error from table, maye one is sem and the other sd?</t>
  </si>
  <si>
    <t>Not stated if SEM or SD is reported</t>
  </si>
  <si>
    <t>12:12 h light/dark cycle (lights on at 7:00 am)</t>
  </si>
  <si>
    <t>12-h light/dark schedule</t>
  </si>
  <si>
    <t>Control_MWM_LatencyDay1</t>
  </si>
  <si>
    <t>Control_MWM_LatencyDay2</t>
  </si>
  <si>
    <t>Control_MWM_LatencyDay3</t>
  </si>
  <si>
    <t>Control_MWM_LatencyDay4</t>
  </si>
  <si>
    <t>Control_MWM_LatencyDay5</t>
  </si>
  <si>
    <t>Control_MWM_LatencyDay6</t>
  </si>
  <si>
    <t>PTSD_MWM_LatencyDay6</t>
  </si>
  <si>
    <t>Less than 3 days between trauma and task</t>
  </si>
  <si>
    <t>Novel measure - WASM, used as a reminder of UWT</t>
  </si>
  <si>
    <t>UWT</t>
  </si>
  <si>
    <t>12:12-h light-dark cycle (lights on 0700–1900 h)</t>
  </si>
  <si>
    <t>PTSD_WASM(SR)_Freezing</t>
  </si>
  <si>
    <t>Control_WASM(SR)_Freezing</t>
  </si>
  <si>
    <t>PTSD_FC_FreezingDay7</t>
  </si>
  <si>
    <t>Control_FC_FreezingDay7</t>
  </si>
  <si>
    <t>No un-stressed control group</t>
  </si>
  <si>
    <t>Chronic stress (repeated daily for 14 days)</t>
  </si>
  <si>
    <t>15 weeks</t>
  </si>
  <si>
    <t>12 h light-dark cycle, lights on at 7:00 a.m.</t>
  </si>
  <si>
    <t>PTSD_SR_IS_Freezing</t>
  </si>
  <si>
    <t>PTSD_SR_DS_Freezing</t>
  </si>
  <si>
    <t>One PTSD group had immediate shock, the other delayed shock</t>
  </si>
  <si>
    <t>No control group in FC, restraint stress only at end of experiment with no beh. tasks after it</t>
  </si>
  <si>
    <t>12:12 h light:dark cycle</t>
  </si>
  <si>
    <t>in fc (0,6 mA)</t>
  </si>
  <si>
    <t>Control_FC_FreezingDay10</t>
  </si>
  <si>
    <t>Control_FC_FreezingDay14</t>
  </si>
  <si>
    <t>PTSD_FC_FreezingDay10</t>
  </si>
  <si>
    <t>PTSD_FC_FreezingDay14</t>
  </si>
  <si>
    <t xml:space="preserve"> 12-h light–12-
h dark cycle</t>
  </si>
  <si>
    <t>PTSD_SR_ExplorationFreezing14</t>
  </si>
  <si>
    <t>PTSD_SR_ExplorationFreezing35</t>
  </si>
  <si>
    <t>PTSD_SR_ExplorationFreezing50</t>
  </si>
  <si>
    <t>Control_SR_ExplorationFreezing14</t>
  </si>
  <si>
    <t>Control_SR_ExplorationFreezing35</t>
  </si>
  <si>
    <t>Control_SR_ExplorationFreezing50</t>
  </si>
  <si>
    <t>Put into OF right after SR and measured freezing there</t>
  </si>
  <si>
    <t>Control lentivirus injected</t>
  </si>
  <si>
    <t>inverse 12–12 h light-dark cycle (lights ON at 9 p.m.)</t>
  </si>
  <si>
    <t>C57BL/6N</t>
  </si>
  <si>
    <t>12-hour/12-hour light/dark cycle</t>
  </si>
  <si>
    <t>PTSD_MWM_LatencyDay2_1</t>
  </si>
  <si>
    <t>PTSD_MWM_LatencyDay2_4</t>
  </si>
  <si>
    <t>PTSD_MWM_LatencyDay3_1</t>
  </si>
  <si>
    <t>PTSD_MWM_LatencyDay3_4</t>
  </si>
  <si>
    <t>PTSD_MWM_LatencyDay4_1</t>
  </si>
  <si>
    <t>PTSD_MWM_LatencyDay4_4</t>
  </si>
  <si>
    <t>Control_MWM_LatencyDay2_1</t>
  </si>
  <si>
    <t>Control_MWM_LatencyDay2_4</t>
  </si>
  <si>
    <t>Control_MWM_LatencyDay3_1</t>
  </si>
  <si>
    <t>Control_MWM_LatencyDay3_4</t>
  </si>
  <si>
    <t>Control_MWM_LatencyDay4_1</t>
  </si>
  <si>
    <t>Control_MWM_LatencyDay4_4</t>
  </si>
  <si>
    <t>PTSD_MWM_TimeTQ8days</t>
  </si>
  <si>
    <t>PTSD_MWM_TimeTQ9days</t>
  </si>
  <si>
    <t>PTSD_MWM_TimeTQ11days</t>
  </si>
  <si>
    <t>PTSD_MWM_TimeOpposite8days</t>
  </si>
  <si>
    <t>PTSD_MWM_TimeOpposite9days</t>
  </si>
  <si>
    <t>PTSD_MWM_TimeOpposite11days</t>
  </si>
  <si>
    <t>Control_MWM_TimeTQ8days</t>
  </si>
  <si>
    <t>Control_MWM_TimeTQ9days</t>
  </si>
  <si>
    <t>Control_MWM_TimeTQ11days</t>
  </si>
  <si>
    <t>Control_MWM_TimeOpposite8days</t>
  </si>
  <si>
    <t>Control_MWM_TimeOpposite9days</t>
  </si>
  <si>
    <t>Control_MWM_TimeOpposite11days</t>
  </si>
  <si>
    <t>TimeQuadrant_opposit_%</t>
  </si>
  <si>
    <t>Control_FC_CON_3</t>
  </si>
  <si>
    <t>Control_FC_CON_5</t>
  </si>
  <si>
    <t>Control_FC_EXT_CS1-5</t>
  </si>
  <si>
    <t>Control_FC_EXT_CS6-10</t>
  </si>
  <si>
    <t>Control_FC_EXT_CS11-15</t>
  </si>
  <si>
    <t>PTSD_FC_CON_3</t>
  </si>
  <si>
    <t>PTSD_FC_CON_5</t>
  </si>
  <si>
    <t>PTSD_FC_EXT_CS1-5</t>
  </si>
  <si>
    <t>PTSD_FC_EXT_CS6-10</t>
  </si>
  <si>
    <t>PTSD_FC_EXT_CS11-15</t>
  </si>
  <si>
    <t>12 h light/dark cycles (lights turned on at 07:00 h and turned off at 19:00 h)</t>
  </si>
  <si>
    <t>in fc (0,5 mA)</t>
  </si>
  <si>
    <t>PTSD_FC_BLA_Ext1</t>
  </si>
  <si>
    <t>PTSD_FC_BLA_Ext2</t>
  </si>
  <si>
    <t>PTSD_FC_BLA_Ext3</t>
  </si>
  <si>
    <t>PTSD_FC_vSub_Ext1</t>
  </si>
  <si>
    <t>PTSD_FC_vSub_Ext2</t>
  </si>
  <si>
    <t>PTSD_FC_vSub_Ext3</t>
  </si>
  <si>
    <t>PTSD_FC_ILPFC_Ext1</t>
  </si>
  <si>
    <t>PTSD_FC_ILPFC_Ext2</t>
  </si>
  <si>
    <t>PTSD_FC_ILPFC_Ext3</t>
  </si>
  <si>
    <t>PTSD_FC_Exp2_BLA_Ext1</t>
  </si>
  <si>
    <t>PTSD_FC_Exp2_BLA_Ext2</t>
  </si>
  <si>
    <t>PTSD_FC_Exp2_BLA_Ext3</t>
  </si>
  <si>
    <t>PTSD_FC_Exp2_vSub_Ext1</t>
  </si>
  <si>
    <t>PTSD_FC_Exp2_vSub_Ext2</t>
  </si>
  <si>
    <t>PTSD_FC_Exp2_vSub_Ext3</t>
  </si>
  <si>
    <t>PTSD_FC_Exp3_Ext1</t>
  </si>
  <si>
    <t>PTSD_FC_Exp3_Ext2</t>
  </si>
  <si>
    <t>PTSD_FC_Exp3_Ext3</t>
  </si>
  <si>
    <t>Control_FC_BLA_Ext1</t>
  </si>
  <si>
    <t>Control_FC_BLA_Ext2</t>
  </si>
  <si>
    <t>Control_FC_BLA_Ext3</t>
  </si>
  <si>
    <t>Control_FC_vSub_Ext1</t>
  </si>
  <si>
    <t>Control_FC_vSub_Ext2</t>
  </si>
  <si>
    <t>Control_FC_vSub_Ext3</t>
  </si>
  <si>
    <t>Control_FC_ILPFC_Ext1</t>
  </si>
  <si>
    <t>Control_FC_ILPFC_Ext2</t>
  </si>
  <si>
    <t>Control_FC_ILPFC_Ext3</t>
  </si>
  <si>
    <t>Control_FC_Exp2_BLA_Ext1</t>
  </si>
  <si>
    <t>Control_FC_Exp2_BLA_Ext2</t>
  </si>
  <si>
    <t>Control_FC_Exp2_BLA_Ext3</t>
  </si>
  <si>
    <t>Control_FC_Exp2_vSub_Ext1</t>
  </si>
  <si>
    <t>Control_FC_Exp2_vSub_Ext2</t>
  </si>
  <si>
    <t>Control_FC_Exp2_vSub_Ext3</t>
  </si>
  <si>
    <t>Control_FC_Exp3_Ext1</t>
  </si>
  <si>
    <t>Control_FC_Exp3_Ext2</t>
  </si>
  <si>
    <t>Control_FC_Exp3_Ext3</t>
  </si>
  <si>
    <t>reversed day–night (12-hour) cycle</t>
  </si>
  <si>
    <t>1 mA (+ 1 x 1mA 6 days later)</t>
  </si>
  <si>
    <t>PTSD_FC_Exp1_Ext1</t>
  </si>
  <si>
    <t>PTSD_FC_Exp1_Ext2</t>
  </si>
  <si>
    <t>PTSD_FC_Exp1_Ext3</t>
  </si>
  <si>
    <t>PTSD_FC_Exp1_Ext4</t>
  </si>
  <si>
    <t>PTSD_FC_Exp2_Ext1</t>
  </si>
  <si>
    <t>PTSD_FC_Exp2_Ext2</t>
  </si>
  <si>
    <t>PTSD_FC_Exp2_Ext3</t>
  </si>
  <si>
    <t>PTSD_FC_Exp2_Ext4</t>
  </si>
  <si>
    <t>PTSD_FC_Exp3_Ext4</t>
  </si>
  <si>
    <t>Control_FC_Exp1_Ext1</t>
  </si>
  <si>
    <t>Control_FC_Exp1_Ext2</t>
  </si>
  <si>
    <t>Control_FC_Exp1_Ext3</t>
  </si>
  <si>
    <t>Control_FC_Exp1_Ext4</t>
  </si>
  <si>
    <t>Control_FC_Exp2_Ext1</t>
  </si>
  <si>
    <t>Control_FC_Exp2_Ext2</t>
  </si>
  <si>
    <t>Control_FC_Exp2_Ext3</t>
  </si>
  <si>
    <t>Control_FC_Exp2_Ext4</t>
  </si>
  <si>
    <t>Control_FC_Exp3_Ext4</t>
  </si>
  <si>
    <t>PTSD_FC_Exp4_Ext1</t>
  </si>
  <si>
    <t>PTSD_FC_Exp4_Ext2</t>
  </si>
  <si>
    <t>PTSD_FC_Exp4_Ext3</t>
  </si>
  <si>
    <t>PTSD_FC_Exp4_Ext4</t>
  </si>
  <si>
    <t>Control_FC_Exp4_Ext1</t>
  </si>
  <si>
    <t>Control_FC_Exp4_Ext2</t>
  </si>
  <si>
    <t>Control_FC_Exp4_Ext3</t>
  </si>
  <si>
    <t>Control_FC_Exp4_Ext4</t>
  </si>
  <si>
    <t>less than 3 days between trauma and task</t>
  </si>
  <si>
    <t>PTSD_FC_EXTRET_BL1</t>
  </si>
  <si>
    <t>PTSD_FC_EXTRET_BL2</t>
  </si>
  <si>
    <t>Control_FC_EXTRET_BL1</t>
  </si>
  <si>
    <t>Control_FC_EXTRET_BL2</t>
  </si>
  <si>
    <t xml:space="preserve"> inverse 12 h:12 h light-dark cycle (lights off: 09:00 h) </t>
  </si>
  <si>
    <t>PTSD_SR_Freezing_DS</t>
  </si>
  <si>
    <t>PTSD_SR_Freezing_IS</t>
  </si>
  <si>
    <t>PTSD_SR_Freezing_DS_D31</t>
  </si>
  <si>
    <t>PTSD_SR_Freezing_IS_D31</t>
  </si>
  <si>
    <t>Control_SR_Freezing_DS</t>
  </si>
  <si>
    <t>Control_SR_Freezing_IS</t>
  </si>
  <si>
    <t>Control_SR_Freezing_DS_D31</t>
  </si>
  <si>
    <t>Control_SR_Freezing_IS_D31</t>
  </si>
  <si>
    <t>No learning/memory task, only assessed anxiety levels on EPM</t>
  </si>
  <si>
    <t>inverse 12-h light/12-h dark schedule (lights on at 20:00 h and lights off at 08:00 h)</t>
  </si>
  <si>
    <t>young (according to paper)</t>
  </si>
  <si>
    <t>KM</t>
  </si>
  <si>
    <t>PTSD_FS_ContextualFear</t>
  </si>
  <si>
    <t>PTSD_FS_CuedFear</t>
  </si>
  <si>
    <t>PTSD_SPS_ORT</t>
  </si>
  <si>
    <t>PTSD_FS_ORT</t>
  </si>
  <si>
    <t>13 days</t>
  </si>
  <si>
    <t>Control_SPS_ORT</t>
  </si>
  <si>
    <t>Control_FS_ContextualFear</t>
  </si>
  <si>
    <t>Control_FS_CuedFear</t>
  </si>
  <si>
    <t>Control_FS_ORT</t>
  </si>
  <si>
    <t>6,2 weeks</t>
  </si>
  <si>
    <t>PTSD_FC_Exp1_Con3</t>
  </si>
  <si>
    <t>PTSD_FC_Exp1_Con5</t>
  </si>
  <si>
    <t>PTSD_FC_Exp1_Ext8</t>
  </si>
  <si>
    <t>PTSD_FC_Exp1_Ext1-D2</t>
  </si>
  <si>
    <t>PTSD_FC_Exp1_Ext4-D2</t>
  </si>
  <si>
    <t>PTSD_FC_Exp1_Ext8-D2</t>
  </si>
  <si>
    <t>ExplorationPercentage</t>
  </si>
  <si>
    <t>Here exposed to conditioning context+tone but no shock</t>
  </si>
  <si>
    <t>PTSD_FC_Exp2_Con3</t>
  </si>
  <si>
    <t>PTSD_FC_Exp2_Con5</t>
  </si>
  <si>
    <t>PTSD_FC_Exp2_Ext8</t>
  </si>
  <si>
    <t>PTSD_FC_Exp2_Ext15</t>
  </si>
  <si>
    <t>PTSD_FC_Exp2_Reexposure1</t>
  </si>
  <si>
    <t>PTSD_FC_Exp2_Reexposure5</t>
  </si>
  <si>
    <t>PTSD_FC_Exp2_Reexposure10</t>
  </si>
  <si>
    <t>PTSD_FC_Exp2_Frenewal_BT-_Block1</t>
  </si>
  <si>
    <t>PTSD_FC_Exp2_Frenewal_BT-_Block2</t>
  </si>
  <si>
    <t>PTSD_FC_Exp2_Frenewal_AT-_Block1</t>
  </si>
  <si>
    <t>PTSD_FC_Exp2_Frenewal_AT-_Block2</t>
  </si>
  <si>
    <t>PTSD_FC_Exp3_Cstest</t>
  </si>
  <si>
    <t>PTSD_FC_Exp3_Con3</t>
  </si>
  <si>
    <t>PTSD_FC_Exp3_Con5</t>
  </si>
  <si>
    <t>PTSD_FC_Exp3_Ext8</t>
  </si>
  <si>
    <t>PTSD_FC_Exp3_Ext15</t>
  </si>
  <si>
    <t>Control_FC_Exp1_Con3</t>
  </si>
  <si>
    <t>Control_FC_Exp1_Con5</t>
  </si>
  <si>
    <t>Control_FC_Exp1_Ext8</t>
  </si>
  <si>
    <t>Control_FC_Exp1_Ext1-D2</t>
  </si>
  <si>
    <t>Control_FC_Exp1_Ext4-D2</t>
  </si>
  <si>
    <t>Control_FC_Exp1_Ext8-D2</t>
  </si>
  <si>
    <t>Control_FC_Exp1_Reexposure1</t>
  </si>
  <si>
    <t>Control_FC_Exp1_Frenewal_BT-_Block1</t>
  </si>
  <si>
    <t>Control_FC_Exp1_Frenewal_BT-_Block2</t>
  </si>
  <si>
    <t>Control_FC_Exp1_Frenewal_AT-_Block1</t>
  </si>
  <si>
    <t>Control_FC_Exp1_Frenewal_AT-_Block2</t>
  </si>
  <si>
    <t>Control_FC_Exp3_Con3</t>
  </si>
  <si>
    <t>Control_FC_Exp3_Con5</t>
  </si>
  <si>
    <t>Control_FC_Exp3_Ext8</t>
  </si>
  <si>
    <t>Control_FC_Exp3_Ext15</t>
  </si>
  <si>
    <t>Control_FC_Exp3_Cstest</t>
  </si>
  <si>
    <t>Control_FC_Exp1_Reexposure5</t>
  </si>
  <si>
    <t>Control_FC_Exp1_Reexposure10</t>
  </si>
  <si>
    <t>Control_FC_Exp1_Ext15</t>
  </si>
  <si>
    <t>12 h/12 h light/dark cycle (lights on 06:00 h)</t>
  </si>
  <si>
    <t>PTSD_SR_FreezingD12</t>
  </si>
  <si>
    <t>PTSD_SR_FreezingD27</t>
  </si>
  <si>
    <t>Control_FreezingD12</t>
  </si>
  <si>
    <t>Control_FreezingD27</t>
  </si>
  <si>
    <t>LowResp_FreezingD12</t>
  </si>
  <si>
    <t>LowResp_FreezingD27</t>
  </si>
  <si>
    <t xml:space="preserve">12-h light/dark cycle (lights were on from 07:00 to 19:00 h) </t>
  </si>
  <si>
    <t>0,7 mA</t>
  </si>
  <si>
    <t>Seems like they did MWM testing from day 1 to day 5 after SPS - can we use the last measures or no? (fig 1)</t>
  </si>
  <si>
    <t>PTSD_MWM_LatencyB1_1</t>
  </si>
  <si>
    <t>PTSD_MWM_LatencyB1_3</t>
  </si>
  <si>
    <t>PTSD_MWM_LatencyB2_1</t>
  </si>
  <si>
    <t>PTSD_MWM_LatencyB2_3</t>
  </si>
  <si>
    <t>PTSD_MWM_LatencyB3_1</t>
  </si>
  <si>
    <t>PTSD_MWM_LatencyB3_3</t>
  </si>
  <si>
    <t>Delayed shock</t>
  </si>
  <si>
    <t>PTSD_delayedS_MWM_LatencyB1_1</t>
  </si>
  <si>
    <t>PTSD_delayedS_MWM_LatencyB1_3</t>
  </si>
  <si>
    <t>PTSD_delayedS_MWM_LatencyB2_1</t>
  </si>
  <si>
    <t>PTSD_delayedS_MWM_LatencyB2_3</t>
  </si>
  <si>
    <t>PTSD_delayedS_MWM_LatencyB3_1</t>
  </si>
  <si>
    <t>PTSD_delayedS_MWM_LatencyB3_3</t>
  </si>
  <si>
    <t>PTSD_immediateS_MWM_LatencyB1_1</t>
  </si>
  <si>
    <t>PTSD_immediateS_MWM_LatencyB1_3</t>
  </si>
  <si>
    <t>PTSD_immediateS_MWM_LatencyB2_1</t>
  </si>
  <si>
    <t>PTSD_immediateS_MWM_LatencyB2_3</t>
  </si>
  <si>
    <t>PTSD_immediateS_MWM_LatencyB3_1</t>
  </si>
  <si>
    <t>PTSD_immediateS_MWM_LatencyB3_3</t>
  </si>
  <si>
    <t>Control_MWM_LatencyB1_1</t>
  </si>
  <si>
    <t>Control_MWM_LatencyB1_3</t>
  </si>
  <si>
    <t>Control_MWM_LatencyB2_1</t>
  </si>
  <si>
    <t>Control_MWM_LatencyB2_3</t>
  </si>
  <si>
    <t>Control_MWM_LatencyB3_1</t>
  </si>
  <si>
    <t>Control_MWM_LatencyB3_3</t>
  </si>
  <si>
    <t>Immediate shock</t>
  </si>
  <si>
    <t>cfc was considered trauma (but no 3 day period between trauma and testing) - "a brief exposure to cat hair is a mild stressor and not a severely traumatic event comparable to footshock-induced CFC"</t>
  </si>
  <si>
    <t>12-h light/dark cycle (lights on at 0600 hours)</t>
  </si>
  <si>
    <t>not reported which statistic it is, no error bars on graph (see fig 3 d-g)</t>
  </si>
  <si>
    <t xml:space="preserve"> 12-h-light/dark cycle</t>
  </si>
  <si>
    <t>PTSD_FC_CON3</t>
  </si>
  <si>
    <t>PTSD_FC_CON5</t>
  </si>
  <si>
    <t>PTSD_FC_EXT1_D1</t>
  </si>
  <si>
    <t>PTSD_FC_EXT5_D1</t>
  </si>
  <si>
    <t>PTSD_FC_EXT10_D1</t>
  </si>
  <si>
    <t>PTSD_FC_EXT1_D2</t>
  </si>
  <si>
    <t>PTSD_FC_EXT5_D2</t>
  </si>
  <si>
    <t>Resilient_FC_CON3</t>
  </si>
  <si>
    <t>Resilient_FC_CON5</t>
  </si>
  <si>
    <t>Resilient_FC_EXT1_D1</t>
  </si>
  <si>
    <t>Resilient_FC_EXT5_D1</t>
  </si>
  <si>
    <t>Resilient_FC_EXT10_D1</t>
  </si>
  <si>
    <t>Resilient_FC_EXT1_D2</t>
  </si>
  <si>
    <t>Resilient_FC_EXT5_D2</t>
  </si>
  <si>
    <t>Resilient_FC_EXT3_D2</t>
  </si>
  <si>
    <t>PTSD_FC_EXT3_D2</t>
  </si>
  <si>
    <t xml:space="preserve">no trauma before fear conditioning, only 48h between shock and test, no unstressed control group </t>
  </si>
  <si>
    <t>PTSD_FC_Freezing</t>
  </si>
  <si>
    <t>9,5 weeks</t>
  </si>
  <si>
    <t>inverse 12 h light/dark cycle (lights off at 09:00 h)</t>
  </si>
  <si>
    <t xml:space="preserve">Measured time to enter compartment with a conditioned odor - which code is this? </t>
  </si>
  <si>
    <t>PTSD_SR_TimeEthanol</t>
  </si>
  <si>
    <t>Control_SR_TimeEthanol</t>
  </si>
  <si>
    <t>53 days</t>
  </si>
  <si>
    <t>Trauma longer than 1 day, no relevant beh. Measure assessed</t>
  </si>
  <si>
    <t>11,4 weeks</t>
  </si>
  <si>
    <t>12 : 12-h light–dark cycle, with lights coming on at 0600 </t>
  </si>
  <si>
    <t>Long Evans</t>
  </si>
  <si>
    <t>SR in same context as initial trauma (context A)</t>
  </si>
  <si>
    <t>Control_SR_FreezingContextA</t>
  </si>
  <si>
    <t>PTSD_SR_FreezingContextA</t>
  </si>
  <si>
    <t>PTSD_FC_FreezingContextB</t>
  </si>
  <si>
    <t>Control_FC_FreezingContextB</t>
  </si>
  <si>
    <t>1 mA (+ later 1x 1mA in FC)</t>
  </si>
  <si>
    <t>SEFL - freezing in context B after FC in context B</t>
  </si>
  <si>
    <t>reversed 12-h light/dark cycle (lights off: 08:00 a.m.)</t>
  </si>
  <si>
    <t>PTSD_SR_FreezingDorsalHipp</t>
  </si>
  <si>
    <t>PTSD_SR_FreezingLateralVen</t>
  </si>
  <si>
    <t>PTSD_SR_FreezingBasolatAmy</t>
  </si>
  <si>
    <t>PTSD_SR_FreezingInsularCor</t>
  </si>
  <si>
    <t>Control_SR_FreezingDorsalHipp</t>
  </si>
  <si>
    <t>Control_SR_FreezingLateralVen</t>
  </si>
  <si>
    <t>Control_SR_FreezingBasolatAmy</t>
  </si>
  <si>
    <t>Control_SR_FreezingInsularCor</t>
  </si>
  <si>
    <t>PTSD_SR_Exp2_FreezingDorsalHipp</t>
  </si>
  <si>
    <t>Control_SR_Exp2_FreezingDorsalHipp</t>
  </si>
  <si>
    <t>PTSD_SR_Exp2_FreezingLateralVen</t>
  </si>
  <si>
    <t>Control_SR_Exp2_FreezingLateralVen</t>
  </si>
  <si>
    <t>PTSD_SR_Exp2_FreezingBasolatAmy</t>
  </si>
  <si>
    <t>Control_SR_Exp2_FreezingBasolatAmy</t>
  </si>
  <si>
    <t>PTSD_SR_Exp2_FreezingInsularCor</t>
  </si>
  <si>
    <t>Control_SR_Exp2_FreezingInsularCor</t>
  </si>
  <si>
    <t>I dont have access - Milou please check if you do!</t>
  </si>
  <si>
    <t>inverse 12:12 h light–dark cycle (lights off: 09:00 h)</t>
  </si>
  <si>
    <t>PTSD_SR_Hexagon_Freezing++</t>
  </si>
  <si>
    <t>PTSD_SR_Square_Freezing++</t>
  </si>
  <si>
    <t>Control_SR_Hexagon_Freezing-+</t>
  </si>
  <si>
    <t>Control_SR_Square_Freezing-+</t>
  </si>
  <si>
    <t>55 days</t>
  </si>
  <si>
    <t>Both groups had extinction training on D1,D2,D3</t>
  </si>
  <si>
    <t>Both groups had extinction training on D26,D27,D28</t>
  </si>
  <si>
    <t>SPS+FS</t>
  </si>
  <si>
    <t>PTSD_MWM_PercentageTQ</t>
  </si>
  <si>
    <t>12:12-hr light-dark cycle, with lights coming on at 6:00 am</t>
  </si>
  <si>
    <t>92 days</t>
  </si>
  <si>
    <t>Control_MWM_PercentageTQ</t>
  </si>
  <si>
    <t>93 days</t>
  </si>
  <si>
    <t>SEFL - freezing in context B after shock in context B</t>
  </si>
  <si>
    <t>12-h light/dark, lights on at 8:00 am</t>
  </si>
  <si>
    <t>in fc (0,3 mA)</t>
  </si>
  <si>
    <t>RET_CTX-_Freezing</t>
  </si>
  <si>
    <t>PTSD_FC_FearDiscrimThreat</t>
  </si>
  <si>
    <t>PTSD_FC_FearDiscrimSafe</t>
  </si>
  <si>
    <t>Control_FC_FearDiscrimThreat</t>
  </si>
  <si>
    <t>Control_FC_FearDiscrimSafe</t>
  </si>
  <si>
    <t>in fc (0,15 mA)</t>
  </si>
  <si>
    <t>Fear discrimination test</t>
  </si>
  <si>
    <t>PTSD_FC_FreezingRU</t>
  </si>
  <si>
    <t>Control_FC_FreezingRU</t>
  </si>
  <si>
    <t>lights on between 07:00 h and 19:00 h</t>
  </si>
  <si>
    <t>PTSD_Freezing_Male_SR1</t>
  </si>
  <si>
    <t>PTSD_Freezing_Male_SR2</t>
  </si>
  <si>
    <t>PTSD_Freezing_Male_SR3</t>
  </si>
  <si>
    <t>PTSD_Freezing_Female_SR1</t>
  </si>
  <si>
    <t>PTSD_Freezing_Female_SR2</t>
  </si>
  <si>
    <t>PTSD_Freezing_Female_SR3</t>
  </si>
  <si>
    <t>12 hours on/12 hours off light/dark</t>
  </si>
  <si>
    <t>0,9 mA</t>
  </si>
  <si>
    <t>8,5 weeks</t>
  </si>
  <si>
    <t>inverse 12:12 h light–dark schedule (lights on at 20:00 h)</t>
  </si>
  <si>
    <t>Trauma duration over 1 day (2 days of 15 x 0,8 mA FS)</t>
  </si>
  <si>
    <t>reversed 12-hour light–dark cycle</t>
  </si>
  <si>
    <t>PTSD_SR_Minute3</t>
  </si>
  <si>
    <t>PTSD_SR_Minute9</t>
  </si>
  <si>
    <t>Control_SR_Minute3</t>
  </si>
  <si>
    <t>Control_SR_Minute9</t>
  </si>
  <si>
    <t>reversed 12-hour light– dark cycle</t>
  </si>
  <si>
    <t>PTSD_Latency_Day1_1</t>
  </si>
  <si>
    <t>PTSD_Latency_Day1_2</t>
  </si>
  <si>
    <t>PTSD_Latency_Day1_3</t>
  </si>
  <si>
    <t>PTSD_Latency_Day1_4</t>
  </si>
  <si>
    <t>PTSD_Latency_Day2_1</t>
  </si>
  <si>
    <t>PTSD_Latency_Day2_2</t>
  </si>
  <si>
    <t>PTSD_Latency_Day2_3</t>
  </si>
  <si>
    <t>PTSD_Latency_Day2_4</t>
  </si>
  <si>
    <t>PTSD_Latency_Day3_1</t>
  </si>
  <si>
    <t>PTSD_Latency_Day3_2</t>
  </si>
  <si>
    <t>PTSD_Latency_Day3_3</t>
  </si>
  <si>
    <t>PTSD_Latency_Day3_4</t>
  </si>
  <si>
    <t>PTSD_Latency_Day4_1</t>
  </si>
  <si>
    <t>PTSD_Latency_Day4_2</t>
  </si>
  <si>
    <t>PTSD_Latency_Day4_3</t>
  </si>
  <si>
    <t>PTSD_Latency_Day4_4</t>
  </si>
  <si>
    <t>PTSD_MWM_TimeTrainingQ</t>
  </si>
  <si>
    <t>Control_Latency_Day1_1</t>
  </si>
  <si>
    <t>Control_Latency_Day1_2</t>
  </si>
  <si>
    <t>Control_Latency_Day1_3</t>
  </si>
  <si>
    <t>Control_Latency_Day1_4</t>
  </si>
  <si>
    <t>Control_Latency_Day2_1</t>
  </si>
  <si>
    <t>Control_Latency_Day2_2</t>
  </si>
  <si>
    <t>Control_Latency_Day2_3</t>
  </si>
  <si>
    <t>Control_Latency_Day2_4</t>
  </si>
  <si>
    <t>Control_Latency_Day3_1</t>
  </si>
  <si>
    <t>Control_Latency_Day3_2</t>
  </si>
  <si>
    <t>Control_Latency_Day3_3</t>
  </si>
  <si>
    <t>Control_Latency_Day3_4</t>
  </si>
  <si>
    <t>Control_Latency_Day4_1</t>
  </si>
  <si>
    <t>Control_Latency_Day4_2</t>
  </si>
  <si>
    <t>Control_Latency_Day4_3</t>
  </si>
  <si>
    <t>Control_Latency_Day4_4</t>
  </si>
  <si>
    <t>Control_MWM_TimeTrainingQ</t>
  </si>
  <si>
    <t>12 h light/dark cycle (light on: 08:00–20:00 h)</t>
  </si>
  <si>
    <t>20 weeks</t>
  </si>
  <si>
    <t>No direct learning/memory  measurement in response to SR</t>
  </si>
  <si>
    <t xml:space="preserve"> natural 12-h light/dark cycle</t>
  </si>
  <si>
    <t>SPS (+ FST after 7 days)</t>
  </si>
  <si>
    <t>NonExp</t>
  </si>
  <si>
    <t>PTSD_MWM_LatencyTrial1</t>
  </si>
  <si>
    <t>PTSD_MWM_LatencyTrial3</t>
  </si>
  <si>
    <t>PTSD_MWM_LatencyTrial5</t>
  </si>
  <si>
    <t>PTSD_MWM_RatioTargetQ</t>
  </si>
  <si>
    <t>Control_MWM_LatencyTrial1</t>
  </si>
  <si>
    <t>Control_MWM_LatencyTrial3</t>
  </si>
  <si>
    <t>Control_MWM_LatencyTrial5</t>
  </si>
  <si>
    <t>Control_MWM_RatioTargetQ</t>
  </si>
  <si>
    <t>well adapted vs maladapted</t>
  </si>
  <si>
    <t>TimeQuadrant_target</t>
  </si>
  <si>
    <t>PTSD_MWM_TimeTrainingQ_T1</t>
  </si>
  <si>
    <t>PTSD_MWM_TimeTrainingQ_T2</t>
  </si>
  <si>
    <t>PTSD_MWM_TimeTrainingQ_T3</t>
  </si>
  <si>
    <t>PTSD_MWM_TimeTrainingQ_T4</t>
  </si>
  <si>
    <t>Control_MWM_TimeTrainingQ_T1</t>
  </si>
  <si>
    <t>Control_MWM_TimeTrainingQ_T2</t>
  </si>
  <si>
    <t>Control_MWM_TimeTrainingQ_T3</t>
  </si>
  <si>
    <t>Control_MWM_TimeTrainingQ_T4</t>
  </si>
  <si>
    <t>Stress-restress: trauma duration over 1 day before any beh. Measurement</t>
  </si>
  <si>
    <t>No relevant behavioral measure</t>
  </si>
  <si>
    <t>Trauma duration over 1 day, no behaviour measure before re-stress sessions</t>
  </si>
  <si>
    <t>No visible error bars (assume they are within the symbols)</t>
  </si>
  <si>
    <t>Not a proper PTSD model</t>
  </si>
  <si>
    <t>Here they exposed them again to Conditioning context without shock  (Original trauma was SPS here, so not SR)</t>
  </si>
  <si>
    <t>RS + fst</t>
  </si>
  <si>
    <t>PTSD_r+fs_FC_CONT3</t>
  </si>
  <si>
    <t>Control_r+fs_FC_CONT3</t>
  </si>
  <si>
    <t>PTSD_r+fs_FC_CONT5</t>
  </si>
  <si>
    <t>Control_r+fs_FC_CONT5</t>
  </si>
  <si>
    <t>PTSD_r+fs_FC_EXT1</t>
  </si>
  <si>
    <t>Control_r+fs_FC_EXT1</t>
  </si>
  <si>
    <t>PTSD_r+fs_FC_EXT5</t>
  </si>
  <si>
    <t>Control_r+fs_FC_EXT5</t>
  </si>
  <si>
    <t>PTSD_r+fs_FC_EXT10</t>
  </si>
  <si>
    <t>Control_r+fs_FC_EXT10</t>
  </si>
  <si>
    <t>PTSD_r+fs_FC_EXTRET_BL1</t>
  </si>
  <si>
    <t>Control_r+fs_FC_EXTRET_BL1</t>
  </si>
  <si>
    <t>PTSD_r+fs_FC_EXTRET_BL2</t>
  </si>
  <si>
    <t>Control_r+fs_FC_EXTRET_BL2</t>
  </si>
  <si>
    <t>Classic SPS</t>
  </si>
  <si>
    <t>Restraint + forced swim</t>
  </si>
  <si>
    <t>Restraint + ether</t>
  </si>
  <si>
    <t>Restraint + forced swim + isoflurane</t>
  </si>
  <si>
    <t>PTSD_r+eth_FC_CONT3</t>
  </si>
  <si>
    <t>Control_r+eth_FC_CONT3</t>
  </si>
  <si>
    <t>PTSD_r+eth_FC_CONT5</t>
  </si>
  <si>
    <t>Control_r+eth_FC_CONT5</t>
  </si>
  <si>
    <t>PTSD_r+eth_FC_EXT1</t>
  </si>
  <si>
    <t>Control_r+eth_FC_EXT1</t>
  </si>
  <si>
    <t>PTSD_r+eth_FC_EXT5</t>
  </si>
  <si>
    <t>Control_r+eth_FC_EXT5</t>
  </si>
  <si>
    <t>PTSD_r+eth_FC_EXT10</t>
  </si>
  <si>
    <t>Control_r+eth_FC_EXT10</t>
  </si>
  <si>
    <t>PTSD_r+eth_FC_EXTRET_BL1</t>
  </si>
  <si>
    <t>Control_r+eth_FC_EXTRET_BL1</t>
  </si>
  <si>
    <t>PTSD_r+eth_FC_EXTRET_BL2</t>
  </si>
  <si>
    <t>Control_r+eth_FC_EXTRET_BL2</t>
  </si>
  <si>
    <t>PTSD_SPSi_FC_CONT3</t>
  </si>
  <si>
    <t>Control_SPSi_FC_CONT3</t>
  </si>
  <si>
    <t>PTSD_SPSi_FC_CONT5</t>
  </si>
  <si>
    <t>Control_SPSi_FC_CONT5</t>
  </si>
  <si>
    <t>PTSD_SPSi_FC_EXT1</t>
  </si>
  <si>
    <t>Control_SPSi_FC_EXT1</t>
  </si>
  <si>
    <t>PTSD_SPSi_FC_EXT5</t>
  </si>
  <si>
    <t>Control_SPSi_FC_EXT5</t>
  </si>
  <si>
    <t>PTSD_SPSi_FC_EXT10</t>
  </si>
  <si>
    <t>Control_SPSi_FC_EXT10</t>
  </si>
  <si>
    <t>PTSD_SPSi_FC_EXTRET_BL1</t>
  </si>
  <si>
    <t>Control_SPSi_FC_EXTRET_BL1</t>
  </si>
  <si>
    <t>PTSD_SPSi_FC_EXTRET_BL2</t>
  </si>
  <si>
    <t>Control_SPSi_FC_EXTRET_BL2</t>
  </si>
  <si>
    <t>RS + eth</t>
  </si>
  <si>
    <t xml:space="preserve">One ctrl group, 3 ptsd groups // No actual data on N per group, i estimated from total number of rats in experiment </t>
  </si>
  <si>
    <t>PTSD_FS_SR_Fig2b_Ext1</t>
  </si>
  <si>
    <t>PTSD_FS_SR_Fig2b_Ext2</t>
  </si>
  <si>
    <t>PTSD_FS_SR_Fig2b_Ext3</t>
  </si>
  <si>
    <t>PTSD_FS_SR_Fig2b_Ext4</t>
  </si>
  <si>
    <t>PTSD_FS_SR_Fig2d_Ext1</t>
  </si>
  <si>
    <t>PTSD_FS_SR_Fig2d_Ext2</t>
  </si>
  <si>
    <t>PTSD_FS_SR_Fig2d_Ext3</t>
  </si>
  <si>
    <t>PTSD_FS_SR_Fig2d_Ext4</t>
  </si>
  <si>
    <t>PTSD_FS_SR_Fig2f_Ext1</t>
  </si>
  <si>
    <t>PTSD_FS_SR_Fig2f_Ext2</t>
  </si>
  <si>
    <t>PTSD_FS_SR_Fig2f_Ext3</t>
  </si>
  <si>
    <t>PTSD_FS_SR_Fig2f_Ext4</t>
  </si>
  <si>
    <t>Same control group for 4 shock groups</t>
  </si>
  <si>
    <t xml:space="preserve">Compares PTSD+ELS and PTSD-ELS </t>
  </si>
  <si>
    <t>M+F</t>
  </si>
  <si>
    <t>Patients &amp; Healthy controls</t>
  </si>
  <si>
    <t>DIAX/M-CIDI</t>
  </si>
  <si>
    <t>A</t>
  </si>
  <si>
    <t>Control_FC_CS-_SCR_ACQ2</t>
  </si>
  <si>
    <t>Control_FC_CS-_SCR_ACQ3</t>
  </si>
  <si>
    <t>Control_FC_CS-_SCR_EXT1</t>
  </si>
  <si>
    <t>Control_FC_CS-_SCR_EXT2</t>
  </si>
  <si>
    <t>Control_FC_CS-_SCR_REC1</t>
  </si>
  <si>
    <t>Control_FC_CS-_SCR_REC2</t>
  </si>
  <si>
    <t>Control_FC_CS+_SCR_ACQ2</t>
  </si>
  <si>
    <t>Control_FC_CS+_SCR_ACQ3</t>
  </si>
  <si>
    <t>Control_FC_CS+_SCR_EXT1</t>
  </si>
  <si>
    <t>Control_FC_CS+_SCR_EXT2</t>
  </si>
  <si>
    <t>Control_FC_CS+_SCR_REC1</t>
  </si>
  <si>
    <t>Control_FC_CS+_SCR_REC2</t>
  </si>
  <si>
    <t>Control_FC_CS-_EMG_ACQ2</t>
  </si>
  <si>
    <t>Control_FC_CS-_EMG_ACQ3</t>
  </si>
  <si>
    <t>Control_FC_CS-_EMG_EXT1</t>
  </si>
  <si>
    <t>Control_FC_CS-_EMG_EXT2</t>
  </si>
  <si>
    <t>Control_FC_CS-_EMG_REC1</t>
  </si>
  <si>
    <t>Control_FC_CS-_EMG_REC2</t>
  </si>
  <si>
    <t>Control_FC_CS+_EMG_ACQ2</t>
  </si>
  <si>
    <t>Control_FC_CS+_EMG_ACQ3</t>
  </si>
  <si>
    <t>Control_FC_CS+_EMG_EXT1</t>
  </si>
  <si>
    <t>Control_FC_CS+_EMG_EXT2</t>
  </si>
  <si>
    <t>Control_FC_CS+_EMG_REC1</t>
  </si>
  <si>
    <t>Control_FC_CS+_EMG_REC2</t>
  </si>
  <si>
    <t>PTSD_FC_CS-_SCR_ACQ2</t>
  </si>
  <si>
    <t>PTSD_FC_CS-_SCR_ACQ3</t>
  </si>
  <si>
    <t>PTSD_FC_CS-_SCR_EXT1</t>
  </si>
  <si>
    <t>PTSD_FC_CS-_SCR_EXT2</t>
  </si>
  <si>
    <t>PTSD_FC_CS-_SCR_REC1</t>
  </si>
  <si>
    <t>PTSD_FC_CS-_SCR_REC2</t>
  </si>
  <si>
    <t>PTSD_FC_CS+_SCR_ACQ2</t>
  </si>
  <si>
    <t>PTSD_FC_CS+_SCR_ACQ3</t>
  </si>
  <si>
    <t>PTSD_FC_CS+_SCR_EXT1</t>
  </si>
  <si>
    <t>PTSD_FC_CS+_SCR_EXT2</t>
  </si>
  <si>
    <t>PTSD_FC_CS+_SCR_REC1</t>
  </si>
  <si>
    <t>PTSD_FC_CS+_SCR_REC2</t>
  </si>
  <si>
    <t>PTSD_FC_CS-_EMG_ACQ2</t>
  </si>
  <si>
    <t>PTSD_FC_CS-_EMG_ACQ3</t>
  </si>
  <si>
    <t>PTSD_FC_CS-_EMG_EXT1</t>
  </si>
  <si>
    <t>PTSD_FC_CS-_EMG_EXT2</t>
  </si>
  <si>
    <t>PTSD_FC_CS-_EMG_REC1</t>
  </si>
  <si>
    <t>PTSD_FC_CS-_EMG_REC2</t>
  </si>
  <si>
    <t>PTSD_FC_CS+_EMG_ACQ2</t>
  </si>
  <si>
    <t>PTSD_FC_CS+_EMG_ACQ3</t>
  </si>
  <si>
    <t>PTSD_FC_CS+_EMG_EXT1</t>
  </si>
  <si>
    <t>PTSD_FC_CS+_EMG_EXT2</t>
  </si>
  <si>
    <t>PTSD_FC_CS+_EMG_REC1</t>
  </si>
  <si>
    <t>PTSD_FC_CS+_EMG_REC2</t>
  </si>
  <si>
    <t>Z-transformed values</t>
  </si>
  <si>
    <t>Acq_CS+_SCR</t>
  </si>
  <si>
    <t>Acq_CS-_SCR</t>
  </si>
  <si>
    <t>Veterans</t>
  </si>
  <si>
    <t xml:space="preserve">CAPS </t>
  </si>
  <si>
    <t>Deployment</t>
  </si>
  <si>
    <t>PTSD_FC_CS+</t>
  </si>
  <si>
    <t>PTSD_FC_CS-</t>
  </si>
  <si>
    <t>Control_FC_CS+</t>
  </si>
  <si>
    <t>Control_FC_CS-</t>
  </si>
  <si>
    <t>C</t>
  </si>
  <si>
    <t>MINI (Mini-International Neuropsychiatric Interview), PCL-5 (PTSD Checklist-5)</t>
  </si>
  <si>
    <t>Composite z score based on CVLT and BVMT-R</t>
  </si>
  <si>
    <t>Posttraumatic Diagnostic Scale (PDS), MINI</t>
  </si>
  <si>
    <t>RBANS</t>
  </si>
  <si>
    <t>Civilian patients &amp; Healthy controls</t>
  </si>
  <si>
    <t>recall</t>
  </si>
  <si>
    <t>PTSD_RBANS_immediateMEM</t>
  </si>
  <si>
    <t>PTSD_RBANS_delayedMEM</t>
  </si>
  <si>
    <t>RBANS  - immediate memory score</t>
  </si>
  <si>
    <t>RBANS  - delayed memory score</t>
  </si>
  <si>
    <t>Disaster</t>
  </si>
  <si>
    <t>Disaster exposed civilians</t>
  </si>
  <si>
    <t>WMS</t>
  </si>
  <si>
    <t>Only reported correlation between CAPS and WMS scores</t>
  </si>
  <si>
    <t>Measured risk generalization - measured only reported risk appraisal - not a beh measure, right?</t>
  </si>
  <si>
    <t xml:space="preserve">Directed forgetting task? </t>
  </si>
  <si>
    <t>PDS-r</t>
  </si>
  <si>
    <t>only brain imaging recorded during task</t>
  </si>
  <si>
    <t>CAPS-5</t>
  </si>
  <si>
    <t>Acq_CS-_EMG</t>
  </si>
  <si>
    <t>Acq_CS+_EMG</t>
  </si>
  <si>
    <t>PTSD_FC_lowGEN_CS-</t>
  </si>
  <si>
    <t>PTSD_FC_lowGEN_CS+</t>
  </si>
  <si>
    <t>PTSD_FC_highGEN_CS+</t>
  </si>
  <si>
    <t>PTSD_FC_highGEN_CS-</t>
  </si>
  <si>
    <t>Control_RBANS_immediateMEM</t>
  </si>
  <si>
    <t>Control_RBANS_delayedMEM</t>
  </si>
  <si>
    <t>PDS, MINI</t>
  </si>
  <si>
    <t>MINI</t>
  </si>
  <si>
    <t>Chronic pain patients with&amp;without PTSD</t>
  </si>
  <si>
    <t xml:space="preserve">They gave them neutral, positive and negative words, and then reported general specificity? Which code is that? </t>
  </si>
  <si>
    <t>autobio?</t>
  </si>
  <si>
    <t>specificity</t>
  </si>
  <si>
    <t>PTSD_AM_specificity</t>
  </si>
  <si>
    <t>Control_AM_specificity</t>
  </si>
  <si>
    <t>Refugees with&amp;without PTSD</t>
  </si>
  <si>
    <t>CAPS, PDS</t>
  </si>
  <si>
    <t>make new code</t>
  </si>
  <si>
    <t>Canterbury residents who experienced earthquakes, with and without PTSD</t>
  </si>
  <si>
    <t>Unstated</t>
  </si>
  <si>
    <t>Unstated&amp;Deployment</t>
  </si>
  <si>
    <t>Mostly civilian patients &amp; healthy controls (small nr of veterans included)</t>
  </si>
  <si>
    <t>RAVLT</t>
  </si>
  <si>
    <t>MINI, Post-traumatic Checklist</t>
  </si>
  <si>
    <t>Trial1-5</t>
  </si>
  <si>
    <t>PTSD_RAVLT_TotalTrials</t>
  </si>
  <si>
    <t>Control_RAVLT_TotalTrials</t>
  </si>
  <si>
    <t>PTSD_RAVLT_DistractorList</t>
  </si>
  <si>
    <t>Control_RAVLT_DistractorList</t>
  </si>
  <si>
    <t>ListB</t>
  </si>
  <si>
    <t>LDfree</t>
  </si>
  <si>
    <t>PTSD_RAVLT_DelayedRecall</t>
  </si>
  <si>
    <t>Control_RAVLT_DelayedRecall</t>
  </si>
  <si>
    <t>PTSD_RAVLT_PostInterference</t>
  </si>
  <si>
    <t>Control_RAVLT_PostInterference</t>
  </si>
  <si>
    <t xml:space="preserve">Here they had a trauma exposed control, but as supplemental analysis they also added two non exposed controls from previous studies - I didnt extract those though, because the results were reported very oddly - the raw PTSD RAVLT scores were different when compared to nonexposed controls, even though the PTSD group is the same and the task was only done once. </t>
  </si>
  <si>
    <t>Refugee</t>
  </si>
  <si>
    <t>PTSD_TNT_%hits</t>
  </si>
  <si>
    <t>Control_TNT_%hits</t>
  </si>
  <si>
    <t>20WT</t>
  </si>
  <si>
    <t>IM</t>
  </si>
  <si>
    <t>DR</t>
  </si>
  <si>
    <t>No SD or SE reported (box and whisker plot with median, min and max)</t>
  </si>
  <si>
    <t>PTSD gorup divided into lowGEN and highGEN</t>
  </si>
  <si>
    <t>recall_immediate</t>
  </si>
  <si>
    <t>recall_delayed</t>
  </si>
  <si>
    <t>Directed forgetting task with no "pure memory" group</t>
  </si>
  <si>
    <t>Only omposite z score based on CVLT and BVMT-R reported, no raw data per task</t>
  </si>
  <si>
    <t>Averaged SCR response (CON phase)</t>
  </si>
  <si>
    <t>Trauma exposed women with and without PTSD</t>
  </si>
  <si>
    <t>Only molecular results reported</t>
  </si>
  <si>
    <t>PTSD Checklist-Civilian version</t>
  </si>
  <si>
    <t>Deployment, Disaster, Assault, War-related</t>
  </si>
  <si>
    <t>participants of white European ancestry were recruited from community health centres and university student populations</t>
  </si>
  <si>
    <t>10,5 years</t>
  </si>
  <si>
    <t>PTSD_FC_ExtinctionT1</t>
  </si>
  <si>
    <t>TraumaExp_FC_ExtinctionT1</t>
  </si>
  <si>
    <t>RET_CS+_SCR</t>
  </si>
  <si>
    <t>No SD/SE in figure</t>
  </si>
  <si>
    <t>Mostly victims of interpersonal violence</t>
  </si>
  <si>
    <t>Assault, Unstated</t>
  </si>
  <si>
    <t>PDS</t>
  </si>
  <si>
    <t xml:space="preserve">PTSD group was further divided into those with and without MDD, I took those without </t>
  </si>
  <si>
    <t>Mini-DIPS</t>
  </si>
  <si>
    <t>RBMT</t>
  </si>
  <si>
    <t>PTSD_RBMT_Names</t>
  </si>
  <si>
    <t>PTSD_RBMT_Belongings</t>
  </si>
  <si>
    <t>PTSD_RBMT_Appointment</t>
  </si>
  <si>
    <t>PTSD_RBMT_Pictures</t>
  </si>
  <si>
    <t>PTSD_RBMT_IMRoute</t>
  </si>
  <si>
    <t>PTSD_RBMT_DELRoute</t>
  </si>
  <si>
    <t>PTSD_RBMT_Message</t>
  </si>
  <si>
    <t>PTSD_RBMT_Orientation</t>
  </si>
  <si>
    <t>PTSD_RBMT_Date</t>
  </si>
  <si>
    <t>PTSD_RBMT_Face</t>
  </si>
  <si>
    <t>PTSD_RBMT_IMStory</t>
  </si>
  <si>
    <t>PTSD_RBMT_DELStory</t>
  </si>
  <si>
    <t>PTSD_RBMT_Total</t>
  </si>
  <si>
    <t>RBMT_Verbal</t>
  </si>
  <si>
    <t>RBMT_NonVerbal</t>
  </si>
  <si>
    <t>Total</t>
  </si>
  <si>
    <t>Control_RBMT_Names</t>
  </si>
  <si>
    <t>Control_RBMT_Belongings</t>
  </si>
  <si>
    <t>Control_RBMT_Appointment</t>
  </si>
  <si>
    <t>Control_RBMT_Pictures</t>
  </si>
  <si>
    <t>Control_RBMT_IMRoute</t>
  </si>
  <si>
    <t>Control_RBMT_DELRoute</t>
  </si>
  <si>
    <t>Control_RBMT_Message</t>
  </si>
  <si>
    <t>Control_RBMT_Orientation</t>
  </si>
  <si>
    <t>Control_RBMT_Date</t>
  </si>
  <si>
    <t>Control_RBMT_Face</t>
  </si>
  <si>
    <t>Control_RBMT_IMStory</t>
  </si>
  <si>
    <t>Control_RBMT_DELStory</t>
  </si>
  <si>
    <t>Control_RBMT_Total</t>
  </si>
  <si>
    <t>CAPS, MMPI-PTSD</t>
  </si>
  <si>
    <t>North Korean refugees with and without PTSD</t>
  </si>
  <si>
    <t>SD Free</t>
  </si>
  <si>
    <t>PTSD_RAVLT_immediateRecall</t>
  </si>
  <si>
    <t>PTSD_RAVLT_DelayedRecog</t>
  </si>
  <si>
    <t>Control_RAVLT_immediateRecall</t>
  </si>
  <si>
    <t>Control_RAVLT_DelayedRecog</t>
  </si>
  <si>
    <t>LD Recall</t>
  </si>
  <si>
    <t>Recognition Hit</t>
  </si>
  <si>
    <t>PCL</t>
  </si>
  <si>
    <t>Active duty coast guard personnel</t>
  </si>
  <si>
    <t>EXT_CS+_EMG</t>
  </si>
  <si>
    <t>Data reported as % conditioned response (measured via EMG)</t>
  </si>
  <si>
    <t>Traumatized adults</t>
  </si>
  <si>
    <t>Study only reports on weekly memory characteristics of participants, there was an AMT but its results were reported in another paper</t>
  </si>
  <si>
    <t>No human data, only animal</t>
  </si>
  <si>
    <t>Only complex PTSD</t>
  </si>
  <si>
    <t>CAPS</t>
  </si>
  <si>
    <t>Trauma exposed civilians with &amp; without PTSD, nonexposed controls</t>
  </si>
  <si>
    <t>EXT.L_CS+_SCR</t>
  </si>
  <si>
    <t>EXT.L_CS-_SCR</t>
  </si>
  <si>
    <t>EXT.M_CS+_SCR</t>
  </si>
  <si>
    <t>EXT.M_CS-_SCR</t>
  </si>
  <si>
    <t>PTSD_FC_ACQ1_CS+</t>
  </si>
  <si>
    <t>PTSD_FC_ACQ1_CS-</t>
  </si>
  <si>
    <t>PTSD_FC_ACQ2_CS+</t>
  </si>
  <si>
    <t>PTSD_FC_ACQ2_CS-</t>
  </si>
  <si>
    <t>PTSD_FC_EXT1_CS+</t>
  </si>
  <si>
    <t>PTSD_FC_EXT1_CS-</t>
  </si>
  <si>
    <t>PTSD_FC_EXT2_CS+</t>
  </si>
  <si>
    <t>PTSD_FC_EXT2_CS-</t>
  </si>
  <si>
    <t>PTSD_FC_REN1_CS+</t>
  </si>
  <si>
    <t>PTSD_FC_REN1_CS-</t>
  </si>
  <si>
    <t>PTSD_FC_REN2_CS+</t>
  </si>
  <si>
    <t>PTSD_FC_REN2_CS-</t>
  </si>
  <si>
    <t>Control_FC_ACQ1_CS+</t>
  </si>
  <si>
    <t>Control_FC_ACQ1_CS-</t>
  </si>
  <si>
    <t>Control_FC_ACQ2_CS+</t>
  </si>
  <si>
    <t>Control_FC_ACQ2_CS-</t>
  </si>
  <si>
    <t>Control_FC_EXT1_CS+</t>
  </si>
  <si>
    <t>Control_FC_EXT1_CS-</t>
  </si>
  <si>
    <t>Control_FC_EXT2_CS+</t>
  </si>
  <si>
    <t>Control_FC_EXT2_CS-</t>
  </si>
  <si>
    <t>Control_FC_REN1_CS+</t>
  </si>
  <si>
    <t>Control_FC_REN1_CS-</t>
  </si>
  <si>
    <t>Control_FC_REN2_CS+</t>
  </si>
  <si>
    <t>Control_FC_REN2_CS-</t>
  </si>
  <si>
    <t>NoPTSD_FC_ACQ1_CS+</t>
  </si>
  <si>
    <t>NoPTSD_FC_ACQ1_CS-</t>
  </si>
  <si>
    <t>NoPTSD_FC_ACQ2_CS+</t>
  </si>
  <si>
    <t>NoPTSD_FC_ACQ2_CS-</t>
  </si>
  <si>
    <t>NoPTSD_FC_EXT1_CS+</t>
  </si>
  <si>
    <t>NoPTSD_FC_EXT1_CS-</t>
  </si>
  <si>
    <t>NoPTSD_FC_EXT2_CS+</t>
  </si>
  <si>
    <t>NoPTSD_FC_EXT2_CS-</t>
  </si>
  <si>
    <t>NoPTSD_FC_REN1_CS+</t>
  </si>
  <si>
    <t>NoPTSD_FC_REN1_CS-</t>
  </si>
  <si>
    <t>NoPTSD_FC_REN2_CS+</t>
  </si>
  <si>
    <t>NoPTSD_FC_REN2_CS-</t>
  </si>
  <si>
    <t>1 PTSD group, 2 control groups.</t>
  </si>
  <si>
    <t>Only reported risk rating scores</t>
  </si>
  <si>
    <t>CAPS, MINI</t>
  </si>
  <si>
    <t>PTSD_FC_Cschange_CS-</t>
  </si>
  <si>
    <t>PTSD_FC_Cschange_CS+</t>
  </si>
  <si>
    <t>Control_FC_Cschange_CS-</t>
  </si>
  <si>
    <t>Control_FC_Cschange_CS+</t>
  </si>
  <si>
    <t xml:space="preserve">SC change (μs) was reported // 6 out of 19 PTSD patients had chronic pain </t>
  </si>
  <si>
    <t>patients and trauma-exposed, medically healthy controls</t>
  </si>
  <si>
    <t>PTSD_FC_CON_MeanCS+</t>
  </si>
  <si>
    <t>PTSD_FC_CON_MeanCS-</t>
  </si>
  <si>
    <t>PTSD_FC_EXT_MeanCS+</t>
  </si>
  <si>
    <t>PTSD_FC_EXT_MeanCS-</t>
  </si>
  <si>
    <t>Control_FC_CON_MeanCS+</t>
  </si>
  <si>
    <t>Control_FC_CON_MeanCS-</t>
  </si>
  <si>
    <t>Control_FC_EXT_MeanCS+</t>
  </si>
  <si>
    <t>Control_FC_EXT_MeanCS-</t>
  </si>
  <si>
    <t>Mean SCR (square root transformed)</t>
  </si>
  <si>
    <t>Only measured US expectancy rates, no EMG or SCR</t>
  </si>
  <si>
    <t>Only self reported arousal, valence and expectancy was measured</t>
  </si>
  <si>
    <t>an extinction retention index was computed for each individual, using the following formula: (100 − [mean SCR to the first four CS+E trials during recall / maximum SCR reached during conditioning for this same cue]) × 100</t>
  </si>
  <si>
    <t>Clinical Inteview, GAF</t>
  </si>
  <si>
    <t>PTSD_FC_ExtRetIndex</t>
  </si>
  <si>
    <t>Control_FC_ExtRetIndex</t>
  </si>
  <si>
    <t>EXT_%CS+/maxCS+Acq_EMG</t>
  </si>
  <si>
    <t>No SE or SD reported</t>
  </si>
  <si>
    <t>Assault, Deployment, Accident</t>
  </si>
  <si>
    <t>6-36 months</t>
  </si>
  <si>
    <t>Participants performed two types of memory tasks (A. words, B. pictures) with a similar construct: a learning phase that was followed by two repetitions for items and associative memory recognition. Participants were presented with a study list of emotionally neutral pairs. In the item recognition task, participants had to identify the 6 items that appeared in the study list and reject the others. In the associative recognition task, participants had to identify the 6 correct pairs, which appeared in the study list and reject the new, recombined pairs</t>
  </si>
  <si>
    <t>Only shock expectancy reported, they discarded SCR data due to poor quality</t>
  </si>
  <si>
    <t xml:space="preserve">Only measured self reported contingency, emotional valence, and arousal </t>
  </si>
  <si>
    <t>veterans seen for clinical and/or research purposes at the Lexington, Tucson, and Hines VAMCs</t>
  </si>
  <si>
    <t>CVLT</t>
  </si>
  <si>
    <t>PTSD_CVLT_Trials1-5</t>
  </si>
  <si>
    <t>PTSD_CVLT_ShortDelay</t>
  </si>
  <si>
    <t>PTSD_CVLT_LongDelayFree</t>
  </si>
  <si>
    <t>PTSD_CVLT_LongDelayCued</t>
  </si>
  <si>
    <t>SDfree</t>
  </si>
  <si>
    <t>LDcued</t>
  </si>
  <si>
    <t>Control_CVLT_Trials1-5</t>
  </si>
  <si>
    <t>Control_CVLT_ShortDelay</t>
  </si>
  <si>
    <t>Control_CVLT_LongDelayFree</t>
  </si>
  <si>
    <t>Control_CVLT_LongDelayCued</t>
  </si>
  <si>
    <t xml:space="preserve">male Operation Enduring Freedom and Operation Iraqi Freedom (OEF/OIF) veterans </t>
  </si>
  <si>
    <t>Structured Clinical Interview for DSM-IV</t>
  </si>
  <si>
    <t>PTSD_FC_ACQ_CS-</t>
  </si>
  <si>
    <t>PTSD_FC_ACQ_CS+</t>
  </si>
  <si>
    <t>PTSD_FC_EXT_Early_CS-</t>
  </si>
  <si>
    <t>PTSD_FC_EXT_Early_CS+</t>
  </si>
  <si>
    <t>PTSD_FC_EXT_Late_CS-</t>
  </si>
  <si>
    <t>PTSD_FC_EXT_Late_CS+</t>
  </si>
  <si>
    <t>PTSD_FC_EXTRET_Late_CS+</t>
  </si>
  <si>
    <t>PTSD_FC_EXTRET_Early_CS-</t>
  </si>
  <si>
    <t>PTSD_FC_EXTRET_Early_CS+</t>
  </si>
  <si>
    <t>PTSD_FC_EXTRET_Late_CS-</t>
  </si>
  <si>
    <t>PTSD_FC_FearRenewal_Early_CS-</t>
  </si>
  <si>
    <t>PTSD_FC_FearRenewal_Early_CS+</t>
  </si>
  <si>
    <t>PTSD_FC_FearRenewal_Late_CS-</t>
  </si>
  <si>
    <t>PTSD_FC_FearRenewal_Late_CS+</t>
  </si>
  <si>
    <t>SCID-IV</t>
  </si>
  <si>
    <t>22-66</t>
  </si>
  <si>
    <t>25-61</t>
  </si>
  <si>
    <t>autobio_emo</t>
  </si>
  <si>
    <t>latency</t>
  </si>
  <si>
    <t>PTSD_AM_latency</t>
  </si>
  <si>
    <t>PTSD_AM_#SpecificMemories</t>
  </si>
  <si>
    <t>victims of one or more armed bank assaults in the last 10 months before the experiments</t>
  </si>
  <si>
    <t>Assault</t>
  </si>
  <si>
    <t>study states participants had mild PTSD (mean CAPS score: 30,8)</t>
  </si>
  <si>
    <t>PTSD_FC_SCRcon</t>
  </si>
  <si>
    <t>PTSD_FC_SCRmaintenance</t>
  </si>
  <si>
    <t>Associative memory task (again)</t>
  </si>
  <si>
    <t>asylum seekers with and without PTSD in Germany</t>
  </si>
  <si>
    <t>SCID-IV, PDS</t>
  </si>
  <si>
    <t>PTSD_specificity_neutral</t>
  </si>
  <si>
    <t>PTSD_specificity_positive</t>
  </si>
  <si>
    <t>PTSD_specificity_negative</t>
  </si>
  <si>
    <t>autobio_n</t>
  </si>
  <si>
    <t>PTSD_latency_neutral</t>
  </si>
  <si>
    <t>PTSD_latency_positive</t>
  </si>
  <si>
    <t>PTSD_latency_negative</t>
  </si>
  <si>
    <t>Control_FC_ACQ_CS-</t>
  </si>
  <si>
    <t>Control_FC_ACQ_CS+</t>
  </si>
  <si>
    <t>Control_FC_EXT_Early_CS-</t>
  </si>
  <si>
    <t>Control_FC_EXT_Early_CS+</t>
  </si>
  <si>
    <t>Control_FC_EXT_Late_CS-</t>
  </si>
  <si>
    <t>Control_FC_EXT_Late_CS+</t>
  </si>
  <si>
    <t>Control_FC_EXTRET_Early_CS-</t>
  </si>
  <si>
    <t>Control_FC_EXTRET_Early_CS+</t>
  </si>
  <si>
    <t>Control_FC_EXTRET_Late_CS-</t>
  </si>
  <si>
    <t>Control_FC_EXTRET_Late_CS+</t>
  </si>
  <si>
    <t>Control_FC_FearRenewal_Early_CS-</t>
  </si>
  <si>
    <t>Control_FC_FearRenewal_Early_CS+</t>
  </si>
  <si>
    <t>Control_FC_FearRenewal_Late_CS-</t>
  </si>
  <si>
    <t>Control_FC_FearRenewal_Late_CS+</t>
  </si>
  <si>
    <t>Control_AM_#SpecificMemories</t>
  </si>
  <si>
    <t>Control_AM_latency</t>
  </si>
  <si>
    <t>Control_FC_SCRcon</t>
  </si>
  <si>
    <t>Control_FC_SCRmaintenance</t>
  </si>
  <si>
    <t>Control_specificity_neutral</t>
  </si>
  <si>
    <t>Control_specificity_positive</t>
  </si>
  <si>
    <t>Control_specificity_negative</t>
  </si>
  <si>
    <t>Control_latency_neutral</t>
  </si>
  <si>
    <t>Control_latency_positive</t>
  </si>
  <si>
    <t>Control_latency_negative</t>
  </si>
  <si>
    <t>Posttraumatic Symptom Checklist, civilian version</t>
  </si>
  <si>
    <t>Electrical Injury Survivors</t>
  </si>
  <si>
    <t>Accident</t>
  </si>
  <si>
    <t>ROCF</t>
  </si>
  <si>
    <t>PTSD_CVLT_ShortDelayFree</t>
  </si>
  <si>
    <t>PTSD_ROCF_immediate</t>
  </si>
  <si>
    <t>PTSD_ROCF_delayed</t>
  </si>
  <si>
    <t xml:space="preserve">SDfree </t>
  </si>
  <si>
    <t>IR</t>
  </si>
  <si>
    <t>No raw results reported</t>
  </si>
  <si>
    <t>No raw results reported, looks like a summary of a PhD dissertation? Its a paper from one of your colleagues though I believe</t>
  </si>
  <si>
    <t xml:space="preserve">male Iranian military personnel who had participated in the Iran–Iraq war </t>
  </si>
  <si>
    <t>noPTSD_AM_specificity</t>
  </si>
  <si>
    <t>PTSD_WordTest_IM</t>
  </si>
  <si>
    <t>PTSD_WordTest_DR/IM</t>
  </si>
  <si>
    <t>percentage of correctly recalled words relative to the words recalled in immediate recall</t>
  </si>
  <si>
    <t>number of specific memories retrieved (total for positive, negative, neutral words) - see rows 146-148 for recall per category</t>
  </si>
  <si>
    <t>primarily African-American, low socioeconomic, inner-city population in Atlanta, GA</t>
  </si>
  <si>
    <t>PTSD Symptom Scale (PSS)</t>
  </si>
  <si>
    <t>PTSD_FC_ACQ1_CS+_EMG</t>
  </si>
  <si>
    <t>PTSD_FC_ACQ2_CS+_EMG</t>
  </si>
  <si>
    <t>PTSD_FC_ACQ3_CS+_EMG</t>
  </si>
  <si>
    <t>PTSD_FC_ACQ1_CS-_EMG</t>
  </si>
  <si>
    <t>PTSD_FC_ACQ2_CS-_EMG</t>
  </si>
  <si>
    <t>PTSD_FC_ACQ3_CS-_EMG</t>
  </si>
  <si>
    <t>PTSD measured by PTSD Symptom Scale (PSS) - self report</t>
  </si>
  <si>
    <t xml:space="preserve"> PTSD Checklist-Military Version (PCL-M) </t>
  </si>
  <si>
    <t>PTSD measured by PTSD checklist - self-report cutoff diagnosis</t>
  </si>
  <si>
    <t>Spatial navigation task in VR - measured time to form and retrieve cognitive maps</t>
  </si>
  <si>
    <t>No raw results reported, CVLT and WMS only assessed in relation to brain atrophy</t>
  </si>
  <si>
    <t>37-50</t>
  </si>
  <si>
    <t>24-49</t>
  </si>
  <si>
    <t>Only neuroimaging results for FC reported</t>
  </si>
  <si>
    <t xml:space="preserve">Veterans with combat experience in either Afghanistan or Iraq, active duty soldiers as controls </t>
  </si>
  <si>
    <t>SE=2,5</t>
  </si>
  <si>
    <t>SE=2,6</t>
  </si>
  <si>
    <t>***</t>
  </si>
  <si>
    <t>SCID-IV, PSS</t>
  </si>
  <si>
    <t>Mixed</t>
  </si>
  <si>
    <t>Potentiation = 100 × (startle magnitude during CS trials − NA startle) / (NA startle)</t>
  </si>
  <si>
    <t>SCID, CAPS</t>
  </si>
  <si>
    <t>Vietnam veterans seeking treatment, healthy controls</t>
  </si>
  <si>
    <t>LowPTSD_FC_ACQ1</t>
  </si>
  <si>
    <t>HighPTSD_FC_ACQ1</t>
  </si>
  <si>
    <t>Control_FC_ACQ1</t>
  </si>
  <si>
    <t>Control_FC_ACQ2</t>
  </si>
  <si>
    <t>Control_WordTest_IM</t>
  </si>
  <si>
    <t>Control_WordTest_DR/IM</t>
  </si>
  <si>
    <t>Control_FC_ACQ1_CS+_EMG</t>
  </si>
  <si>
    <t>Control_FC_ACQ2_CS+_EMG</t>
  </si>
  <si>
    <t>Control_FC_ACQ3_CS+_EMG</t>
  </si>
  <si>
    <t>Control_FC_ACQ1_CS-_EMG</t>
  </si>
  <si>
    <t>Control_FC_ACQ2_CS-_EMG</t>
  </si>
  <si>
    <t>Control_FC_ACQ3_CS-_EMG</t>
  </si>
  <si>
    <t>PTSD group divided into high and low symptom</t>
  </si>
  <si>
    <t>SCID-IV, CAPS</t>
  </si>
  <si>
    <t>Survivors of 1999 earthquake in turkey</t>
  </si>
  <si>
    <t>PTSD_RAVLT_Trial7</t>
  </si>
  <si>
    <t>PTSD_RAVLT_Trial8</t>
  </si>
  <si>
    <t>PTSD_RAVLT_TrueRecognition</t>
  </si>
  <si>
    <t>PTSD_RAVLT_ProactiveInterference</t>
  </si>
  <si>
    <t>PTSD_RAVLT_WordsLearned%</t>
  </si>
  <si>
    <t>Calculated as (AVLT5–1)/total number of words in the list</t>
  </si>
  <si>
    <t>PTSD_RAVLT_Trial6</t>
  </si>
  <si>
    <t>Combat PTSD+, Combat PTSD−, and Noncombat PTSD− veterans</t>
  </si>
  <si>
    <t>Details of measurement of EB conditioned responding are reported elsewhere</t>
  </si>
  <si>
    <t>episodic memory retrieval task - objects presented in pleasant, unpleasant, neutral backgrounds - later asked if they recall the object (hit/miss)</t>
  </si>
  <si>
    <t>Only neuroimaging results reported</t>
  </si>
  <si>
    <t>male Dutch veterans with PTSD, and age matched control veterans</t>
  </si>
  <si>
    <t>CAPS, SCID-IV</t>
  </si>
  <si>
    <t>12,4 years</t>
  </si>
  <si>
    <t>PTSD_trials1-5</t>
  </si>
  <si>
    <t>PTSD_DR</t>
  </si>
  <si>
    <t>SCID</t>
  </si>
  <si>
    <t>SCID, PDS</t>
  </si>
  <si>
    <t>Assault survivors who had been assaulted more than 3 months ago</t>
  </si>
  <si>
    <t>3+ months</t>
  </si>
  <si>
    <t>PTSD_traumascript_latency</t>
  </si>
  <si>
    <t>PTSD_NegativeEventScript_latency</t>
  </si>
  <si>
    <t>Listened to script describing their assault</t>
  </si>
  <si>
    <t>Listened to script describing a negative event</t>
  </si>
  <si>
    <t>adult women cancer survivors and healthy controls</t>
  </si>
  <si>
    <t>Disease</t>
  </si>
  <si>
    <t>Clinical inteview, IES-R</t>
  </si>
  <si>
    <t>AMI</t>
  </si>
  <si>
    <t>PTSD_AMI_childhood</t>
  </si>
  <si>
    <t>PTSD_AMI_earlyadult</t>
  </si>
  <si>
    <t>PTSD_AMI_recent</t>
  </si>
  <si>
    <t>Trauma exposed civilians with &amp; without PTSD</t>
  </si>
  <si>
    <t>PTSD_AMT_latency_positive</t>
  </si>
  <si>
    <t>PTSD_AMT_latency_negative</t>
  </si>
  <si>
    <t>PTSD_AMT_specificity_positive</t>
  </si>
  <si>
    <t>PTSD_AMT_specificity_negative</t>
  </si>
  <si>
    <t>states SCR and EMG data is available in supplement, but I couldnt access this supplement anywhere</t>
  </si>
  <si>
    <t>Remember/Know paradigm</t>
  </si>
  <si>
    <t xml:space="preserve">Civilian trauma survivors with and without PTSD </t>
  </si>
  <si>
    <t>CAPS-2, SCID-IV</t>
  </si>
  <si>
    <t>Only reports on the number of trauma related memories participants reported - doesnt compare specificity or latency of mem</t>
  </si>
  <si>
    <t>assault survivors with and without PTSD who came to hospital 3-15 months prior to the study</t>
  </si>
  <si>
    <t>16 months</t>
  </si>
  <si>
    <t xml:space="preserve"> F-DIPS (“Diagnostic Interview for Mental Disorders—Research Revision)</t>
  </si>
  <si>
    <t>Patients, trauma exposed &amp; non-exposed controls</t>
  </si>
  <si>
    <t>Survivors of a 2005 mining accident in China</t>
  </si>
  <si>
    <t>Patients and trauma-exposed, medically healthy controls</t>
  </si>
  <si>
    <t>PTSD_AM_Words_Positive</t>
  </si>
  <si>
    <t>PTSD_AM_Words_Negative</t>
  </si>
  <si>
    <t>PTSD_AM_Pictures_Positive</t>
  </si>
  <si>
    <t>PTSD_AM_Pictures_Negative</t>
  </si>
  <si>
    <t>Holocaust survivors and Jewish comparison subjects</t>
  </si>
  <si>
    <t>War-related</t>
  </si>
  <si>
    <t>Trial1</t>
  </si>
  <si>
    <t>SDcued</t>
  </si>
  <si>
    <t>PTSD_CVLT_Initial_Trial1</t>
  </si>
  <si>
    <t>PTSD_CVLT_Initial_Trials1-5</t>
  </si>
  <si>
    <t>PTSD_CVLT_Initial_ListB</t>
  </si>
  <si>
    <t>PTSD_CVLT_Initial_ShortDelayFree</t>
  </si>
  <si>
    <t>PTSD_CVLT_Initial_LongDelayFree</t>
  </si>
  <si>
    <t>PTSD_CVLT_Initial_ShortDelayCued</t>
  </si>
  <si>
    <t>PTSD_CVLT_Initial_LongDelayCued</t>
  </si>
  <si>
    <t>PTSD-_CVLT_Initial_Trial1</t>
  </si>
  <si>
    <t>PTSD-_CVLT_Initial_Trials1-5</t>
  </si>
  <si>
    <t>PTSD-_CVLT_Initial_ListB</t>
  </si>
  <si>
    <t>PTSD-_CVLT_Initial_ShortDelayFree</t>
  </si>
  <si>
    <t>PTSD-_CVLT_Initial_LongDelayFree</t>
  </si>
  <si>
    <t>PTSD-_CVLT_Initial_ShortDelayCued</t>
  </si>
  <si>
    <t>PTSD-_CVLT_Initial_LongDelayCued</t>
  </si>
  <si>
    <t>Control_CVLT_Initial_Trial1</t>
  </si>
  <si>
    <t>Control_CVLT_Initial_Trials1-5</t>
  </si>
  <si>
    <t>Control_CVLT_Initial_ListB</t>
  </si>
  <si>
    <t>Control_CVLT_Initial_ShortDelayFree</t>
  </si>
  <si>
    <t>Control_CVLT_Initial_LongDelayFree</t>
  </si>
  <si>
    <t>Control_CVLT_Initial_ShortDelayCued</t>
  </si>
  <si>
    <t>Control_CVLT_Initial_LongDelayCued</t>
  </si>
  <si>
    <t>PTSD_CVLT_FollowUp_Trial1</t>
  </si>
  <si>
    <t>PTSD-_CVLT_FollowUp_Trial1</t>
  </si>
  <si>
    <t>PTSD_CVLT_FollowUp_Trials1-5</t>
  </si>
  <si>
    <t>PTSD-_CVLT_FollowUp_Trials1-5</t>
  </si>
  <si>
    <t>PTSD_CVLT_FollowUp_ListB</t>
  </si>
  <si>
    <t>PTSD-_CVLT_FollowUp_ListB</t>
  </si>
  <si>
    <t>PTSD_CVLT_FollowUp_ShortDelayFree</t>
  </si>
  <si>
    <t>PTSD-_CVLT_FollowUp_ShortDelayFree</t>
  </si>
  <si>
    <t>PTSD_CVLT_FollowUp_LongDelayFree</t>
  </si>
  <si>
    <t>PTSD-_CVLT_FollowUp_LongDelayFree</t>
  </si>
  <si>
    <t>PTSD_CVLT_FollowUp_ShortDelayCued</t>
  </si>
  <si>
    <t>PTSD-_CVLT_FollowUp_ShortDelayCued</t>
  </si>
  <si>
    <t>PTSD_CVLT_FollowUp_LongDelayCued</t>
  </si>
  <si>
    <t>PTSD-_CVLT_FollowUp_LongDelayCued</t>
  </si>
  <si>
    <t>Control_CVLT_FollowUp_Trial1</t>
  </si>
  <si>
    <t>Control_CVLT_FollowUp_Trials1-5</t>
  </si>
  <si>
    <t>Control_CVLT_FollowUp_ListB</t>
  </si>
  <si>
    <t>Control_CVLT_FollowUp_ShortDelayFree</t>
  </si>
  <si>
    <t>Control_CVLT_FollowUp_LongDelayFree</t>
  </si>
  <si>
    <t>Control_CVLT_FollowUp_ShortDelayCued</t>
  </si>
  <si>
    <t>Control_CVLT_FollowUp_LongDelayCued</t>
  </si>
  <si>
    <t>One PTSD group, trauma exp and unexp controls - tested at two timepoints 5 years apart!</t>
  </si>
  <si>
    <t>Also had a paired associate recall task</t>
  </si>
  <si>
    <t>Inpatients and outpatients diagnosed with PTSD, Healthy controls</t>
  </si>
  <si>
    <t>PWMT</t>
  </si>
  <si>
    <t>ST_verbal</t>
  </si>
  <si>
    <t>ST_visual</t>
  </si>
  <si>
    <t>LT_verbal</t>
  </si>
  <si>
    <t>LT_visual</t>
  </si>
  <si>
    <t>PTSD_PWMT_stm_verbal</t>
  </si>
  <si>
    <t>PTSD_PWMT_stm_visual</t>
  </si>
  <si>
    <t>PTSD_PWMT_ltm_verbal</t>
  </si>
  <si>
    <t>PTSD_PWMT_ltm_visual</t>
  </si>
  <si>
    <t>Control_PWMT_stm_verbal</t>
  </si>
  <si>
    <t>Control_PWMT_stm_visual</t>
  </si>
  <si>
    <t>Control_PWMT_ltm_verbal</t>
  </si>
  <si>
    <t>Control_PWMT_ltm_visual</t>
  </si>
  <si>
    <t>Control_RAVLT_Trial6</t>
  </si>
  <si>
    <t>Control_RAVLT_Trial7</t>
  </si>
  <si>
    <t>Control_RAVLT_Trial8</t>
  </si>
  <si>
    <t>Control_RAVLT_TrueRecognition</t>
  </si>
  <si>
    <t>Control_RAVLT_WordsLearned%</t>
  </si>
  <si>
    <t>Control_RAVLT_ProactiveInterference</t>
  </si>
  <si>
    <t>Control_ROCF_Delayed</t>
  </si>
  <si>
    <t>Control_trials1-5</t>
  </si>
  <si>
    <t>Control_DR</t>
  </si>
  <si>
    <t>Control_traumascript_latency</t>
  </si>
  <si>
    <t>Control_NegativeEventScript_latency</t>
  </si>
  <si>
    <t>Control_AMI_childhood</t>
  </si>
  <si>
    <t>Control_AMI_earlyadult</t>
  </si>
  <si>
    <t>Control_AMI_recent</t>
  </si>
  <si>
    <t>Control_AMT_latency_positive</t>
  </si>
  <si>
    <t>Control_AMT_latency_negative</t>
  </si>
  <si>
    <t>Control_AMT_specificity_positive</t>
  </si>
  <si>
    <t>Control_AMT_specificity_negative</t>
  </si>
  <si>
    <t>Control_AM_Words_Positive</t>
  </si>
  <si>
    <t>Control_AM_Words_Negative</t>
  </si>
  <si>
    <t>Control_AM_Pictures_Positive</t>
  </si>
  <si>
    <t>Control_AM_Pictures_Negative</t>
  </si>
  <si>
    <t>veterans served at the Columbia, SC VAMC Primary Care Clinics</t>
  </si>
  <si>
    <t>PTSD_FC_ACQ3_CS+</t>
  </si>
  <si>
    <t>PTSD_FC_ACQ6_CS+</t>
  </si>
  <si>
    <t>PTSD-_FC_ACQ3_CS+</t>
  </si>
  <si>
    <t>PTSD-_FC_ACQ6_CS+</t>
  </si>
  <si>
    <t>Control_FC_ACQ3_CS+</t>
  </si>
  <si>
    <t>Control_FC_ACQ6_CS+</t>
  </si>
  <si>
    <t>PTSD_FC_ACQ3_CS-</t>
  </si>
  <si>
    <t>PTSD-_FC_ACQ3_CS-</t>
  </si>
  <si>
    <t>PTSD_FC_ACQ6_CS-</t>
  </si>
  <si>
    <t>PTSD-_FC_ACQ6_CS-</t>
  </si>
  <si>
    <t>Control_FC_ACQ3_CS-</t>
  </si>
  <si>
    <t>Control_FC_ACQ6_CS-</t>
  </si>
  <si>
    <t>PTSD-_FC_ACQ1_CS+</t>
  </si>
  <si>
    <t>PTSD-_FC_ACQ1_CS-</t>
  </si>
  <si>
    <t>Spectators of 1988 airshow disaster in Ramstein with/without PTSD and unexposed controls</t>
  </si>
  <si>
    <t>Trauma related, disaster-related and neutral questions were asked, reaction time and accuracy were recorded - new task? // no raw results for wechsler memory task</t>
  </si>
  <si>
    <t>PTSD patients recruited from trauma clinic and healthy controls</t>
  </si>
  <si>
    <t>TMT</t>
  </si>
  <si>
    <t>PTSD_TMT_Total</t>
  </si>
  <si>
    <t>Control_TMT_Total</t>
  </si>
  <si>
    <t>No control group for memory tasks, PTSD subjects were compared based on number of months with PTSD</t>
  </si>
  <si>
    <t>PTSD_FC_ACQ_block1</t>
  </si>
  <si>
    <t>PTSD_FC_ACQ_block4</t>
  </si>
  <si>
    <t>PTSD_FC_ACQ_block7</t>
  </si>
  <si>
    <t>PTSD_FC_EXT</t>
  </si>
  <si>
    <t>women with a history of severe childhood sexual abuse and the diagnosis of current PTSD, unexposed controls</t>
  </si>
  <si>
    <t>Gulf war veterans with and without PTSD, non-deployed reservists, healthy civilians</t>
  </si>
  <si>
    <t>No error measure in figure // Also women with severe history of childhood abuse - ELS?</t>
  </si>
  <si>
    <t>Verbal_Immediate</t>
  </si>
  <si>
    <t>Verbal_Delayed</t>
  </si>
  <si>
    <t>Verbal_Retention</t>
  </si>
  <si>
    <t>Visual_Immediate</t>
  </si>
  <si>
    <t>Visual_Delayed</t>
  </si>
  <si>
    <t>Visual_Retention</t>
  </si>
  <si>
    <t>PTSD_WMS_Verbal_Immediate</t>
  </si>
  <si>
    <t>PTSD_WMS_Verbal_Delay</t>
  </si>
  <si>
    <t>PTSD_WMS_Verbal_Retention</t>
  </si>
  <si>
    <t>PTSD_WMS_Visual_Immediate</t>
  </si>
  <si>
    <t>PTSD_WMS_Visual_Delay</t>
  </si>
  <si>
    <t>PTSD_WMS_Visual_Retention</t>
  </si>
  <si>
    <t>NoPTSD_WMS_Verbal_Immediate</t>
  </si>
  <si>
    <t>NoPTSD_WMS_Verbal_Delay</t>
  </si>
  <si>
    <t>NoPTSD_WMS_Verbal_Retention</t>
  </si>
  <si>
    <t>NoPTSD_WMS_Visual_Immediate</t>
  </si>
  <si>
    <t>NoPTSD_WMS_Visual_Delay</t>
  </si>
  <si>
    <t>NoPTSD_WMS_Visual_Retention</t>
  </si>
  <si>
    <t>NonDeployed_WMS_Verbal_Immediate</t>
  </si>
  <si>
    <t>NonDeployed_WMS_Verbal_Delay</t>
  </si>
  <si>
    <t>NonDeployed_WMS_Verbal_Retention</t>
  </si>
  <si>
    <t>NonDeployed_WMS_Visual_Immediate</t>
  </si>
  <si>
    <t>NonDeployed_WMS_Visual_Delay</t>
  </si>
  <si>
    <t>NonDeployed_WMS_Visual_Retention</t>
  </si>
  <si>
    <t>Control_WMS_Verbal_Immediate</t>
  </si>
  <si>
    <t>Control_WMS_Verbal_Delay</t>
  </si>
  <si>
    <t>Control_WMS_Verbal_Retention</t>
  </si>
  <si>
    <t>Control_WMS_Visual_Immediate</t>
  </si>
  <si>
    <t>Control_WMS_Visual_Delay</t>
  </si>
  <si>
    <t>Control_WMS_Visual_Retention</t>
  </si>
  <si>
    <t>1 ptsd group, 3 control groups</t>
  </si>
  <si>
    <t>4,9 years</t>
  </si>
  <si>
    <t>General Memory</t>
  </si>
  <si>
    <t>Verbal Memory</t>
  </si>
  <si>
    <t>Visual Memory</t>
  </si>
  <si>
    <t>PTSD_WMS_GeneralMemory</t>
  </si>
  <si>
    <t>PTSD_WMS_VerbalMemory</t>
  </si>
  <si>
    <t>PTSD_WMS_VisualMemory</t>
  </si>
  <si>
    <t>Control_FC_ACQ_block1</t>
  </si>
  <si>
    <t>Control_FC_ACQ_block4</t>
  </si>
  <si>
    <t>Control_FC_ACQ_block7</t>
  </si>
  <si>
    <t>Control_FC_EXT</t>
  </si>
  <si>
    <t>Control_WMS_GeneralMemory</t>
  </si>
  <si>
    <t>Control_WMS_VerbalMemory</t>
  </si>
  <si>
    <t>Control_WMS_VisualMemory</t>
  </si>
  <si>
    <t xml:space="preserve">Paragraph recall task </t>
  </si>
  <si>
    <t>Child abuse - ELS, no "ptsd alone" group</t>
  </si>
  <si>
    <t xml:space="preserve">Fear memory imagery - emg recorded when participants heard cues related to neutral/personal/danger/social sentences previously learned </t>
  </si>
  <si>
    <t>Anxiety Disorders Interview Schedule–Revised (ADIS‐R)</t>
  </si>
  <si>
    <t>ptsd caused by early childhood sexual abuse</t>
  </si>
  <si>
    <t>female victims of intimate partner violence with/without ptsd. Healthy controls</t>
  </si>
  <si>
    <t>CVMT</t>
  </si>
  <si>
    <t>LM_Immediate</t>
  </si>
  <si>
    <t>LM_Delay</t>
  </si>
  <si>
    <t>LM_Retention</t>
  </si>
  <si>
    <t>VP</t>
  </si>
  <si>
    <t>VP_Delayed</t>
  </si>
  <si>
    <t>VP_Retention</t>
  </si>
  <si>
    <t>VP_Recognition</t>
  </si>
  <si>
    <t>totalLearning</t>
  </si>
  <si>
    <t>Savings</t>
  </si>
  <si>
    <t>PTSD_WMS_LM_Immediate</t>
  </si>
  <si>
    <t>PTSD_WMS_LM_Delayed</t>
  </si>
  <si>
    <t>PTSD_WMS_%Retained</t>
  </si>
  <si>
    <t>PTSD_CVLT_1-5</t>
  </si>
  <si>
    <t>PTSD_CVLT_SDFree</t>
  </si>
  <si>
    <t>PTSD_CVLT_LDFree</t>
  </si>
  <si>
    <t>PTSD_WMS_PairedAss_ListA-Dtotal</t>
  </si>
  <si>
    <t>PTSD_WMS_PairedAss_DelayedRecall</t>
  </si>
  <si>
    <t>PTSD_WMS_PairedAss_%Retained</t>
  </si>
  <si>
    <t>PTSD_WMS_PairedAss_RecogScore</t>
  </si>
  <si>
    <t>PTSD_CVMT_TotalScore</t>
  </si>
  <si>
    <t>PTSD_ROCF_30minDelay</t>
  </si>
  <si>
    <t>PTSD_ROCF_SavingsScore</t>
  </si>
  <si>
    <t>Control_WMS_LM_Immediate</t>
  </si>
  <si>
    <t>Control_WMS_LM_Delayed</t>
  </si>
  <si>
    <t>Control_WMS_%Retained</t>
  </si>
  <si>
    <t>Control_CVLT_1-5</t>
  </si>
  <si>
    <t>Control_CVLT_SDFree</t>
  </si>
  <si>
    <t>Control_CVLT_LDFree</t>
  </si>
  <si>
    <t>Control_WMS_PairedAss_ListA-Dtotal</t>
  </si>
  <si>
    <t>Control_WMS_PairedAss_DelayedRecall</t>
  </si>
  <si>
    <t>Control_WMS_PairedAss_%Retained</t>
  </si>
  <si>
    <t>Control_WMS_PairedAss_RecogScore</t>
  </si>
  <si>
    <t>Control_CVMT_TotalScore</t>
  </si>
  <si>
    <t>Control_ROCF_30minDelay</t>
  </si>
  <si>
    <t>Control_ROCF_SavingsScore</t>
  </si>
  <si>
    <t>TraumaExp_WMS_LM_Immediate</t>
  </si>
  <si>
    <t>TraumaExp_WMS_LM_Delayed</t>
  </si>
  <si>
    <t>TraumaExp_WMS_%Retained</t>
  </si>
  <si>
    <t>TraumaExp_CVLT_1-5</t>
  </si>
  <si>
    <t>TraumaExp_CVLT_SDFree</t>
  </si>
  <si>
    <t>TraumaExp_CVLT_LDFree</t>
  </si>
  <si>
    <t>TraumaExp_WMS_PairedAss_ListA-Dtotal</t>
  </si>
  <si>
    <t>TraumaExp_WMS_PairedAss_DelayedRecall</t>
  </si>
  <si>
    <t>TraumaExp_WMS_PairedAss_%Retained</t>
  </si>
  <si>
    <t>TraumaExp_WMS_PairedAss_RecogScore</t>
  </si>
  <si>
    <t>TraumaExp_CVMT_TotalScore</t>
  </si>
  <si>
    <t>TraumaExp_ROCF_30minDelay</t>
  </si>
  <si>
    <t>TraumaExp_ROCF_SavingsScore</t>
  </si>
  <si>
    <t>Gulf War veterans</t>
  </si>
  <si>
    <t>LD Recall / SD Recall</t>
  </si>
  <si>
    <t>totalDelay</t>
  </si>
  <si>
    <t>PTSD_RAVLT_Trial1-5</t>
  </si>
  <si>
    <t>PTSD_RAVLT_SavingsRatio</t>
  </si>
  <si>
    <t>PTSD_CVMT_TotalLearning</t>
  </si>
  <si>
    <t>PTSD_CVMT_TotalDelay</t>
  </si>
  <si>
    <t>Control_RAVLT_Trial1-5</t>
  </si>
  <si>
    <t>Control_RAVLT_SavingsRatio</t>
  </si>
  <si>
    <t>Control_CVMT_TotalLearning</t>
  </si>
  <si>
    <t>Control_CVMT_TotalDelay</t>
  </si>
  <si>
    <t>Vietnam combat veterans with &amp; without PTSD</t>
  </si>
  <si>
    <t>DelayedRecalIndex</t>
  </si>
  <si>
    <t>PTSD_WMS_DelayedRecallIndex</t>
  </si>
  <si>
    <t>Control_WMS_DelayedRecallIndex</t>
  </si>
  <si>
    <t>Control_ROCF_immediate</t>
  </si>
  <si>
    <t>Control_ROCF_delayed</t>
  </si>
  <si>
    <t>No full text available</t>
  </si>
  <si>
    <t>Vietnam combat veterans and healthy controls</t>
  </si>
  <si>
    <t>Full paper was not available but I believe this is the same group as the study above (PTSD group #57) so I used their data, since LM results were reported in abstract. Not sure if this is OK to do</t>
  </si>
  <si>
    <t>Full text not available (paper in foreign language)</t>
  </si>
  <si>
    <t>Vietnam combat veterans with and without PTSD</t>
  </si>
  <si>
    <t>Cued recall/word completion test to check implicit and explicit memory</t>
  </si>
  <si>
    <t>EXT_CS-_EMG</t>
  </si>
  <si>
    <t>T/NT</t>
  </si>
  <si>
    <t>%Hits</t>
  </si>
  <si>
    <t>T/NT task. Baseline group -- pictures that were studied and later recalled, but not assigned to T/NT condition</t>
  </si>
  <si>
    <t>GMLT</t>
  </si>
  <si>
    <t>ErrorsTrial1-4</t>
  </si>
  <si>
    <t>ErrorsDelayedRecall</t>
  </si>
  <si>
    <t>PTSD_GMLT_Errors1-4</t>
  </si>
  <si>
    <t>PTSD_GMLT_ErrorsDelayedRec</t>
  </si>
  <si>
    <t>Control_GMLT_Errors1-4</t>
  </si>
  <si>
    <t>Control_GMLT_ErrorsDelayedRec</t>
  </si>
  <si>
    <t>PostInterference</t>
  </si>
  <si>
    <t xml:space="preserve">PTSD measured with self report PTSD checklist </t>
  </si>
  <si>
    <t>They did 1 EXT session the day after ACQ, and one a week later (each was split into 2 blocks)</t>
  </si>
  <si>
    <t>IAT</t>
  </si>
  <si>
    <t>ADI_words</t>
  </si>
  <si>
    <t>ADI_pictures</t>
  </si>
  <si>
    <t>RT_item_words</t>
  </si>
  <si>
    <t>RT_association_words</t>
  </si>
  <si>
    <t>RT_item_pictures</t>
  </si>
  <si>
    <t>RT_association_pictures</t>
  </si>
  <si>
    <t>PTSD_ADI_Words</t>
  </si>
  <si>
    <t>PTSD_ADI_pictures</t>
  </si>
  <si>
    <t>PTSD_item_words</t>
  </si>
  <si>
    <t>PTSD_association_words</t>
  </si>
  <si>
    <t>PTSD_item_pictures</t>
  </si>
  <si>
    <t>PTSD_association_pictures</t>
  </si>
  <si>
    <t>Control_ADI_Words</t>
  </si>
  <si>
    <t>Control_ADI_pictures</t>
  </si>
  <si>
    <t>Control_item_words</t>
  </si>
  <si>
    <t>Control_association_words</t>
  </si>
  <si>
    <t>Control_item_pictures</t>
  </si>
  <si>
    <t>Control_association_pictures</t>
  </si>
  <si>
    <t>PTSD_accuracy_item_words</t>
  </si>
  <si>
    <t>PTSD_accuracy_association_words</t>
  </si>
  <si>
    <t>PTSD_accuracy_item_pictures</t>
  </si>
  <si>
    <t>PTSD_accuracy_association_pictures</t>
  </si>
  <si>
    <t>Control_accuracy_item_words</t>
  </si>
  <si>
    <t>Control_accuracy_association_words</t>
  </si>
  <si>
    <t>Control_accuracy_item_pictures</t>
  </si>
  <si>
    <t>Control_accuracy_association_pictures</t>
  </si>
  <si>
    <t>Accuracy_item_words</t>
  </si>
  <si>
    <t>Accuracy_association_words</t>
  </si>
  <si>
    <t>Accuracy_item_pictures</t>
  </si>
  <si>
    <t>Accuracy_association_pictures</t>
  </si>
  <si>
    <t>RK</t>
  </si>
  <si>
    <t>Remember_emotional_hits</t>
  </si>
  <si>
    <t>Remember_neutral_hits</t>
  </si>
  <si>
    <t>Remember_emotional_FA</t>
  </si>
  <si>
    <t>Remember_neutral_FA</t>
  </si>
  <si>
    <t>Know_emotional_hits</t>
  </si>
  <si>
    <t>Know_neutral_hits</t>
  </si>
  <si>
    <t>Know_emotional_FA</t>
  </si>
  <si>
    <t>Know_neutral_FA</t>
  </si>
  <si>
    <t>PTSD_Rposhit</t>
  </si>
  <si>
    <t>PTSD_Rneghit</t>
  </si>
  <si>
    <t>PTSD_Rneuhit</t>
  </si>
  <si>
    <t>PTSD_Kposhit</t>
  </si>
  <si>
    <t>PTSD_Kneghit</t>
  </si>
  <si>
    <t>PTSD_Kneuhit</t>
  </si>
  <si>
    <t>PTSD_RposFA</t>
  </si>
  <si>
    <t>PTSD_RnegFA</t>
  </si>
  <si>
    <t>PTSD_RneuFA</t>
  </si>
  <si>
    <t>PTSD_KposFA</t>
  </si>
  <si>
    <t>PTSD_KnegFA</t>
  </si>
  <si>
    <t>PTSD_KneuFA</t>
  </si>
  <si>
    <t>Control_Rposhit</t>
  </si>
  <si>
    <t>Control_Rneghit</t>
  </si>
  <si>
    <t>Control_Rneuhit</t>
  </si>
  <si>
    <t>Control_Kposhit</t>
  </si>
  <si>
    <t>Control_Kneghit</t>
  </si>
  <si>
    <t>Control_Kneuhit</t>
  </si>
  <si>
    <t>Control_RposFA</t>
  </si>
  <si>
    <t>Control_RnegFA</t>
  </si>
  <si>
    <t>Control_RneuFA</t>
  </si>
  <si>
    <t>Control_KposFA</t>
  </si>
  <si>
    <t>Control_KnegFA</t>
  </si>
  <si>
    <t>Control_KneuFA</t>
  </si>
  <si>
    <t>New method code created</t>
  </si>
  <si>
    <t>French patients referred to the University Hospital of Tours, healthy controls</t>
  </si>
  <si>
    <t>PTSD_remember_hits</t>
  </si>
  <si>
    <t>PTSD_know_hits</t>
  </si>
  <si>
    <t>PTSD_remember_FA</t>
  </si>
  <si>
    <t>PTSD_know_FA</t>
  </si>
  <si>
    <t>Control_remember_hits</t>
  </si>
  <si>
    <t>Control_know_hits</t>
  </si>
  <si>
    <t>Control_remember_FA</t>
  </si>
  <si>
    <t>Control_know_FA</t>
  </si>
  <si>
    <t>right-handed individuals without a history of head injury, neurological disorders, or other major medical conditions</t>
  </si>
  <si>
    <t>PTSD_hits_negative</t>
  </si>
  <si>
    <t>PTSD_hits_neutral</t>
  </si>
  <si>
    <t>PTSD_hits_positive</t>
  </si>
  <si>
    <t>EMR</t>
  </si>
  <si>
    <t>Hit_emotional</t>
  </si>
  <si>
    <t>Hit_neutral</t>
  </si>
  <si>
    <t>Control_hits_negative</t>
  </si>
  <si>
    <t>Control_hits_neutral</t>
  </si>
  <si>
    <t>Control_hits_positive</t>
  </si>
  <si>
    <t>Predictable, unpredictable, neutral context? Authors state they wanted to measure fear and anxiety (not memory or learning)</t>
  </si>
  <si>
    <t>WordsLearned%</t>
  </si>
  <si>
    <t>PTSD_categoricalmems_positive</t>
  </si>
  <si>
    <t>PTSD_categoricalmems_negative</t>
  </si>
  <si>
    <t>General</t>
  </si>
  <si>
    <t>Control_categoricalmems_positive</t>
  </si>
  <si>
    <t>Control_categoricalmems_negative</t>
  </si>
  <si>
    <t>Visual_Recognition</t>
  </si>
  <si>
    <t>LM_TotalLearning</t>
  </si>
  <si>
    <t>Visual_Reproduction</t>
  </si>
  <si>
    <t>PTSD_WMS_VisualRecog</t>
  </si>
  <si>
    <t>PTSD_WMS_LogicalMemorySubscale</t>
  </si>
  <si>
    <t>PTSD_WMS_VisualReproduction</t>
  </si>
  <si>
    <t>Control_WMS_VisualRecog</t>
  </si>
  <si>
    <t>Control_WMS_LogicalMemorySubscale</t>
  </si>
  <si>
    <t>Control_WMS_VisualReproduction</t>
  </si>
  <si>
    <t>S1S2</t>
  </si>
  <si>
    <t>Correct_trauma</t>
  </si>
  <si>
    <t>Correct_disaster</t>
  </si>
  <si>
    <t>Correct_neutral</t>
  </si>
  <si>
    <t>RT_trauma</t>
  </si>
  <si>
    <t>RT_disaster</t>
  </si>
  <si>
    <t>RT_neutral</t>
  </si>
  <si>
    <t>PTSD_S1S2_CorrTrauma</t>
  </si>
  <si>
    <t>PTSD_S1S2_CorrDisaster</t>
  </si>
  <si>
    <t>PTSD_S1S2_CorrNeutral</t>
  </si>
  <si>
    <t>PTSD_S1S2_RTTrauma</t>
  </si>
  <si>
    <t>PTSD_S1S2_RTDisaster</t>
  </si>
  <si>
    <t>PTSD_S1S2_RTNeutral</t>
  </si>
  <si>
    <t>Control_S1S2_CorrTrauma</t>
  </si>
  <si>
    <t>Control_S1S2_CorrDisaster</t>
  </si>
  <si>
    <t>Control_S1S2_CorrNeutral</t>
  </si>
  <si>
    <t>Control_S1S2_RTTrauma</t>
  </si>
  <si>
    <t>Control_S1S2_RTDisaster</t>
  </si>
  <si>
    <t>Control_S1S2_RTNeutral</t>
  </si>
  <si>
    <t>NPTSD_S1S2_CorrTrauma</t>
  </si>
  <si>
    <t>NPTSD_S1S2_CorrDisaster</t>
  </si>
  <si>
    <t>NPTSD_S1S2_CorrNeutral</t>
  </si>
  <si>
    <t>NPTSD_S1S2_RTTrauma</t>
  </si>
  <si>
    <t>NPTSD_S1S2_RTDisaster</t>
  </si>
  <si>
    <t>NPTSD_S1S2_RTNeutral</t>
  </si>
  <si>
    <t>ParagraphRecall</t>
  </si>
  <si>
    <t>%retention</t>
  </si>
  <si>
    <t>PTSD_PR_P-I_postplacebo</t>
  </si>
  <si>
    <t>PTSD_PR_P-D_postplacebo</t>
  </si>
  <si>
    <t>PTSD_PR_P-R_postplacebo</t>
  </si>
  <si>
    <t>PTSD_PR_P-I_preplacebo</t>
  </si>
  <si>
    <t>PTSD_PR_P-D_preplacebo</t>
  </si>
  <si>
    <t>PTSD_PR_P-R_preplacebo</t>
  </si>
  <si>
    <t>Control_PR_P-I_preplacebo</t>
  </si>
  <si>
    <t>Control_PR_P-D_preplacebo</t>
  </si>
  <si>
    <t>Control_PR_P-R_preplacebo</t>
  </si>
  <si>
    <t>Control_PR_P-I_postplacebo</t>
  </si>
  <si>
    <t>Control_PR_P-D_postplacebo</t>
  </si>
  <si>
    <t>Control_PR_P-R_postplacebo</t>
  </si>
  <si>
    <t>FMI</t>
  </si>
  <si>
    <t>EMG_personal</t>
  </si>
  <si>
    <t>EMG_danger</t>
  </si>
  <si>
    <t>EMG_social</t>
  </si>
  <si>
    <t>PTSD_startle_personal</t>
  </si>
  <si>
    <t>PTSD_startle_danger</t>
  </si>
  <si>
    <t>PTSD_startle_social</t>
  </si>
  <si>
    <t>Startle_personal</t>
  </si>
  <si>
    <t>Startle_danger</t>
  </si>
  <si>
    <t>Startle_social</t>
  </si>
  <si>
    <t>SC_personal</t>
  </si>
  <si>
    <t>SC_danger</t>
  </si>
  <si>
    <t>SC_social</t>
  </si>
  <si>
    <t>PTSD_EMG_personal</t>
  </si>
  <si>
    <t>PTSD_EMG_danger</t>
  </si>
  <si>
    <t>PTSD_EMG_social</t>
  </si>
  <si>
    <t>PTSD_SC_personal</t>
  </si>
  <si>
    <t>PTSD_SC_danger</t>
  </si>
  <si>
    <t>PTSD_SC_social</t>
  </si>
  <si>
    <t>Control_startle_personal</t>
  </si>
  <si>
    <t>Control_startle_danger</t>
  </si>
  <si>
    <t>Control_startle_social</t>
  </si>
  <si>
    <t>Control_EMG_personal</t>
  </si>
  <si>
    <t>Control_EMG_danger</t>
  </si>
  <si>
    <t>Control_EMG_social</t>
  </si>
  <si>
    <t>Control_SC_personal</t>
  </si>
  <si>
    <t>Control_SC_danger</t>
  </si>
  <si>
    <t>Control_SC_social</t>
  </si>
  <si>
    <t>EMG_neutral</t>
  </si>
  <si>
    <t>PTSD_EMG_neutral</t>
  </si>
  <si>
    <t>Control_EMG_neutral</t>
  </si>
  <si>
    <t>SC_neutral</t>
  </si>
  <si>
    <t>PTSD_SC_neutral</t>
  </si>
  <si>
    <t>Control_SC_neutral</t>
  </si>
  <si>
    <t>SCID, PSS</t>
  </si>
  <si>
    <t>Directed forgetting // serenity induction? (either inducted calm/relaxed mood or dissociative mood before task)</t>
  </si>
  <si>
    <t>DirectedForgetting</t>
  </si>
  <si>
    <t>Recall_threat</t>
  </si>
  <si>
    <t>Recall_neutral</t>
  </si>
  <si>
    <t>Recall_positive</t>
  </si>
  <si>
    <t>Recog_threat</t>
  </si>
  <si>
    <t>Recog_positive</t>
  </si>
  <si>
    <t>Recog_neutral</t>
  </si>
  <si>
    <t>PTSD_serenity_recall_threat</t>
  </si>
  <si>
    <t>PTSD_serenity_recall_pos</t>
  </si>
  <si>
    <t>PTSD_serenity_recall_neutral</t>
  </si>
  <si>
    <t>PTSD_serenity_recog_threat</t>
  </si>
  <si>
    <t>PTSD_serenity_recog_pos</t>
  </si>
  <si>
    <t>PTSD_serenity_recog_neutral</t>
  </si>
  <si>
    <t>Control_serenity_recall_threat</t>
  </si>
  <si>
    <t>Control_serenity_recall_pos</t>
  </si>
  <si>
    <t>Control_serenity_recall_neutral</t>
  </si>
  <si>
    <t>Control_serenity_recog_threat</t>
  </si>
  <si>
    <t>Control_serenity_recog_pos</t>
  </si>
  <si>
    <t>Control_serenity_recog_neutral</t>
  </si>
  <si>
    <t xml:space="preserve">1.25 </t>
  </si>
  <si>
    <t>1.75</t>
  </si>
  <si>
    <t xml:space="preserve">1.50 </t>
  </si>
  <si>
    <t>1.64</t>
  </si>
  <si>
    <t xml:space="preserve">2.13 </t>
  </si>
  <si>
    <t>1.57</t>
  </si>
  <si>
    <t xml:space="preserve">4.33 </t>
  </si>
  <si>
    <t>1.81</t>
  </si>
  <si>
    <t xml:space="preserve">2.54 </t>
  </si>
  <si>
    <t>1.93</t>
  </si>
  <si>
    <t xml:space="preserve">2.50 </t>
  </si>
  <si>
    <t xml:space="preserve">2.58 </t>
  </si>
  <si>
    <t xml:space="preserve">3.88 </t>
  </si>
  <si>
    <t>1.73</t>
  </si>
  <si>
    <t xml:space="preserve">0.33 </t>
  </si>
  <si>
    <t>0.57</t>
  </si>
  <si>
    <t xml:space="preserve">0.17 </t>
  </si>
  <si>
    <t>0.38</t>
  </si>
  <si>
    <t xml:space="preserve">0.92 </t>
  </si>
  <si>
    <t>1.14</t>
  </si>
  <si>
    <t xml:space="preserve">2.08 </t>
  </si>
  <si>
    <t>1.35</t>
  </si>
  <si>
    <t xml:space="preserve">0.54 </t>
  </si>
  <si>
    <t>0.66</t>
  </si>
  <si>
    <t xml:space="preserve">0.42 </t>
  </si>
  <si>
    <t>0.65</t>
  </si>
  <si>
    <t xml:space="preserve">0.83 </t>
  </si>
  <si>
    <t>1.01</t>
  </si>
  <si>
    <t xml:space="preserve">1.00 </t>
  </si>
  <si>
    <t>0.83</t>
  </si>
  <si>
    <t>PTSD_cuedrecall_neutral</t>
  </si>
  <si>
    <t>PTSD_cuedrecall_positive</t>
  </si>
  <si>
    <t>PTSD_cuedrecall_social</t>
  </si>
  <si>
    <t>PTSD_cuedrecall_combat</t>
  </si>
  <si>
    <t>PTSD_wordcompletion_neutral</t>
  </si>
  <si>
    <t>PTSD_wordcompletion_positive</t>
  </si>
  <si>
    <t>PTSD_wordcompletion_social</t>
  </si>
  <si>
    <t>PTSD_wordcompletion_combat</t>
  </si>
  <si>
    <t>Control_cuedrecall_neutral</t>
  </si>
  <si>
    <t>Control_cuedrecall_positive</t>
  </si>
  <si>
    <t>Control_cuedrecall_social</t>
  </si>
  <si>
    <t>Control_cuedrecall_combat</t>
  </si>
  <si>
    <t>Control_wordcompletion_neutral</t>
  </si>
  <si>
    <t>Control_wordcompletion_positive</t>
  </si>
  <si>
    <t>Control_wordcompletion_social</t>
  </si>
  <si>
    <t>Control_wordcompletion_combat</t>
  </si>
  <si>
    <t>CuedRecall</t>
  </si>
  <si>
    <t>WCT</t>
  </si>
  <si>
    <t>score_neutral</t>
  </si>
  <si>
    <t>score_positive</t>
  </si>
  <si>
    <t>score_social</t>
  </si>
  <si>
    <t>score_combat</t>
  </si>
  <si>
    <t>Recall_social</t>
  </si>
  <si>
    <t>Recall_combat</t>
  </si>
  <si>
    <t>Acq_cogmap</t>
  </si>
  <si>
    <t>Nav_time</t>
  </si>
  <si>
    <t>survivors of the L'Aquila 2009 earthquake with/without PTSD</t>
  </si>
  <si>
    <t>VR</t>
  </si>
  <si>
    <t>PTSD_VR_timeNavTask</t>
  </si>
  <si>
    <t>PTSD_VR_timeCogMap</t>
  </si>
  <si>
    <t>Control_VR_timeCogMap</t>
  </si>
  <si>
    <t>Control_VR_timeNavTask</t>
  </si>
  <si>
    <t>PTSD_VR_timeNavTask_retest</t>
  </si>
  <si>
    <t>Control_VR_timeNavTask_retest</t>
  </si>
  <si>
    <t>%hits</t>
  </si>
  <si>
    <t>PTSD_identification_%recalled</t>
  </si>
  <si>
    <t>Control_identification_%recalled</t>
  </si>
  <si>
    <t>TNT task</t>
  </si>
  <si>
    <t>PTSD_ListLearningTotalPre</t>
  </si>
  <si>
    <t>Very little info on methods (pilot study)</t>
  </si>
  <si>
    <t>Box plots were weird, says they plot mean + SD // Milou asked authors for more info</t>
  </si>
  <si>
    <t>PTSD_Paired_SR_preferenceTraumaOdor</t>
  </si>
  <si>
    <t>traumaCue_Exploration</t>
  </si>
  <si>
    <t>Exploration % trauma odor</t>
  </si>
  <si>
    <t>PTSD_Paired_SR_freezingCuedTone</t>
  </si>
  <si>
    <t>traumaCue_time.threat</t>
  </si>
  <si>
    <t>PTSD_Paired_SR_TimeThreatTone</t>
  </si>
  <si>
    <t>PTSD_Paired_SR_EscapeLatency</t>
  </si>
  <si>
    <t>traumaCue_EscapeLatency</t>
  </si>
  <si>
    <t>Unpaired_SR_preferenceTraumaOdor</t>
  </si>
  <si>
    <t>Unpaired_SR_freezingCuedTone</t>
  </si>
  <si>
    <t>Unpaired_SR_TimeThreatTone</t>
  </si>
  <si>
    <t>Unpaired_SR_EscapeLatency</t>
  </si>
  <si>
    <t>PTSD_BLA_SR_preferenceTraumaOdor</t>
  </si>
  <si>
    <t>PTSD_BLA_SR_freezingCuedTone</t>
  </si>
  <si>
    <t>PTSD_BLA_SR_TimeThreatTone</t>
  </si>
  <si>
    <t>PTSD_BLA_SR_EscapeLatency</t>
  </si>
  <si>
    <t>Control_BLA_SR_preferenceTraumaOdor</t>
  </si>
  <si>
    <t>Control_BLA_SR_freezingCuedTone</t>
  </si>
  <si>
    <t>Control_BLA_SR_TimeThreatTone</t>
  </si>
  <si>
    <t>Control_BLA_SR_EscapeLatency</t>
  </si>
  <si>
    <t>PTSD_DH_SR_freezingCuedTone</t>
  </si>
  <si>
    <t>Control_DH_SR_freezingCuedTone</t>
  </si>
  <si>
    <t>PTSD_DH_SR_TimeThreatTone</t>
  </si>
  <si>
    <t>Control_DH_SR_TimeThreatTone</t>
  </si>
  <si>
    <t>PTSD_DH_SR_EscapeLatency</t>
  </si>
  <si>
    <t>Control_DH_SR_EscapeLatency</t>
  </si>
  <si>
    <t>PTSD_DH_SR_preferenceTraumaOdor</t>
  </si>
  <si>
    <t>Control_DH_SR_preferenceTraumaOdor</t>
  </si>
  <si>
    <t>PTSD_DH2_SR_freezingCuedTone</t>
  </si>
  <si>
    <t>Control_DH2_SR_freezingCuedTone</t>
  </si>
  <si>
    <t>PTSD_DH2_SR_TimeThreatTone</t>
  </si>
  <si>
    <t>Control_DH2_SR_TimeThreatTone</t>
  </si>
  <si>
    <t>PTSD_DH2_SR_EscapeLatency</t>
  </si>
  <si>
    <t>Control_DH2_SR_EscapeLatency</t>
  </si>
  <si>
    <t>PTSD_DH2_SR_preferenceTraumaOdor</t>
  </si>
  <si>
    <t>Control_DH2_SR_preferenceTraumaOdor</t>
  </si>
  <si>
    <t>PTSD_S3_TimeThreatTone</t>
  </si>
  <si>
    <t>PTSD_S3_EscapeLatency</t>
  </si>
  <si>
    <t>Control_S3_TimeThreatTone</t>
  </si>
  <si>
    <t>Control_S3_EscapeLatency</t>
  </si>
  <si>
    <t>PTSD_S4_PreferenceTraumaOdor</t>
  </si>
  <si>
    <t>PTSD_S4_freezingCuedTone</t>
  </si>
  <si>
    <t>PTSD_S4_TimeThreatTone</t>
  </si>
  <si>
    <t>PTSD_S4_EscapeLatency</t>
  </si>
  <si>
    <t>Control_S4_PreferenceTraumaOdor</t>
  </si>
  <si>
    <t>Control_S4_freezingCuedTone</t>
  </si>
  <si>
    <t>Control_S4_TimeThreatTone</t>
  </si>
  <si>
    <t>Control_S4_EscapeLatency</t>
  </si>
  <si>
    <t>PTSD_S9_PreferenceTraumaOdor</t>
  </si>
  <si>
    <t>PTSD_S9_freezingCuedTone</t>
  </si>
  <si>
    <t>PTSD_S9_TimeThreatTone</t>
  </si>
  <si>
    <t>PTSD_S9_EscapeLatency</t>
  </si>
  <si>
    <t>Control_S9_PreferenceTraumaOdor</t>
  </si>
  <si>
    <t>Control_S9_freezingCuedTone</t>
  </si>
  <si>
    <t>Control_S9_TimeThreatTone</t>
  </si>
  <si>
    <t>Control_S9_EscapeLatency</t>
  </si>
  <si>
    <t>PTSD_S10_freezingCuedTone</t>
  </si>
  <si>
    <t>PTSD_S10_TimeThreatTone</t>
  </si>
  <si>
    <t>PTSD_S10_EscapeLatency</t>
  </si>
  <si>
    <t>PTSD_S10_PreferenceTraumaOdor</t>
  </si>
  <si>
    <t>Control_S10_freezingCuedTone</t>
  </si>
  <si>
    <t>Control_S10_TimeThreatTone</t>
  </si>
  <si>
    <t>Control_S10_EscapeLatency</t>
  </si>
  <si>
    <t>Control_S10_PreferenceTraumaOdor</t>
  </si>
  <si>
    <t>PTSD_S11_freezingCuedTone</t>
  </si>
  <si>
    <t>Control_S11_freezingCuedTone</t>
  </si>
  <si>
    <t>PTSD_S11_TimeThreatTone</t>
  </si>
  <si>
    <t>Control_S11_TimeThreatTone</t>
  </si>
  <si>
    <t>PTSD_S11_EscapeLatency</t>
  </si>
  <si>
    <t>Control_S11_EscapeLatency</t>
  </si>
  <si>
    <t>PTSD_S11_PreferenceTraumaOdor</t>
  </si>
  <si>
    <t>Control_S11_PreferenceTraumaOdor</t>
  </si>
  <si>
    <t>MWM testing from day 1 to day 5 after SPS</t>
  </si>
  <si>
    <t>Rabbit study</t>
  </si>
  <si>
    <t>EXT_CS+_safeCTX_SCR</t>
  </si>
  <si>
    <t>EXT_CS-_safeCTX_SCR</t>
  </si>
  <si>
    <t>EXT_CS-_threatCTX_SCR</t>
  </si>
  <si>
    <t>EXT_CS+_threatCTX_SCR</t>
  </si>
  <si>
    <t>PTSD_FC_NeutralCue</t>
  </si>
  <si>
    <t>PTSD_FC_PredictableCue</t>
  </si>
  <si>
    <t>Control_FC_NeutralCue</t>
  </si>
  <si>
    <t>Control_FC_PredictableCue</t>
  </si>
  <si>
    <t>patients with PTSD related to the war in Bosnia and a group of 50 controls without PTSD but exposed to trauma from the war</t>
  </si>
  <si>
    <t>PTSD_StudiedWords_War</t>
  </si>
  <si>
    <t>PTSD_StudiedWords_Non-War</t>
  </si>
  <si>
    <t>mean proportion of words recalled</t>
  </si>
  <si>
    <t>10WT</t>
  </si>
  <si>
    <t>IM_trauma</t>
  </si>
  <si>
    <t>IM_neutral</t>
  </si>
  <si>
    <t>no access to paper</t>
  </si>
  <si>
    <t>Beh. Tests 48 hours after stress</t>
  </si>
  <si>
    <t>In all tests, they started to measure retention/ext 48h after initial 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</si>
</sst>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
    <numFmt numFmtId="167" formatCode="0.000000"/>
    <numFmt numFmtId="168" formatCode="0.0"/>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rgb="FFFF0000"/>
      <name val="Calibri"/>
      <family val="2"/>
      <scheme val="minor"/>
    </font>
    <font>
      <sz val="9"/>
      <name val="Helvetica"/>
      <family val="2"/>
    </font>
    <font>
      <sz val="12"/>
      <name val="Calibri"/>
      <family val="2"/>
      <scheme val="minor"/>
    </font>
    <font>
      <b/>
      <sz val="9"/>
      <name val="Calibri"/>
      <family val="2"/>
      <scheme val="minor"/>
    </font>
    <font>
      <b/>
      <sz val="12"/>
      <name val="Calibri"/>
      <family val="2"/>
      <scheme val="minor"/>
    </font>
    <font>
      <sz val="8"/>
      <name val="Calibri"/>
      <family val="2"/>
      <scheme val="minor"/>
    </font>
    <font>
      <i/>
      <sz val="12"/>
      <name val="Calibri"/>
      <family val="2"/>
      <scheme val="minor"/>
    </font>
    <font>
      <b/>
      <u/>
      <sz val="12"/>
      <name val="Calibri"/>
      <family val="2"/>
      <scheme val="minor"/>
    </font>
    <font>
      <sz val="12"/>
      <color rgb="FFC00000"/>
      <name val="Calibri"/>
      <family val="2"/>
      <scheme val="minor"/>
    </font>
    <font>
      <sz val="10"/>
      <name val="Helvetica"/>
      <family val="2"/>
    </font>
    <font>
      <sz val="12"/>
      <color theme="1"/>
      <name val="Calibri"/>
      <family val="2"/>
    </font>
    <font>
      <sz val="12"/>
      <color rgb="FFFF97A0"/>
      <name val="Calibri"/>
      <family val="2"/>
      <scheme val="minor"/>
    </font>
    <font>
      <sz val="12"/>
      <color rgb="FF000000"/>
      <name val="Calibri"/>
      <family val="2"/>
      <scheme val="minor"/>
    </font>
    <font>
      <u/>
      <sz val="1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97A0"/>
        <bgColor indexed="64"/>
      </patternFill>
    </fill>
    <fill>
      <patternFill patternType="solid">
        <fgColor theme="5" tint="0.79998168889431442"/>
        <bgColor indexed="64"/>
      </patternFill>
    </fill>
    <fill>
      <patternFill patternType="solid">
        <fgColor rgb="FFFFD0AF"/>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97A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4">
    <xf numFmtId="0" fontId="0" fillId="0" borderId="0" xfId="0"/>
    <xf numFmtId="0" fontId="18" fillId="0" borderId="10" xfId="0" applyFont="1" applyBorder="1" applyAlignment="1">
      <alignment textRotation="45" wrapText="1"/>
    </xf>
    <xf numFmtId="0" fontId="0" fillId="0" borderId="0" xfId="0" applyAlignment="1">
      <alignment textRotation="45"/>
    </xf>
    <xf numFmtId="0" fontId="19" fillId="0" borderId="0" xfId="0" applyFont="1" applyAlignment="1">
      <alignment vertical="center"/>
    </xf>
    <xf numFmtId="0" fontId="19" fillId="0" borderId="0" xfId="0" applyFont="1" applyFill="1" applyAlignment="1">
      <alignment vertical="center"/>
    </xf>
    <xf numFmtId="0" fontId="20" fillId="0" borderId="0" xfId="0" applyFont="1" applyAlignment="1">
      <alignment textRotation="45"/>
    </xf>
    <xf numFmtId="0" fontId="21" fillId="0" borderId="0" xfId="0" applyFont="1" applyAlignment="1">
      <alignment textRotation="45" wrapText="1"/>
    </xf>
    <xf numFmtId="0" fontId="20" fillId="0" borderId="0" xfId="0" applyFont="1"/>
    <xf numFmtId="14" fontId="20" fillId="0" borderId="0" xfId="0" applyNumberFormat="1" applyFont="1"/>
    <xf numFmtId="0" fontId="20" fillId="0" borderId="0" xfId="0" applyFont="1" applyAlignment="1"/>
    <xf numFmtId="0" fontId="20" fillId="34" borderId="0" xfId="0" applyFont="1" applyFill="1"/>
    <xf numFmtId="0" fontId="20" fillId="35" borderId="0" xfId="0" applyFont="1" applyFill="1"/>
    <xf numFmtId="0" fontId="20" fillId="0" borderId="0" xfId="0" applyFont="1" applyAlignment="1">
      <alignment wrapText="1"/>
    </xf>
    <xf numFmtId="0" fontId="20" fillId="35" borderId="0" xfId="0" applyFont="1" applyFill="1" applyAlignment="1"/>
    <xf numFmtId="0" fontId="20" fillId="36" borderId="0" xfId="0" applyFont="1" applyFill="1"/>
    <xf numFmtId="0" fontId="20" fillId="36" borderId="0" xfId="0" applyFont="1" applyFill="1" applyAlignment="1">
      <alignment wrapText="1"/>
    </xf>
    <xf numFmtId="0" fontId="20" fillId="36" borderId="0" xfId="0" applyFont="1" applyFill="1" applyAlignment="1"/>
    <xf numFmtId="16" fontId="20" fillId="0" borderId="0" xfId="0" applyNumberFormat="1" applyFont="1"/>
    <xf numFmtId="0" fontId="20" fillId="0" borderId="0" xfId="0" applyNumberFormat="1" applyFont="1"/>
    <xf numFmtId="0" fontId="24" fillId="0" borderId="0" xfId="0" applyFont="1"/>
    <xf numFmtId="0" fontId="20" fillId="37" borderId="0" xfId="0" applyFont="1" applyFill="1"/>
    <xf numFmtId="0" fontId="20" fillId="0" borderId="0" xfId="0" applyFont="1" applyFill="1"/>
    <xf numFmtId="0" fontId="20" fillId="0" borderId="0" xfId="0" applyNumberFormat="1" applyFont="1" applyFill="1"/>
    <xf numFmtId="1" fontId="20" fillId="0" borderId="0" xfId="0" applyNumberFormat="1" applyFont="1" applyFill="1" applyAlignment="1">
      <alignment horizontal="right"/>
    </xf>
    <xf numFmtId="1" fontId="20" fillId="0" borderId="0" xfId="0" applyNumberFormat="1" applyFont="1" applyAlignment="1">
      <alignment horizontal="right"/>
    </xf>
    <xf numFmtId="1" fontId="20" fillId="36" borderId="0" xfId="0" applyNumberFormat="1" applyFont="1" applyFill="1" applyAlignment="1">
      <alignment horizontal="right"/>
    </xf>
    <xf numFmtId="1" fontId="20" fillId="37" borderId="0" xfId="0" applyNumberFormat="1" applyFont="1" applyFill="1" applyAlignment="1">
      <alignment horizontal="right"/>
    </xf>
    <xf numFmtId="1" fontId="24" fillId="0" borderId="0" xfId="0" applyNumberFormat="1" applyFont="1" applyAlignment="1">
      <alignment horizontal="right"/>
    </xf>
    <xf numFmtId="0" fontId="22" fillId="0" borderId="0" xfId="0" applyFont="1"/>
    <xf numFmtId="0" fontId="25" fillId="0" borderId="0" xfId="0" applyFont="1"/>
    <xf numFmtId="1" fontId="22" fillId="37" borderId="0" xfId="0" applyNumberFormat="1" applyFont="1" applyFill="1" applyAlignment="1">
      <alignment horizontal="right"/>
    </xf>
    <xf numFmtId="0" fontId="20" fillId="37" borderId="0" xfId="0" applyFont="1" applyFill="1" applyAlignment="1">
      <alignment vertical="top"/>
    </xf>
    <xf numFmtId="0" fontId="20" fillId="38" borderId="0" xfId="0" applyFont="1" applyFill="1"/>
    <xf numFmtId="1" fontId="20" fillId="38" borderId="0" xfId="0" applyNumberFormat="1" applyFont="1" applyFill="1" applyAlignment="1">
      <alignment horizontal="right"/>
    </xf>
    <xf numFmtId="0" fontId="24" fillId="38" borderId="0" xfId="0" applyFont="1" applyFill="1"/>
    <xf numFmtId="0" fontId="20" fillId="39" borderId="0" xfId="0" applyFont="1" applyFill="1"/>
    <xf numFmtId="0" fontId="0" fillId="0" borderId="0" xfId="0" applyFont="1"/>
    <xf numFmtId="164" fontId="20" fillId="0" borderId="0" xfId="0" applyNumberFormat="1" applyFont="1"/>
    <xf numFmtId="0" fontId="0" fillId="0" borderId="0" xfId="0" applyFont="1" applyFill="1"/>
    <xf numFmtId="0" fontId="26" fillId="0" borderId="0" xfId="0" applyFont="1" applyFill="1"/>
    <xf numFmtId="0" fontId="20" fillId="0" borderId="0" xfId="0" applyFont="1" applyFill="1" applyAlignment="1"/>
    <xf numFmtId="0" fontId="20" fillId="37" borderId="0" xfId="0" applyFont="1" applyFill="1" applyAlignment="1"/>
    <xf numFmtId="0" fontId="20" fillId="38" borderId="0" xfId="0" applyFont="1" applyFill="1" applyAlignment="1"/>
    <xf numFmtId="0" fontId="0" fillId="0" borderId="0" xfId="0" applyFont="1" applyAlignment="1"/>
    <xf numFmtId="0" fontId="26" fillId="0" borderId="0" xfId="0" applyFont="1"/>
    <xf numFmtId="0" fontId="20" fillId="40" borderId="0" xfId="0" applyFont="1" applyFill="1"/>
    <xf numFmtId="1" fontId="20" fillId="40" borderId="0" xfId="0" applyNumberFormat="1" applyFont="1" applyFill="1" applyAlignment="1">
      <alignment horizontal="right"/>
    </xf>
    <xf numFmtId="0" fontId="20" fillId="40" borderId="0" xfId="0" applyFont="1" applyFill="1" applyAlignment="1"/>
    <xf numFmtId="0" fontId="27" fillId="0" borderId="0" xfId="0" applyFont="1"/>
    <xf numFmtId="0" fontId="17" fillId="37" borderId="0" xfId="0" applyFont="1" applyFill="1" applyAlignment="1"/>
    <xf numFmtId="165" fontId="20" fillId="0" borderId="0" xfId="0" applyNumberFormat="1" applyFont="1"/>
    <xf numFmtId="0" fontId="20" fillId="41" borderId="0" xfId="0" applyFont="1" applyFill="1"/>
    <xf numFmtId="0" fontId="0" fillId="41" borderId="0" xfId="0" applyFill="1"/>
    <xf numFmtId="0" fontId="14" fillId="37" borderId="0" xfId="0" applyFont="1" applyFill="1"/>
    <xf numFmtId="0" fontId="20" fillId="37" borderId="0" xfId="0" applyFont="1" applyFill="1" applyAlignment="1">
      <alignment wrapText="1"/>
    </xf>
    <xf numFmtId="0" fontId="28" fillId="0" borderId="0" xfId="0" applyFont="1"/>
    <xf numFmtId="0" fontId="0" fillId="0" borderId="0" xfId="0" applyFill="1"/>
    <xf numFmtId="0" fontId="26" fillId="0" borderId="0" xfId="0" applyFont="1" applyFill="1" applyAlignment="1"/>
    <xf numFmtId="0" fontId="27" fillId="0" borderId="0" xfId="0" applyFont="1" applyFill="1"/>
    <xf numFmtId="0" fontId="0" fillId="37" borderId="0" xfId="0" applyFont="1" applyFill="1"/>
    <xf numFmtId="1" fontId="26" fillId="0" borderId="0" xfId="0" applyNumberFormat="1" applyFont="1" applyFill="1" applyAlignment="1">
      <alignment horizontal="right"/>
    </xf>
    <xf numFmtId="14" fontId="20" fillId="41" borderId="0" xfId="0" applyNumberFormat="1" applyFont="1" applyFill="1"/>
    <xf numFmtId="166" fontId="20" fillId="0" borderId="0" xfId="0" applyNumberFormat="1" applyFont="1"/>
    <xf numFmtId="167" fontId="20" fillId="0" borderId="0" xfId="0" applyNumberFormat="1" applyFont="1"/>
    <xf numFmtId="14" fontId="20" fillId="37" borderId="0" xfId="0" applyNumberFormat="1" applyFont="1" applyFill="1"/>
    <xf numFmtId="0" fontId="0" fillId="37" borderId="0" xfId="0" applyFill="1"/>
    <xf numFmtId="0" fontId="29" fillId="37" borderId="0" xfId="0" applyFont="1" applyFill="1"/>
    <xf numFmtId="14" fontId="29" fillId="37" borderId="0" xfId="0" applyNumberFormat="1" applyFont="1" applyFill="1"/>
    <xf numFmtId="167" fontId="29" fillId="37" borderId="0" xfId="0" applyNumberFormat="1" applyFont="1" applyFill="1"/>
    <xf numFmtId="0" fontId="30" fillId="42" borderId="0" xfId="0" applyFont="1" applyFill="1"/>
    <xf numFmtId="14" fontId="20" fillId="0" borderId="0" xfId="0" applyNumberFormat="1" applyFont="1" applyFill="1"/>
    <xf numFmtId="167" fontId="20" fillId="0" borderId="0" xfId="0" applyNumberFormat="1" applyFont="1" applyFill="1"/>
    <xf numFmtId="167" fontId="20" fillId="37" borderId="0" xfId="0" applyNumberFormat="1" applyFont="1" applyFill="1"/>
    <xf numFmtId="167" fontId="0" fillId="0" borderId="0" xfId="0" applyNumberFormat="1" applyFont="1"/>
    <xf numFmtId="2" fontId="20" fillId="0" borderId="0" xfId="0" applyNumberFormat="1" applyFont="1"/>
    <xf numFmtId="14" fontId="0" fillId="37" borderId="0" xfId="0" applyNumberFormat="1" applyFont="1" applyFill="1"/>
    <xf numFmtId="0" fontId="0" fillId="0" borderId="0" xfId="0" applyFill="1" applyBorder="1"/>
    <xf numFmtId="168" fontId="20" fillId="0" borderId="0" xfId="0" applyNumberFormat="1" applyFont="1"/>
    <xf numFmtId="0" fontId="31" fillId="0" borderId="0" xfId="0" applyFont="1"/>
    <xf numFmtId="0" fontId="0" fillId="37" borderId="0" xfId="0" applyFill="1" applyAlignment="1"/>
    <xf numFmtId="0" fontId="20" fillId="0" borderId="0" xfId="0" applyFont="1" applyFill="1" applyBorder="1"/>
    <xf numFmtId="14" fontId="20" fillId="0" borderId="0" xfId="0" applyNumberFormat="1" applyFont="1" applyFill="1" applyBorder="1"/>
    <xf numFmtId="168" fontId="20" fillId="0" borderId="0" xfId="0" applyNumberFormat="1" applyFont="1" applyFill="1" applyBorder="1"/>
    <xf numFmtId="17" fontId="20" fillId="0" borderId="0" xfId="0" applyNumberFormat="1" applyFont="1" applyFill="1"/>
    <xf numFmtId="0" fontId="0" fillId="0" borderId="0" xfId="0" applyFill="1" applyAlignment="1"/>
    <xf numFmtId="14" fontId="20" fillId="0" borderId="0" xfId="0" applyNumberFormat="1" applyFont="1" applyFill="1" applyAlignment="1"/>
    <xf numFmtId="0" fontId="27" fillId="0" borderId="0" xfId="0" applyFont="1" applyFill="1" applyAlignment="1">
      <alignment vertical="center"/>
    </xf>
    <xf numFmtId="0" fontId="20" fillId="0" borderId="0" xfId="0" applyFont="1" applyAlignment="1">
      <alignment horizontal="left" vertical="center" textRotation="45" wrapText="1" shrinkToFit="1"/>
    </xf>
    <xf numFmtId="1" fontId="20" fillId="0" borderId="0" xfId="0" applyNumberFormat="1" applyFont="1" applyAlignment="1">
      <alignment horizontal="left" vertical="center" textRotation="45" wrapText="1" shrinkToFit="1"/>
    </xf>
    <xf numFmtId="0" fontId="20" fillId="33" borderId="0" xfId="0" applyFont="1" applyFill="1" applyAlignment="1">
      <alignment horizontal="left" vertical="center" textRotation="45" wrapText="1" shrinkToFit="1"/>
    </xf>
    <xf numFmtId="0" fontId="20" fillId="0" borderId="0" xfId="0" applyFont="1" applyAlignment="1">
      <alignment horizontal="left" vertical="center" textRotation="45" shrinkToFit="1"/>
    </xf>
    <xf numFmtId="0" fontId="20" fillId="0" borderId="0" xfId="0" applyFont="1" applyBorder="1"/>
    <xf numFmtId="1" fontId="20" fillId="0" borderId="0" xfId="0" applyNumberFormat="1" applyFont="1" applyBorder="1" applyAlignment="1">
      <alignment horizontal="right"/>
    </xf>
    <xf numFmtId="0" fontId="20" fillId="0" borderId="0" xfId="0" applyFont="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s>
  <tableStyles count="0" defaultTableStyle="TableStyleMedium2" defaultPivotStyle="PivotStyleLight16"/>
  <colors>
    <mruColors>
      <color rgb="FFFF97A0"/>
      <color rgb="FFDAC9FF"/>
      <color rgb="FFFFB29C"/>
      <color rgb="FFFFD0AF"/>
      <color rgb="FFFF9D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Oblak, L. (Lara)" id="{ACEE99EE-E6C5-D344-A122-206A56CD852E}" userId="S::l.oblak@students.uu.nl::36224280-3d18-4853-b38e-2eeda99353d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K44" dT="2020-10-22T13:30:28.12" personId="{ACEE99EE-E6C5-D344-A122-206A56CD852E}" id="{AB92F1AF-BA8A-F044-9656-8151201AF0B0}">
    <text>SD only given for PTSD+control combined</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29"/>
  <sheetViews>
    <sheetView tabSelected="1" topLeftCell="K1" zoomScale="80" zoomScaleNormal="80" workbookViewId="0">
      <pane ySplit="1" topLeftCell="A2" activePane="bottomLeft" state="frozen"/>
      <selection activeCell="W1" sqref="W1"/>
      <selection pane="bottomLeft" activeCell="BK208" sqref="BK208"/>
    </sheetView>
  </sheetViews>
  <sheetFormatPr baseColWidth="10" defaultRowHeight="16" x14ac:dyDescent="0.2"/>
  <cols>
    <col min="1" max="12" width="10.83203125" style="7"/>
    <col min="13" max="13" width="5.5" style="7" customWidth="1"/>
    <col min="14" max="14" width="7" style="7" customWidth="1"/>
    <col min="15" max="15" width="5.83203125" style="7" customWidth="1"/>
    <col min="16" max="16" width="4.1640625" style="7" customWidth="1"/>
    <col min="17" max="17" width="5.1640625" style="7" customWidth="1"/>
    <col min="18" max="18" width="6.1640625" style="7" customWidth="1"/>
    <col min="19" max="19" width="5.5" style="7" customWidth="1"/>
    <col min="20" max="20" width="5.6640625" style="7" customWidth="1"/>
    <col min="21" max="21" width="6.33203125" style="7" customWidth="1"/>
    <col min="22" max="22" width="4.83203125" style="7" customWidth="1"/>
    <col min="23" max="23" width="7.83203125" style="7" customWidth="1"/>
    <col min="24" max="24" width="5.6640625" style="7" customWidth="1"/>
    <col min="25" max="25" width="10.83203125" style="7"/>
    <col min="26" max="26" width="7.6640625" style="7" customWidth="1"/>
    <col min="27" max="27" width="10.83203125" style="7"/>
    <col min="28" max="28" width="6.83203125" style="7" customWidth="1"/>
    <col min="29" max="29" width="5.83203125" style="7" customWidth="1"/>
    <col min="30" max="30" width="5" style="7" customWidth="1"/>
    <col min="31" max="31" width="5.83203125" style="24" customWidth="1"/>
    <col min="32" max="32" width="5.33203125" style="7" customWidth="1"/>
    <col min="33" max="33" width="6.5" style="7" customWidth="1"/>
    <col min="34" max="34" width="5.33203125" style="7" customWidth="1"/>
    <col min="35" max="35" width="4.83203125" style="7" customWidth="1"/>
    <col min="36" max="36" width="9.33203125" style="7" customWidth="1"/>
    <col min="37" max="37" width="6.6640625" style="7" customWidth="1"/>
    <col min="38" max="38" width="6.5" style="7" customWidth="1"/>
    <col min="39" max="39" width="11" style="7" customWidth="1"/>
    <col min="40" max="40" width="6.83203125" style="7" customWidth="1"/>
    <col min="41" max="41" width="6" style="7" customWidth="1"/>
    <col min="42" max="42" width="9.1640625" style="7" customWidth="1"/>
    <col min="43" max="43" width="11.1640625" style="7" customWidth="1"/>
    <col min="44" max="44" width="9.6640625" style="7" customWidth="1"/>
    <col min="45" max="45" width="11" style="7" customWidth="1"/>
    <col min="46" max="46" width="13.6640625" style="7" customWidth="1"/>
    <col min="47" max="47" width="6.5" style="7" customWidth="1"/>
    <col min="48" max="48" width="9.83203125" style="7" customWidth="1"/>
    <col min="49" max="49" width="7.6640625" style="7" customWidth="1"/>
    <col min="50" max="50" width="21.1640625" style="7" customWidth="1"/>
    <col min="51" max="51" width="24" style="7" customWidth="1"/>
    <col min="52" max="52" width="4.83203125" style="7" customWidth="1"/>
    <col min="53" max="53" width="7.1640625" style="7" customWidth="1"/>
    <col min="54" max="54" width="9.6640625" style="7" customWidth="1"/>
    <col min="55" max="55" width="28.33203125" style="7" customWidth="1"/>
    <col min="56" max="56" width="10.1640625" style="7" customWidth="1"/>
    <col min="57" max="57" width="6" style="7" customWidth="1"/>
    <col min="58" max="58" width="9.6640625" style="7" customWidth="1"/>
    <col min="59" max="59" width="37" style="7" customWidth="1"/>
    <col min="60" max="60" width="9.6640625" style="7" customWidth="1"/>
    <col min="61" max="61" width="5.83203125" style="7" customWidth="1"/>
    <col min="62" max="62" width="10" style="7" customWidth="1"/>
    <col min="63" max="63" width="43.6640625" style="9" customWidth="1"/>
    <col min="64" max="64" width="30.5" style="7" customWidth="1"/>
    <col min="65" max="16384" width="10.83203125" style="7"/>
  </cols>
  <sheetData>
    <row r="1" spans="1:64" s="87" customFormat="1" ht="90" customHeight="1" x14ac:dyDescent="0.2">
      <c r="B1" s="87" t="s">
        <v>1</v>
      </c>
      <c r="C1" s="87" t="s">
        <v>2</v>
      </c>
      <c r="D1" s="87" t="s">
        <v>3</v>
      </c>
      <c r="E1" s="87" t="s">
        <v>4</v>
      </c>
      <c r="F1" s="87" t="s">
        <v>5</v>
      </c>
      <c r="G1" s="87" t="s">
        <v>6</v>
      </c>
      <c r="H1" s="87" t="s">
        <v>7</v>
      </c>
      <c r="I1" s="87" t="s">
        <v>8</v>
      </c>
      <c r="J1" s="87" t="s">
        <v>9</v>
      </c>
      <c r="K1" s="87" t="s">
        <v>10</v>
      </c>
      <c r="L1" s="87" t="s">
        <v>11</v>
      </c>
      <c r="M1" s="87" t="s">
        <v>12</v>
      </c>
      <c r="N1" s="87" t="s">
        <v>13</v>
      </c>
      <c r="O1" s="87" t="s">
        <v>14</v>
      </c>
      <c r="P1" s="87" t="s">
        <v>15</v>
      </c>
      <c r="Q1" s="87" t="s">
        <v>16</v>
      </c>
      <c r="R1" s="87" t="s">
        <v>17</v>
      </c>
      <c r="S1" s="87" t="s">
        <v>18</v>
      </c>
      <c r="T1" s="87" t="s">
        <v>19</v>
      </c>
      <c r="U1" s="87" t="s">
        <v>20</v>
      </c>
      <c r="V1" s="87" t="s">
        <v>21</v>
      </c>
      <c r="W1" s="87" t="s">
        <v>22</v>
      </c>
      <c r="X1" s="87" t="s">
        <v>23</v>
      </c>
      <c r="Y1" s="87" t="s">
        <v>24</v>
      </c>
      <c r="Z1" s="87" t="s">
        <v>25</v>
      </c>
      <c r="AA1" s="87" t="s">
        <v>0</v>
      </c>
      <c r="AB1" s="87" t="s">
        <v>1602</v>
      </c>
      <c r="AC1" s="87" t="s">
        <v>1603</v>
      </c>
      <c r="AD1" s="87" t="s">
        <v>1604</v>
      </c>
      <c r="AE1" s="88" t="s">
        <v>1605</v>
      </c>
      <c r="AF1" s="87" t="s">
        <v>1606</v>
      </c>
      <c r="AG1" s="87" t="s">
        <v>1607</v>
      </c>
      <c r="AH1" s="87" t="s">
        <v>1608</v>
      </c>
      <c r="AI1" s="87" t="s">
        <v>1609</v>
      </c>
      <c r="AJ1" s="87" t="s">
        <v>1610</v>
      </c>
      <c r="AK1" s="87" t="s">
        <v>1611</v>
      </c>
      <c r="AL1" s="87" t="s">
        <v>1612</v>
      </c>
      <c r="AM1" s="87" t="s">
        <v>1613</v>
      </c>
      <c r="AN1" s="87" t="s">
        <v>1614</v>
      </c>
      <c r="AO1" s="87" t="s">
        <v>1615</v>
      </c>
      <c r="AP1" s="87" t="s">
        <v>1616</v>
      </c>
      <c r="AQ1" s="87" t="s">
        <v>1617</v>
      </c>
      <c r="AR1" s="87" t="s">
        <v>1618</v>
      </c>
      <c r="AS1" s="87" t="s">
        <v>1619</v>
      </c>
      <c r="AT1" s="87" t="s">
        <v>1620</v>
      </c>
      <c r="AU1" s="89" t="s">
        <v>22</v>
      </c>
      <c r="AV1" s="87" t="s">
        <v>1622</v>
      </c>
      <c r="AW1" s="87" t="s">
        <v>1623</v>
      </c>
      <c r="AX1" s="87" t="s">
        <v>1624</v>
      </c>
      <c r="AY1" s="87" t="s">
        <v>1625</v>
      </c>
      <c r="AZ1" s="87" t="s">
        <v>1626</v>
      </c>
      <c r="BA1" s="87" t="s">
        <v>1627</v>
      </c>
      <c r="BB1" s="87" t="s">
        <v>1628</v>
      </c>
      <c r="BC1" s="87" t="s">
        <v>1629</v>
      </c>
      <c r="BD1" s="87" t="s">
        <v>1630</v>
      </c>
      <c r="BE1" s="87" t="s">
        <v>1631</v>
      </c>
      <c r="BF1" s="87" t="s">
        <v>1632</v>
      </c>
      <c r="BG1" s="87" t="s">
        <v>1633</v>
      </c>
      <c r="BH1" s="87" t="s">
        <v>1634</v>
      </c>
      <c r="BI1" s="87" t="s">
        <v>1635</v>
      </c>
      <c r="BJ1" s="87" t="s">
        <v>1636</v>
      </c>
      <c r="BK1" s="90" t="s">
        <v>1722</v>
      </c>
    </row>
    <row r="2" spans="1:64" x14ac:dyDescent="0.2">
      <c r="A2" s="7">
        <v>1</v>
      </c>
      <c r="B2" s="7" t="s">
        <v>1601</v>
      </c>
      <c r="C2" s="7" t="s">
        <v>1600</v>
      </c>
      <c r="D2" s="7" t="s">
        <v>1599</v>
      </c>
      <c r="E2" s="7" t="s">
        <v>1219</v>
      </c>
      <c r="F2" s="7" t="s">
        <v>167</v>
      </c>
      <c r="G2" s="7">
        <v>2020</v>
      </c>
      <c r="H2" s="7">
        <v>43971</v>
      </c>
      <c r="I2" s="7" t="s">
        <v>32</v>
      </c>
      <c r="J2" s="7" t="s">
        <v>32</v>
      </c>
      <c r="K2" s="7" t="s">
        <v>1598</v>
      </c>
      <c r="L2" s="7">
        <v>2</v>
      </c>
      <c r="M2" s="7" t="s">
        <v>1597</v>
      </c>
      <c r="N2" s="7" t="s">
        <v>1457</v>
      </c>
      <c r="O2" s="7" t="s">
        <v>34</v>
      </c>
      <c r="P2" s="7" t="s">
        <v>34</v>
      </c>
      <c r="Q2" s="7" t="s">
        <v>34</v>
      </c>
      <c r="R2" s="7" t="s">
        <v>34</v>
      </c>
      <c r="S2" s="7" t="s">
        <v>34</v>
      </c>
      <c r="T2" s="7" t="s">
        <v>34</v>
      </c>
      <c r="U2" s="7" t="s">
        <v>32</v>
      </c>
      <c r="V2" s="7">
        <v>1</v>
      </c>
      <c r="W2" s="7">
        <v>0</v>
      </c>
      <c r="X2" s="7" t="s">
        <v>32</v>
      </c>
      <c r="Y2" s="7" t="s">
        <v>1596</v>
      </c>
      <c r="Z2" s="7" t="s">
        <v>32</v>
      </c>
      <c r="AA2" s="7">
        <v>32428628</v>
      </c>
      <c r="AB2" s="7">
        <v>1</v>
      </c>
      <c r="AC2" s="7" t="s">
        <v>1643</v>
      </c>
      <c r="AD2" s="7">
        <v>4</v>
      </c>
      <c r="AE2" s="24">
        <f t="shared" ref="AE2:AE10" si="0">SUM(AF2,AG2)</f>
        <v>12</v>
      </c>
      <c r="AF2" s="7">
        <v>6</v>
      </c>
      <c r="AG2" s="7">
        <v>6</v>
      </c>
      <c r="AH2" s="7" t="s">
        <v>1642</v>
      </c>
      <c r="AI2" s="7" t="s">
        <v>1642</v>
      </c>
      <c r="AJ2" s="7" t="s">
        <v>1644</v>
      </c>
      <c r="AM2" s="7" t="s">
        <v>1644</v>
      </c>
      <c r="AQ2" s="7" t="s">
        <v>1645</v>
      </c>
      <c r="AR2" s="7" t="s">
        <v>1637</v>
      </c>
      <c r="AS2" s="7" t="s">
        <v>1638</v>
      </c>
      <c r="AT2" s="7" t="s">
        <v>1640</v>
      </c>
      <c r="AU2" s="7" t="s">
        <v>178</v>
      </c>
      <c r="AV2" s="7" t="s">
        <v>1641</v>
      </c>
      <c r="AW2" s="7" t="s">
        <v>1639</v>
      </c>
      <c r="AX2" s="7" t="s">
        <v>1649</v>
      </c>
      <c r="AY2" s="3" t="s">
        <v>1662</v>
      </c>
      <c r="AZ2" s="7" t="s">
        <v>1650</v>
      </c>
      <c r="BA2" s="7">
        <v>224</v>
      </c>
      <c r="BB2" s="7">
        <v>214</v>
      </c>
      <c r="BC2" s="7" t="s">
        <v>1647</v>
      </c>
      <c r="BD2" s="10"/>
      <c r="BE2" s="7" t="s">
        <v>1646</v>
      </c>
      <c r="BF2" s="10"/>
      <c r="BG2" s="7" t="s">
        <v>1648</v>
      </c>
      <c r="BH2" s="10"/>
      <c r="BI2" s="7" t="s">
        <v>1646</v>
      </c>
      <c r="BJ2" s="10"/>
    </row>
    <row r="3" spans="1:64" x14ac:dyDescent="0.2">
      <c r="A3" s="7">
        <v>1</v>
      </c>
      <c r="B3" s="7" t="s">
        <v>1601</v>
      </c>
      <c r="C3" s="7" t="s">
        <v>1600</v>
      </c>
      <c r="D3" s="7" t="s">
        <v>1599</v>
      </c>
      <c r="E3" s="7" t="s">
        <v>1219</v>
      </c>
      <c r="F3" s="7" t="s">
        <v>167</v>
      </c>
      <c r="G3" s="7">
        <v>2020</v>
      </c>
      <c r="H3" s="7">
        <v>43971</v>
      </c>
      <c r="I3" s="7" t="s">
        <v>32</v>
      </c>
      <c r="J3" s="7" t="s">
        <v>32</v>
      </c>
      <c r="K3" s="7" t="s">
        <v>1598</v>
      </c>
      <c r="L3" s="7">
        <v>2</v>
      </c>
      <c r="M3" s="7" t="s">
        <v>1597</v>
      </c>
      <c r="N3" s="7" t="s">
        <v>1457</v>
      </c>
      <c r="O3" s="7" t="s">
        <v>34</v>
      </c>
      <c r="P3" s="7" t="s">
        <v>34</v>
      </c>
      <c r="Q3" s="7" t="s">
        <v>34</v>
      </c>
      <c r="R3" s="7" t="s">
        <v>34</v>
      </c>
      <c r="S3" s="7" t="s">
        <v>34</v>
      </c>
      <c r="T3" s="7" t="s">
        <v>34</v>
      </c>
      <c r="U3" s="7" t="s">
        <v>32</v>
      </c>
      <c r="V3" s="7">
        <v>1</v>
      </c>
      <c r="W3" s="7">
        <v>0</v>
      </c>
      <c r="X3" s="7" t="s">
        <v>32</v>
      </c>
      <c r="Y3" s="7" t="s">
        <v>1596</v>
      </c>
      <c r="Z3" s="7" t="s">
        <v>32</v>
      </c>
      <c r="AA3" s="7">
        <v>32428628</v>
      </c>
      <c r="AB3" s="7">
        <v>1</v>
      </c>
      <c r="AC3" s="7" t="s">
        <v>1643</v>
      </c>
      <c r="AD3" s="7">
        <v>4</v>
      </c>
      <c r="AE3" s="24">
        <f t="shared" si="0"/>
        <v>12</v>
      </c>
      <c r="AF3" s="7">
        <v>6</v>
      </c>
      <c r="AG3" s="7">
        <v>6</v>
      </c>
      <c r="AH3" s="7" t="s">
        <v>1642</v>
      </c>
      <c r="AI3" s="7" t="s">
        <v>1642</v>
      </c>
      <c r="AJ3" s="7" t="s">
        <v>1644</v>
      </c>
      <c r="AM3" s="7" t="s">
        <v>1644</v>
      </c>
      <c r="AQ3" s="7" t="s">
        <v>1645</v>
      </c>
      <c r="AR3" s="7" t="s">
        <v>1637</v>
      </c>
      <c r="AS3" s="7" t="s">
        <v>1638</v>
      </c>
      <c r="AT3" s="7" t="s">
        <v>1640</v>
      </c>
      <c r="AU3" s="7" t="s">
        <v>178</v>
      </c>
      <c r="AV3" s="7" t="s">
        <v>1653</v>
      </c>
      <c r="AW3" s="7" t="s">
        <v>1639</v>
      </c>
      <c r="AX3" s="7" t="s">
        <v>1649</v>
      </c>
      <c r="AY3" s="4" t="s">
        <v>1663</v>
      </c>
      <c r="AZ3" s="7" t="s">
        <v>1650</v>
      </c>
      <c r="BA3" s="7">
        <v>224</v>
      </c>
      <c r="BB3" s="7">
        <v>214</v>
      </c>
      <c r="BC3" s="7" t="s">
        <v>1651</v>
      </c>
      <c r="BD3" s="10"/>
      <c r="BE3" s="7" t="s">
        <v>1646</v>
      </c>
      <c r="BF3" s="10"/>
      <c r="BG3" s="7" t="s">
        <v>1652</v>
      </c>
      <c r="BH3" s="10"/>
      <c r="BI3" s="7" t="s">
        <v>1646</v>
      </c>
      <c r="BJ3" s="10"/>
      <c r="BL3" s="7" t="s">
        <v>2004</v>
      </c>
    </row>
    <row r="4" spans="1:64" x14ac:dyDescent="0.2">
      <c r="A4" s="7">
        <v>1</v>
      </c>
      <c r="B4" s="7" t="s">
        <v>1601</v>
      </c>
      <c r="C4" s="7" t="s">
        <v>1600</v>
      </c>
      <c r="D4" s="7" t="s">
        <v>1599</v>
      </c>
      <c r="E4" s="7" t="s">
        <v>1219</v>
      </c>
      <c r="F4" s="7" t="s">
        <v>167</v>
      </c>
      <c r="G4" s="7">
        <v>2020</v>
      </c>
      <c r="H4" s="7">
        <v>43971</v>
      </c>
      <c r="I4" s="7" t="s">
        <v>32</v>
      </c>
      <c r="J4" s="7" t="s">
        <v>32</v>
      </c>
      <c r="K4" s="7" t="s">
        <v>1598</v>
      </c>
      <c r="L4" s="7">
        <v>2</v>
      </c>
      <c r="M4" s="7" t="s">
        <v>1597</v>
      </c>
      <c r="N4" s="7" t="s">
        <v>1457</v>
      </c>
      <c r="O4" s="7" t="s">
        <v>34</v>
      </c>
      <c r="P4" s="7" t="s">
        <v>34</v>
      </c>
      <c r="Q4" s="7" t="s">
        <v>34</v>
      </c>
      <c r="R4" s="7" t="s">
        <v>34</v>
      </c>
      <c r="S4" s="7" t="s">
        <v>34</v>
      </c>
      <c r="T4" s="7" t="s">
        <v>34</v>
      </c>
      <c r="U4" s="7" t="s">
        <v>32</v>
      </c>
      <c r="V4" s="7">
        <v>1</v>
      </c>
      <c r="W4" s="7">
        <v>0</v>
      </c>
      <c r="X4" s="7" t="s">
        <v>32</v>
      </c>
      <c r="Y4" s="7" t="s">
        <v>1596</v>
      </c>
      <c r="Z4" s="7" t="s">
        <v>32</v>
      </c>
      <c r="AA4" s="7">
        <v>32428628</v>
      </c>
      <c r="AB4" s="7">
        <v>1</v>
      </c>
      <c r="AC4" s="7" t="s">
        <v>1643</v>
      </c>
      <c r="AD4" s="7">
        <v>4</v>
      </c>
      <c r="AE4" s="24">
        <f t="shared" si="0"/>
        <v>12</v>
      </c>
      <c r="AF4" s="7">
        <v>6</v>
      </c>
      <c r="AG4" s="7">
        <v>6</v>
      </c>
      <c r="AH4" s="7" t="s">
        <v>1642</v>
      </c>
      <c r="AI4" s="7" t="s">
        <v>1642</v>
      </c>
      <c r="AJ4" s="7" t="s">
        <v>1644</v>
      </c>
      <c r="AM4" s="7" t="s">
        <v>1644</v>
      </c>
      <c r="AQ4" s="7" t="s">
        <v>1645</v>
      </c>
      <c r="AR4" s="7" t="s">
        <v>1637</v>
      </c>
      <c r="AS4" s="7" t="s">
        <v>1638</v>
      </c>
      <c r="AT4" s="7" t="s">
        <v>1640</v>
      </c>
      <c r="AU4" s="7" t="s">
        <v>178</v>
      </c>
      <c r="AV4" s="7" t="s">
        <v>1653</v>
      </c>
      <c r="AW4" s="7" t="s">
        <v>1639</v>
      </c>
      <c r="AX4" s="7" t="s">
        <v>1649</v>
      </c>
      <c r="AY4" s="4" t="s">
        <v>1664</v>
      </c>
      <c r="AZ4" s="7" t="s">
        <v>1650</v>
      </c>
      <c r="BA4" s="7">
        <v>224</v>
      </c>
      <c r="BB4" s="7">
        <v>214</v>
      </c>
      <c r="BC4" s="7" t="s">
        <v>1654</v>
      </c>
      <c r="BD4" s="10"/>
      <c r="BE4" s="7" t="s">
        <v>1646</v>
      </c>
      <c r="BF4" s="10"/>
      <c r="BG4" s="7" t="s">
        <v>1655</v>
      </c>
      <c r="BH4" s="10"/>
      <c r="BI4" s="7" t="s">
        <v>1646</v>
      </c>
      <c r="BJ4" s="10"/>
      <c r="BL4" s="11" t="s">
        <v>3882</v>
      </c>
    </row>
    <row r="5" spans="1:64" x14ac:dyDescent="0.2">
      <c r="A5" s="7">
        <v>1</v>
      </c>
      <c r="B5" s="7" t="s">
        <v>1601</v>
      </c>
      <c r="C5" s="7" t="s">
        <v>1600</v>
      </c>
      <c r="D5" s="7" t="s">
        <v>1599</v>
      </c>
      <c r="E5" s="7" t="s">
        <v>1219</v>
      </c>
      <c r="F5" s="7" t="s">
        <v>167</v>
      </c>
      <c r="G5" s="7">
        <v>2020</v>
      </c>
      <c r="H5" s="7">
        <v>43971</v>
      </c>
      <c r="I5" s="7" t="s">
        <v>32</v>
      </c>
      <c r="J5" s="7" t="s">
        <v>32</v>
      </c>
      <c r="K5" s="7" t="s">
        <v>1598</v>
      </c>
      <c r="L5" s="7">
        <v>2</v>
      </c>
      <c r="M5" s="7" t="s">
        <v>1597</v>
      </c>
      <c r="N5" s="7" t="s">
        <v>1457</v>
      </c>
      <c r="O5" s="7" t="s">
        <v>34</v>
      </c>
      <c r="P5" s="7" t="s">
        <v>34</v>
      </c>
      <c r="Q5" s="7" t="s">
        <v>34</v>
      </c>
      <c r="R5" s="7" t="s">
        <v>34</v>
      </c>
      <c r="S5" s="7" t="s">
        <v>34</v>
      </c>
      <c r="T5" s="7" t="s">
        <v>34</v>
      </c>
      <c r="U5" s="7" t="s">
        <v>32</v>
      </c>
      <c r="V5" s="7">
        <v>1</v>
      </c>
      <c r="W5" s="7">
        <v>0</v>
      </c>
      <c r="X5" s="7" t="s">
        <v>32</v>
      </c>
      <c r="Y5" s="7" t="s">
        <v>1596</v>
      </c>
      <c r="Z5" s="7" t="s">
        <v>32</v>
      </c>
      <c r="AA5" s="7">
        <v>32428628</v>
      </c>
      <c r="AB5" s="7">
        <v>1</v>
      </c>
      <c r="AC5" s="7" t="s">
        <v>1643</v>
      </c>
      <c r="AD5" s="7">
        <v>4</v>
      </c>
      <c r="AE5" s="24">
        <f t="shared" si="0"/>
        <v>12</v>
      </c>
      <c r="AF5" s="7">
        <v>6</v>
      </c>
      <c r="AG5" s="7">
        <v>6</v>
      </c>
      <c r="AH5" s="7" t="s">
        <v>1642</v>
      </c>
      <c r="AI5" s="7" t="s">
        <v>1642</v>
      </c>
      <c r="AJ5" s="7" t="s">
        <v>1644</v>
      </c>
      <c r="AM5" s="7" t="s">
        <v>1644</v>
      </c>
      <c r="AQ5" s="7" t="s">
        <v>1645</v>
      </c>
      <c r="AR5" s="7" t="s">
        <v>1637</v>
      </c>
      <c r="AS5" s="7" t="s">
        <v>1638</v>
      </c>
      <c r="AT5" s="7" t="s">
        <v>1640</v>
      </c>
      <c r="AU5" s="7" t="s">
        <v>178</v>
      </c>
      <c r="AV5" s="7" t="s">
        <v>1653</v>
      </c>
      <c r="AW5" s="7" t="s">
        <v>1639</v>
      </c>
      <c r="AX5" s="7" t="s">
        <v>1649</v>
      </c>
      <c r="AY5" s="4" t="s">
        <v>1664</v>
      </c>
      <c r="AZ5" s="7" t="s">
        <v>1650</v>
      </c>
      <c r="BA5" s="7">
        <v>224</v>
      </c>
      <c r="BB5" s="7">
        <v>214</v>
      </c>
      <c r="BC5" s="7" t="s">
        <v>1656</v>
      </c>
      <c r="BD5" s="10"/>
      <c r="BE5" s="7" t="s">
        <v>1646</v>
      </c>
      <c r="BF5" s="10"/>
      <c r="BG5" s="7" t="s">
        <v>1657</v>
      </c>
      <c r="BH5" s="10"/>
      <c r="BI5" s="7" t="s">
        <v>1646</v>
      </c>
      <c r="BJ5" s="10"/>
      <c r="BL5" s="35" t="s">
        <v>2018</v>
      </c>
    </row>
    <row r="6" spans="1:64" x14ac:dyDescent="0.2">
      <c r="A6" s="7">
        <v>1</v>
      </c>
      <c r="B6" s="7" t="s">
        <v>1601</v>
      </c>
      <c r="C6" s="7" t="s">
        <v>1600</v>
      </c>
      <c r="D6" s="7" t="s">
        <v>1599</v>
      </c>
      <c r="E6" s="7" t="s">
        <v>1219</v>
      </c>
      <c r="F6" s="7" t="s">
        <v>167</v>
      </c>
      <c r="G6" s="7">
        <v>2020</v>
      </c>
      <c r="H6" s="7">
        <v>43971</v>
      </c>
      <c r="I6" s="7" t="s">
        <v>32</v>
      </c>
      <c r="J6" s="7" t="s">
        <v>32</v>
      </c>
      <c r="K6" s="7" t="s">
        <v>1598</v>
      </c>
      <c r="L6" s="7">
        <v>2</v>
      </c>
      <c r="M6" s="7" t="s">
        <v>1597</v>
      </c>
      <c r="N6" s="7" t="s">
        <v>1457</v>
      </c>
      <c r="O6" s="7" t="s">
        <v>34</v>
      </c>
      <c r="P6" s="7" t="s">
        <v>34</v>
      </c>
      <c r="Q6" s="7" t="s">
        <v>34</v>
      </c>
      <c r="R6" s="7" t="s">
        <v>34</v>
      </c>
      <c r="S6" s="7" t="s">
        <v>34</v>
      </c>
      <c r="T6" s="7" t="s">
        <v>34</v>
      </c>
      <c r="U6" s="7" t="s">
        <v>32</v>
      </c>
      <c r="V6" s="7">
        <v>1</v>
      </c>
      <c r="W6" s="7">
        <v>0</v>
      </c>
      <c r="X6" s="7" t="s">
        <v>32</v>
      </c>
      <c r="Y6" s="7" t="s">
        <v>1596</v>
      </c>
      <c r="Z6" s="7" t="s">
        <v>32</v>
      </c>
      <c r="AA6" s="7">
        <v>32428628</v>
      </c>
      <c r="AB6" s="7">
        <v>1</v>
      </c>
      <c r="AC6" s="7" t="s">
        <v>1643</v>
      </c>
      <c r="AD6" s="7">
        <v>4</v>
      </c>
      <c r="AE6" s="24">
        <f t="shared" si="0"/>
        <v>12</v>
      </c>
      <c r="AF6" s="7">
        <v>6</v>
      </c>
      <c r="AG6" s="7">
        <v>6</v>
      </c>
      <c r="AH6" s="7" t="s">
        <v>1642</v>
      </c>
      <c r="AI6" s="7" t="s">
        <v>1642</v>
      </c>
      <c r="AJ6" s="7" t="s">
        <v>1644</v>
      </c>
      <c r="AM6" s="7" t="s">
        <v>1644</v>
      </c>
      <c r="AQ6" s="7" t="s">
        <v>1645</v>
      </c>
      <c r="AR6" s="7" t="s">
        <v>1637</v>
      </c>
      <c r="AS6" s="7" t="s">
        <v>1638</v>
      </c>
      <c r="AT6" s="7" t="s">
        <v>1640</v>
      </c>
      <c r="AU6" s="7" t="s">
        <v>178</v>
      </c>
      <c r="AV6" s="7" t="s">
        <v>1653</v>
      </c>
      <c r="AW6" s="7" t="s">
        <v>1639</v>
      </c>
      <c r="AX6" s="7" t="s">
        <v>1649</v>
      </c>
      <c r="AY6" s="4" t="s">
        <v>1665</v>
      </c>
      <c r="AZ6" s="7" t="s">
        <v>1650</v>
      </c>
      <c r="BA6" s="7">
        <v>224</v>
      </c>
      <c r="BB6" s="7">
        <v>214</v>
      </c>
      <c r="BC6" s="7" t="s">
        <v>1658</v>
      </c>
      <c r="BD6" s="10"/>
      <c r="BE6" s="7" t="s">
        <v>1646</v>
      </c>
      <c r="BF6" s="10"/>
      <c r="BG6" s="7" t="s">
        <v>1660</v>
      </c>
      <c r="BH6" s="10"/>
      <c r="BI6" s="7" t="s">
        <v>1646</v>
      </c>
      <c r="BJ6" s="10"/>
      <c r="BL6" s="20" t="s">
        <v>2003</v>
      </c>
    </row>
    <row r="7" spans="1:64" x14ac:dyDescent="0.2">
      <c r="A7" s="7">
        <v>1</v>
      </c>
      <c r="B7" s="7" t="s">
        <v>1601</v>
      </c>
      <c r="C7" s="7" t="s">
        <v>1600</v>
      </c>
      <c r="D7" s="7" t="s">
        <v>1599</v>
      </c>
      <c r="E7" s="7" t="s">
        <v>1219</v>
      </c>
      <c r="F7" s="7" t="s">
        <v>167</v>
      </c>
      <c r="G7" s="7">
        <v>2020</v>
      </c>
      <c r="H7" s="7">
        <v>43971</v>
      </c>
      <c r="I7" s="7" t="s">
        <v>32</v>
      </c>
      <c r="J7" s="7" t="s">
        <v>32</v>
      </c>
      <c r="K7" s="7" t="s">
        <v>1598</v>
      </c>
      <c r="L7" s="7">
        <v>2</v>
      </c>
      <c r="M7" s="7" t="s">
        <v>1597</v>
      </c>
      <c r="N7" s="7" t="s">
        <v>1457</v>
      </c>
      <c r="O7" s="7" t="s">
        <v>34</v>
      </c>
      <c r="P7" s="7" t="s">
        <v>34</v>
      </c>
      <c r="Q7" s="7" t="s">
        <v>34</v>
      </c>
      <c r="R7" s="7" t="s">
        <v>34</v>
      </c>
      <c r="S7" s="7" t="s">
        <v>34</v>
      </c>
      <c r="T7" s="7" t="s">
        <v>34</v>
      </c>
      <c r="U7" s="7" t="s">
        <v>32</v>
      </c>
      <c r="V7" s="7">
        <v>1</v>
      </c>
      <c r="W7" s="7">
        <v>0</v>
      </c>
      <c r="X7" s="7" t="s">
        <v>32</v>
      </c>
      <c r="Y7" s="7" t="s">
        <v>1596</v>
      </c>
      <c r="Z7" s="7" t="s">
        <v>32</v>
      </c>
      <c r="AA7" s="7">
        <v>32428628</v>
      </c>
      <c r="AB7" s="7">
        <v>1</v>
      </c>
      <c r="AC7" s="7" t="s">
        <v>1643</v>
      </c>
      <c r="AD7" s="7">
        <v>4</v>
      </c>
      <c r="AE7" s="24">
        <f t="shared" si="0"/>
        <v>12</v>
      </c>
      <c r="AF7" s="7">
        <v>6</v>
      </c>
      <c r="AG7" s="7">
        <v>6</v>
      </c>
      <c r="AH7" s="7" t="s">
        <v>1642</v>
      </c>
      <c r="AI7" s="7" t="s">
        <v>1642</v>
      </c>
      <c r="AJ7" s="7" t="s">
        <v>1644</v>
      </c>
      <c r="AM7" s="7" t="s">
        <v>1644</v>
      </c>
      <c r="AQ7" s="7" t="s">
        <v>1645</v>
      </c>
      <c r="AR7" s="7" t="s">
        <v>1637</v>
      </c>
      <c r="AS7" s="7" t="s">
        <v>1638</v>
      </c>
      <c r="AT7" s="7" t="s">
        <v>1640</v>
      </c>
      <c r="AU7" s="7" t="s">
        <v>178</v>
      </c>
      <c r="AV7" s="7" t="s">
        <v>1653</v>
      </c>
      <c r="AW7" s="7" t="s">
        <v>1639</v>
      </c>
      <c r="AX7" s="7" t="s">
        <v>1649</v>
      </c>
      <c r="AY7" s="4" t="s">
        <v>1665</v>
      </c>
      <c r="AZ7" s="7" t="s">
        <v>1650</v>
      </c>
      <c r="BA7" s="7">
        <v>224</v>
      </c>
      <c r="BB7" s="7">
        <v>214</v>
      </c>
      <c r="BC7" s="7" t="s">
        <v>1659</v>
      </c>
      <c r="BD7" s="10"/>
      <c r="BE7" s="7" t="s">
        <v>1646</v>
      </c>
      <c r="BF7" s="10"/>
      <c r="BG7" s="7" t="s">
        <v>1661</v>
      </c>
      <c r="BH7" s="10"/>
      <c r="BI7" s="7" t="s">
        <v>1646</v>
      </c>
      <c r="BJ7" s="10"/>
    </row>
    <row r="8" spans="1:64" s="11" customFormat="1" x14ac:dyDescent="0.2">
      <c r="A8" s="11">
        <v>2</v>
      </c>
      <c r="B8" s="11" t="s">
        <v>1595</v>
      </c>
      <c r="C8" s="11" t="s">
        <v>1594</v>
      </c>
      <c r="D8" s="11" t="s">
        <v>1593</v>
      </c>
      <c r="E8" s="11" t="s">
        <v>1592</v>
      </c>
      <c r="F8" s="11" t="s">
        <v>967</v>
      </c>
      <c r="G8" s="11">
        <v>2020</v>
      </c>
      <c r="H8" s="11">
        <v>43947</v>
      </c>
      <c r="I8" s="11" t="s">
        <v>32</v>
      </c>
      <c r="J8" s="11" t="s">
        <v>32</v>
      </c>
      <c r="K8" s="11" t="s">
        <v>1591</v>
      </c>
      <c r="L8" s="11">
        <v>2</v>
      </c>
      <c r="M8" s="11" t="s">
        <v>1590</v>
      </c>
      <c r="N8" s="11" t="s">
        <v>1457</v>
      </c>
      <c r="O8" s="11" t="s">
        <v>190</v>
      </c>
      <c r="P8" s="11" t="s">
        <v>34</v>
      </c>
      <c r="Q8" s="11" t="s">
        <v>34</v>
      </c>
      <c r="R8" s="11" t="s">
        <v>34</v>
      </c>
      <c r="S8" s="11" t="s">
        <v>34</v>
      </c>
      <c r="T8" s="11" t="s">
        <v>34</v>
      </c>
      <c r="U8" s="11" t="s">
        <v>32</v>
      </c>
      <c r="V8" s="11">
        <v>1</v>
      </c>
      <c r="W8" s="11" t="s">
        <v>32</v>
      </c>
      <c r="X8" s="11" t="s">
        <v>32</v>
      </c>
      <c r="Y8" s="11" t="s">
        <v>1589</v>
      </c>
      <c r="Z8" s="11" t="s">
        <v>32</v>
      </c>
      <c r="AA8" s="11">
        <v>32333135</v>
      </c>
      <c r="AB8" s="11">
        <v>1</v>
      </c>
      <c r="AD8" s="11">
        <v>4</v>
      </c>
      <c r="AE8" s="24">
        <f t="shared" si="0"/>
        <v>37</v>
      </c>
      <c r="AF8" s="11">
        <f t="shared" ref="AF8:AG10" si="1">AVERAGE(16,21)</f>
        <v>18.5</v>
      </c>
      <c r="AG8" s="11">
        <f t="shared" si="1"/>
        <v>18.5</v>
      </c>
      <c r="AH8" s="11" t="s">
        <v>1642</v>
      </c>
      <c r="AI8" s="11" t="s">
        <v>1642</v>
      </c>
      <c r="AK8" s="12">
        <f>AVERAGE(300,350)</f>
        <v>325</v>
      </c>
      <c r="AN8" s="12">
        <f>AVERAGE(300,350)</f>
        <v>325</v>
      </c>
      <c r="AQ8" s="11" t="s">
        <v>1668</v>
      </c>
      <c r="AR8" s="11" t="s">
        <v>1637</v>
      </c>
      <c r="AS8" s="11" t="s">
        <v>1667</v>
      </c>
      <c r="AT8" s="11" t="s">
        <v>1640</v>
      </c>
      <c r="AU8" s="11" t="s">
        <v>178</v>
      </c>
      <c r="AV8" s="11" t="s">
        <v>1641</v>
      </c>
      <c r="AW8" s="11" t="s">
        <v>1639</v>
      </c>
      <c r="AX8" s="13" t="s">
        <v>1666</v>
      </c>
      <c r="AY8" s="4" t="s">
        <v>1679</v>
      </c>
      <c r="AZ8" s="11" t="s">
        <v>1650</v>
      </c>
      <c r="BA8" s="11">
        <v>225</v>
      </c>
      <c r="BB8" s="11">
        <v>215</v>
      </c>
      <c r="BC8" s="7" t="s">
        <v>1669</v>
      </c>
      <c r="BD8" s="10"/>
      <c r="BE8" s="11" t="s">
        <v>1646</v>
      </c>
      <c r="BF8" s="10"/>
      <c r="BG8" s="7" t="s">
        <v>1670</v>
      </c>
      <c r="BH8" s="10"/>
      <c r="BI8" s="11" t="s">
        <v>1646</v>
      </c>
      <c r="BJ8" s="10"/>
      <c r="BK8" s="13"/>
    </row>
    <row r="9" spans="1:64" s="11" customFormat="1" x14ac:dyDescent="0.2">
      <c r="A9" s="11">
        <v>2</v>
      </c>
      <c r="B9" s="11" t="s">
        <v>1595</v>
      </c>
      <c r="C9" s="11" t="s">
        <v>1594</v>
      </c>
      <c r="D9" s="11" t="s">
        <v>1593</v>
      </c>
      <c r="E9" s="11" t="s">
        <v>1592</v>
      </c>
      <c r="F9" s="11" t="s">
        <v>967</v>
      </c>
      <c r="G9" s="11">
        <v>2020</v>
      </c>
      <c r="H9" s="11">
        <v>43947</v>
      </c>
      <c r="I9" s="11" t="s">
        <v>32</v>
      </c>
      <c r="J9" s="11" t="s">
        <v>32</v>
      </c>
      <c r="K9" s="11" t="s">
        <v>1591</v>
      </c>
      <c r="L9" s="11">
        <v>2</v>
      </c>
      <c r="M9" s="11" t="s">
        <v>1590</v>
      </c>
      <c r="N9" s="11" t="s">
        <v>1457</v>
      </c>
      <c r="O9" s="11" t="s">
        <v>190</v>
      </c>
      <c r="P9" s="11" t="s">
        <v>34</v>
      </c>
      <c r="Q9" s="11" t="s">
        <v>34</v>
      </c>
      <c r="R9" s="11" t="s">
        <v>34</v>
      </c>
      <c r="S9" s="11" t="s">
        <v>34</v>
      </c>
      <c r="T9" s="11" t="s">
        <v>34</v>
      </c>
      <c r="U9" s="11" t="s">
        <v>32</v>
      </c>
      <c r="V9" s="11">
        <v>1</v>
      </c>
      <c r="W9" s="11" t="s">
        <v>32</v>
      </c>
      <c r="X9" s="11" t="s">
        <v>32</v>
      </c>
      <c r="Y9" s="11" t="s">
        <v>1589</v>
      </c>
      <c r="Z9" s="11" t="s">
        <v>32</v>
      </c>
      <c r="AA9" s="11">
        <v>32333135</v>
      </c>
      <c r="AB9" s="11">
        <v>1</v>
      </c>
      <c r="AC9" s="11" t="s">
        <v>1681</v>
      </c>
      <c r="AD9" s="11">
        <v>4</v>
      </c>
      <c r="AE9" s="24">
        <f t="shared" si="0"/>
        <v>37</v>
      </c>
      <c r="AF9" s="11">
        <f t="shared" si="1"/>
        <v>18.5</v>
      </c>
      <c r="AG9" s="11">
        <f t="shared" si="1"/>
        <v>18.5</v>
      </c>
      <c r="AH9" s="11" t="s">
        <v>1642</v>
      </c>
      <c r="AI9" s="11" t="s">
        <v>1642</v>
      </c>
      <c r="AK9" s="12">
        <f>AVERAGE(300,350)</f>
        <v>325</v>
      </c>
      <c r="AN9" s="12">
        <f>AVERAGE(300,350)</f>
        <v>325</v>
      </c>
      <c r="AQ9" s="11" t="s">
        <v>1668</v>
      </c>
      <c r="AR9" s="11" t="s">
        <v>1637</v>
      </c>
      <c r="AS9" s="11" t="s">
        <v>1667</v>
      </c>
      <c r="AT9" s="11" t="s">
        <v>1640</v>
      </c>
      <c r="AU9" s="11" t="s">
        <v>178</v>
      </c>
      <c r="AV9" s="11" t="s">
        <v>1641</v>
      </c>
      <c r="AW9" s="11" t="s">
        <v>1639</v>
      </c>
      <c r="AX9" s="13" t="s">
        <v>1666</v>
      </c>
      <c r="AY9" s="4" t="s">
        <v>1664</v>
      </c>
      <c r="AZ9" s="11" t="s">
        <v>1650</v>
      </c>
      <c r="BA9" s="11">
        <v>225</v>
      </c>
      <c r="BB9" s="11">
        <v>215</v>
      </c>
      <c r="BC9" s="7" t="s">
        <v>1671</v>
      </c>
      <c r="BD9" s="10"/>
      <c r="BE9" s="11" t="s">
        <v>1646</v>
      </c>
      <c r="BF9" s="10"/>
      <c r="BG9" s="7" t="s">
        <v>1672</v>
      </c>
      <c r="BH9" s="10"/>
      <c r="BI9" s="11" t="s">
        <v>1646</v>
      </c>
      <c r="BJ9" s="10"/>
      <c r="BK9" s="13"/>
    </row>
    <row r="10" spans="1:64" s="11" customFormat="1" x14ac:dyDescent="0.2">
      <c r="A10" s="11">
        <v>2</v>
      </c>
      <c r="B10" s="11" t="s">
        <v>1595</v>
      </c>
      <c r="C10" s="11" t="s">
        <v>1594</v>
      </c>
      <c r="D10" s="11" t="s">
        <v>1593</v>
      </c>
      <c r="E10" s="11" t="s">
        <v>1592</v>
      </c>
      <c r="F10" s="11" t="s">
        <v>967</v>
      </c>
      <c r="G10" s="11">
        <v>2020</v>
      </c>
      <c r="H10" s="11">
        <v>43947</v>
      </c>
      <c r="I10" s="11" t="s">
        <v>32</v>
      </c>
      <c r="J10" s="11" t="s">
        <v>32</v>
      </c>
      <c r="K10" s="11" t="s">
        <v>1591</v>
      </c>
      <c r="L10" s="11">
        <v>2</v>
      </c>
      <c r="M10" s="11" t="s">
        <v>1590</v>
      </c>
      <c r="N10" s="11" t="s">
        <v>1457</v>
      </c>
      <c r="O10" s="11" t="s">
        <v>190</v>
      </c>
      <c r="P10" s="11" t="s">
        <v>34</v>
      </c>
      <c r="Q10" s="11" t="s">
        <v>34</v>
      </c>
      <c r="R10" s="11" t="s">
        <v>34</v>
      </c>
      <c r="S10" s="11" t="s">
        <v>34</v>
      </c>
      <c r="T10" s="11" t="s">
        <v>34</v>
      </c>
      <c r="U10" s="11" t="s">
        <v>32</v>
      </c>
      <c r="V10" s="11">
        <v>1</v>
      </c>
      <c r="W10" s="11" t="s">
        <v>32</v>
      </c>
      <c r="X10" s="11" t="s">
        <v>32</v>
      </c>
      <c r="Y10" s="11" t="s">
        <v>1589</v>
      </c>
      <c r="Z10" s="11" t="s">
        <v>32</v>
      </c>
      <c r="AA10" s="11">
        <v>32333135</v>
      </c>
      <c r="AB10" s="11">
        <v>1</v>
      </c>
      <c r="AD10" s="11">
        <v>4</v>
      </c>
      <c r="AE10" s="24">
        <f t="shared" si="0"/>
        <v>37</v>
      </c>
      <c r="AF10" s="11">
        <f t="shared" si="1"/>
        <v>18.5</v>
      </c>
      <c r="AG10" s="11">
        <f t="shared" si="1"/>
        <v>18.5</v>
      </c>
      <c r="AH10" s="11" t="s">
        <v>1642</v>
      </c>
      <c r="AI10" s="11" t="s">
        <v>1642</v>
      </c>
      <c r="AK10" s="12">
        <f>AVERAGE(300,350)</f>
        <v>325</v>
      </c>
      <c r="AN10" s="12">
        <f>AVERAGE(300,350)</f>
        <v>325</v>
      </c>
      <c r="AQ10" s="11" t="s">
        <v>1668</v>
      </c>
      <c r="AR10" s="11" t="s">
        <v>1637</v>
      </c>
      <c r="AS10" s="11" t="s">
        <v>1667</v>
      </c>
      <c r="AT10" s="11" t="s">
        <v>1640</v>
      </c>
      <c r="AU10" s="11" t="s">
        <v>178</v>
      </c>
      <c r="AV10" s="11" t="s">
        <v>1641</v>
      </c>
      <c r="AW10" s="11" t="s">
        <v>1639</v>
      </c>
      <c r="AX10" s="13" t="s">
        <v>1666</v>
      </c>
      <c r="AY10" s="4" t="s">
        <v>1680</v>
      </c>
      <c r="AZ10" s="11" t="s">
        <v>1650</v>
      </c>
      <c r="BA10" s="11">
        <v>225</v>
      </c>
      <c r="BB10" s="11">
        <v>215</v>
      </c>
      <c r="BC10" s="7" t="s">
        <v>1673</v>
      </c>
      <c r="BD10" s="10"/>
      <c r="BE10" s="11" t="s">
        <v>1646</v>
      </c>
      <c r="BF10" s="10"/>
      <c r="BG10" s="7" t="s">
        <v>1674</v>
      </c>
      <c r="BH10" s="10"/>
      <c r="BI10" s="11" t="s">
        <v>1646</v>
      </c>
      <c r="BJ10" s="10"/>
      <c r="BK10" s="13"/>
    </row>
    <row r="11" spans="1:64" s="14" customFormat="1" x14ac:dyDescent="0.2">
      <c r="A11" s="14">
        <v>3</v>
      </c>
      <c r="B11" s="14" t="s">
        <v>1588</v>
      </c>
      <c r="C11" s="14" t="s">
        <v>1587</v>
      </c>
      <c r="D11" s="14" t="s">
        <v>1586</v>
      </c>
      <c r="E11" s="14" t="s">
        <v>1585</v>
      </c>
      <c r="F11" s="14" t="s">
        <v>1584</v>
      </c>
      <c r="G11" s="14">
        <v>2020</v>
      </c>
      <c r="H11" s="14">
        <v>43946</v>
      </c>
      <c r="I11" s="14" t="s">
        <v>1583</v>
      </c>
      <c r="J11" s="14" t="s">
        <v>32</v>
      </c>
      <c r="K11" s="14" t="s">
        <v>1582</v>
      </c>
      <c r="L11" s="14">
        <v>2</v>
      </c>
      <c r="M11" s="14" t="s">
        <v>1581</v>
      </c>
      <c r="N11" s="14" t="s">
        <v>1177</v>
      </c>
      <c r="O11" s="14" t="s">
        <v>190</v>
      </c>
      <c r="P11" s="14" t="s">
        <v>34</v>
      </c>
      <c r="Q11" s="14" t="s">
        <v>34</v>
      </c>
      <c r="R11" s="14" t="s">
        <v>34</v>
      </c>
      <c r="S11" s="14" t="s">
        <v>34</v>
      </c>
      <c r="T11" s="14" t="s">
        <v>34</v>
      </c>
      <c r="U11" s="14" t="s">
        <v>32</v>
      </c>
      <c r="V11" s="14">
        <v>1</v>
      </c>
      <c r="W11" s="14" t="s">
        <v>32</v>
      </c>
      <c r="X11" s="14" t="s">
        <v>32</v>
      </c>
      <c r="Y11" s="14" t="s">
        <v>32</v>
      </c>
      <c r="Z11" s="14" t="s">
        <v>32</v>
      </c>
      <c r="AA11" s="14">
        <v>32329303</v>
      </c>
      <c r="AE11" s="25"/>
      <c r="AH11" s="14" t="s">
        <v>1676</v>
      </c>
      <c r="AI11" s="14" t="s">
        <v>1676</v>
      </c>
      <c r="AK11" s="15">
        <f>AVERAGE(250,300)</f>
        <v>275</v>
      </c>
      <c r="AN11" s="15">
        <f>AVERAGE(250,300)</f>
        <v>275</v>
      </c>
      <c r="AR11" s="14" t="s">
        <v>1675</v>
      </c>
      <c r="AS11" s="14" t="s">
        <v>1667</v>
      </c>
      <c r="AT11" s="14" t="s">
        <v>1640</v>
      </c>
      <c r="AW11" s="14" t="s">
        <v>1678</v>
      </c>
      <c r="AX11" s="16" t="s">
        <v>1677</v>
      </c>
      <c r="AY11" s="4" t="s">
        <v>1684</v>
      </c>
      <c r="AZ11" s="14" t="s">
        <v>1650</v>
      </c>
      <c r="BA11" s="14">
        <v>226</v>
      </c>
      <c r="BB11" s="14">
        <v>216</v>
      </c>
      <c r="BC11" s="14" t="s">
        <v>1682</v>
      </c>
      <c r="BD11" s="14">
        <v>119.3</v>
      </c>
      <c r="BE11" s="14" t="s">
        <v>1646</v>
      </c>
      <c r="BF11" s="14">
        <v>22.4</v>
      </c>
      <c r="BG11" s="14" t="s">
        <v>1683</v>
      </c>
      <c r="BH11" s="14">
        <v>28.3</v>
      </c>
      <c r="BI11" s="14" t="s">
        <v>1646</v>
      </c>
      <c r="BJ11" s="14">
        <v>3.8</v>
      </c>
      <c r="BK11" s="16"/>
    </row>
    <row r="12" spans="1:64" x14ac:dyDescent="0.2">
      <c r="A12" s="7">
        <v>4</v>
      </c>
      <c r="B12" s="7" t="s">
        <v>1580</v>
      </c>
      <c r="C12" s="7" t="s">
        <v>1579</v>
      </c>
      <c r="D12" s="7" t="s">
        <v>1578</v>
      </c>
      <c r="E12" s="7" t="s">
        <v>1391</v>
      </c>
      <c r="F12" s="7" t="s">
        <v>1577</v>
      </c>
      <c r="G12" s="7">
        <v>2020</v>
      </c>
      <c r="H12" s="7">
        <v>43930</v>
      </c>
      <c r="I12" s="7" t="s">
        <v>32</v>
      </c>
      <c r="J12" s="7" t="s">
        <v>32</v>
      </c>
      <c r="K12" s="7" t="s">
        <v>1576</v>
      </c>
      <c r="L12" s="7">
        <v>2</v>
      </c>
      <c r="M12" s="7" t="s">
        <v>32</v>
      </c>
      <c r="N12" s="7" t="s">
        <v>34</v>
      </c>
      <c r="O12" s="7" t="s">
        <v>190</v>
      </c>
      <c r="P12" s="7" t="s">
        <v>34</v>
      </c>
      <c r="Q12" s="7" t="s">
        <v>34</v>
      </c>
      <c r="R12" s="7" t="s">
        <v>34</v>
      </c>
      <c r="S12" s="7" t="s">
        <v>34</v>
      </c>
      <c r="T12" s="7" t="s">
        <v>34</v>
      </c>
      <c r="U12" s="7" t="s">
        <v>32</v>
      </c>
      <c r="V12" s="7">
        <v>1</v>
      </c>
      <c r="W12" s="7" t="s">
        <v>32</v>
      </c>
      <c r="X12" s="7" t="s">
        <v>32</v>
      </c>
      <c r="Y12" s="7" t="s">
        <v>32</v>
      </c>
      <c r="Z12" s="7" t="s">
        <v>32</v>
      </c>
      <c r="AA12" s="7">
        <v>32267780</v>
      </c>
      <c r="AB12" s="7">
        <v>1</v>
      </c>
      <c r="AD12" s="7">
        <v>4</v>
      </c>
      <c r="AE12" s="24" t="s">
        <v>1694</v>
      </c>
      <c r="AF12" s="17" t="s">
        <v>1688</v>
      </c>
      <c r="AG12" s="7" t="s">
        <v>1688</v>
      </c>
      <c r="AH12" s="7" t="s">
        <v>1642</v>
      </c>
      <c r="AI12" s="7" t="s">
        <v>1642</v>
      </c>
      <c r="AJ12" s="7" t="s">
        <v>1685</v>
      </c>
      <c r="AK12" s="7">
        <v>235</v>
      </c>
      <c r="AM12" s="7" t="s">
        <v>1685</v>
      </c>
      <c r="AN12" s="7">
        <v>235</v>
      </c>
      <c r="AR12" s="7" t="s">
        <v>1637</v>
      </c>
      <c r="AS12" s="7" t="s">
        <v>1638</v>
      </c>
      <c r="AT12" s="7" t="s">
        <v>1640</v>
      </c>
      <c r="AU12" s="7" t="s">
        <v>178</v>
      </c>
      <c r="AV12" s="7" t="s">
        <v>1689</v>
      </c>
      <c r="AW12" s="7" t="s">
        <v>1690</v>
      </c>
      <c r="AX12" s="7" t="s">
        <v>1686</v>
      </c>
      <c r="AY12" s="7" t="s">
        <v>1691</v>
      </c>
      <c r="AZ12" s="7" t="s">
        <v>1650</v>
      </c>
      <c r="BA12" s="7">
        <v>227</v>
      </c>
      <c r="BB12" s="21">
        <v>217</v>
      </c>
      <c r="BC12" s="21" t="s">
        <v>1692</v>
      </c>
      <c r="BD12" s="22">
        <v>-9.8699999999999996E-2</v>
      </c>
      <c r="BE12" s="21" t="s">
        <v>1646</v>
      </c>
      <c r="BF12" s="21">
        <v>0.10608739</v>
      </c>
      <c r="BG12" s="21" t="s">
        <v>1693</v>
      </c>
      <c r="BH12" s="21">
        <v>0.30274921999999999</v>
      </c>
      <c r="BI12" s="7" t="s">
        <v>1646</v>
      </c>
      <c r="BJ12" s="7">
        <f>0.40709746-BH12</f>
        <v>0.10434824000000004</v>
      </c>
    </row>
    <row r="13" spans="1:64" x14ac:dyDescent="0.2">
      <c r="A13" s="7">
        <v>4</v>
      </c>
      <c r="B13" s="7" t="s">
        <v>1580</v>
      </c>
      <c r="C13" s="7" t="s">
        <v>1579</v>
      </c>
      <c r="D13" s="7" t="s">
        <v>1578</v>
      </c>
      <c r="E13" s="7" t="s">
        <v>1391</v>
      </c>
      <c r="F13" s="7" t="s">
        <v>1577</v>
      </c>
      <c r="G13" s="7">
        <v>2020</v>
      </c>
      <c r="H13" s="7">
        <v>43930</v>
      </c>
      <c r="I13" s="7" t="s">
        <v>32</v>
      </c>
      <c r="J13" s="7" t="s">
        <v>32</v>
      </c>
      <c r="K13" s="7" t="s">
        <v>1576</v>
      </c>
      <c r="L13" s="7">
        <v>2</v>
      </c>
      <c r="M13" s="7" t="s">
        <v>32</v>
      </c>
      <c r="N13" s="7" t="s">
        <v>34</v>
      </c>
      <c r="O13" s="7" t="s">
        <v>190</v>
      </c>
      <c r="P13" s="7" t="s">
        <v>34</v>
      </c>
      <c r="Q13" s="7" t="s">
        <v>34</v>
      </c>
      <c r="R13" s="7" t="s">
        <v>34</v>
      </c>
      <c r="S13" s="7" t="s">
        <v>34</v>
      </c>
      <c r="T13" s="7" t="s">
        <v>34</v>
      </c>
      <c r="U13" s="7" t="s">
        <v>32</v>
      </c>
      <c r="V13" s="7">
        <v>1</v>
      </c>
      <c r="W13" s="7" t="s">
        <v>32</v>
      </c>
      <c r="X13" s="7" t="s">
        <v>32</v>
      </c>
      <c r="Y13" s="7" t="s">
        <v>32</v>
      </c>
      <c r="Z13" s="7" t="s">
        <v>32</v>
      </c>
      <c r="AA13" s="7">
        <v>32267780</v>
      </c>
      <c r="AB13" s="7">
        <v>1</v>
      </c>
      <c r="AD13" s="7">
        <v>4</v>
      </c>
      <c r="AE13" s="24" t="s">
        <v>1694</v>
      </c>
      <c r="AF13" s="17" t="s">
        <v>1688</v>
      </c>
      <c r="AG13" s="7" t="s">
        <v>1688</v>
      </c>
      <c r="AH13" s="7" t="s">
        <v>1642</v>
      </c>
      <c r="AI13" s="7" t="s">
        <v>1642</v>
      </c>
      <c r="AJ13" s="7" t="s">
        <v>1685</v>
      </c>
      <c r="AK13" s="7">
        <v>235</v>
      </c>
      <c r="AM13" s="7" t="s">
        <v>1685</v>
      </c>
      <c r="AN13" s="7">
        <v>235</v>
      </c>
      <c r="AR13" s="7" t="s">
        <v>1637</v>
      </c>
      <c r="AS13" s="7" t="s">
        <v>1638</v>
      </c>
      <c r="AT13" s="7" t="s">
        <v>1640</v>
      </c>
      <c r="AU13" s="7" t="s">
        <v>178</v>
      </c>
      <c r="AV13" s="7" t="s">
        <v>1696</v>
      </c>
      <c r="AW13" s="7" t="s">
        <v>1687</v>
      </c>
      <c r="AX13" s="7" t="s">
        <v>1686</v>
      </c>
      <c r="AY13" s="7" t="s">
        <v>1695</v>
      </c>
      <c r="AZ13" s="7" t="s">
        <v>1650</v>
      </c>
      <c r="BA13" s="7">
        <v>227</v>
      </c>
      <c r="BB13" s="21">
        <v>217</v>
      </c>
      <c r="BC13" s="21" t="s">
        <v>1701</v>
      </c>
      <c r="BD13" s="22">
        <v>162.917</v>
      </c>
      <c r="BE13" s="21" t="s">
        <v>1646</v>
      </c>
      <c r="BF13" s="21">
        <f>169.092-BD13</f>
        <v>6.1750000000000114</v>
      </c>
      <c r="BG13" s="21" t="s">
        <v>1706</v>
      </c>
      <c r="BH13" s="21">
        <v>160.30799999999999</v>
      </c>
      <c r="BI13" s="7" t="s">
        <v>1646</v>
      </c>
      <c r="BJ13" s="7">
        <f>164.411-BH13</f>
        <v>4.1030000000000086</v>
      </c>
    </row>
    <row r="14" spans="1:64" x14ac:dyDescent="0.2">
      <c r="A14" s="7">
        <v>4</v>
      </c>
      <c r="B14" s="7" t="s">
        <v>1580</v>
      </c>
      <c r="C14" s="7" t="s">
        <v>1579</v>
      </c>
      <c r="D14" s="7" t="s">
        <v>1578</v>
      </c>
      <c r="E14" s="7" t="s">
        <v>1391</v>
      </c>
      <c r="F14" s="7" t="s">
        <v>1577</v>
      </c>
      <c r="G14" s="7">
        <v>2020</v>
      </c>
      <c r="H14" s="7">
        <v>43930</v>
      </c>
      <c r="I14" s="7" t="s">
        <v>32</v>
      </c>
      <c r="J14" s="7" t="s">
        <v>32</v>
      </c>
      <c r="K14" s="7" t="s">
        <v>1576</v>
      </c>
      <c r="L14" s="7">
        <v>2</v>
      </c>
      <c r="M14" s="7" t="s">
        <v>32</v>
      </c>
      <c r="N14" s="7" t="s">
        <v>34</v>
      </c>
      <c r="O14" s="7" t="s">
        <v>190</v>
      </c>
      <c r="P14" s="7" t="s">
        <v>34</v>
      </c>
      <c r="Q14" s="7" t="s">
        <v>34</v>
      </c>
      <c r="R14" s="7" t="s">
        <v>34</v>
      </c>
      <c r="S14" s="7" t="s">
        <v>34</v>
      </c>
      <c r="T14" s="7" t="s">
        <v>34</v>
      </c>
      <c r="U14" s="7" t="s">
        <v>32</v>
      </c>
      <c r="V14" s="7">
        <v>1</v>
      </c>
      <c r="W14" s="7" t="s">
        <v>32</v>
      </c>
      <c r="X14" s="7" t="s">
        <v>32</v>
      </c>
      <c r="Y14" s="7" t="s">
        <v>32</v>
      </c>
      <c r="Z14" s="7" t="s">
        <v>32</v>
      </c>
      <c r="AA14" s="7">
        <v>32267780</v>
      </c>
      <c r="AB14" s="7">
        <v>1</v>
      </c>
      <c r="AD14" s="7">
        <v>4</v>
      </c>
      <c r="AE14" s="24" t="s">
        <v>1694</v>
      </c>
      <c r="AF14" s="17" t="s">
        <v>1688</v>
      </c>
      <c r="AG14" s="7" t="s">
        <v>1688</v>
      </c>
      <c r="AH14" s="7" t="s">
        <v>1642</v>
      </c>
      <c r="AI14" s="7" t="s">
        <v>1642</v>
      </c>
      <c r="AJ14" s="7" t="s">
        <v>1685</v>
      </c>
      <c r="AK14" s="7">
        <v>235</v>
      </c>
      <c r="AM14" s="7" t="s">
        <v>1685</v>
      </c>
      <c r="AN14" s="7">
        <v>235</v>
      </c>
      <c r="AR14" s="7" t="s">
        <v>1637</v>
      </c>
      <c r="AS14" s="7" t="s">
        <v>1638</v>
      </c>
      <c r="AT14" s="7" t="s">
        <v>1640</v>
      </c>
      <c r="AU14" s="7" t="s">
        <v>178</v>
      </c>
      <c r="AV14" s="7" t="s">
        <v>1697</v>
      </c>
      <c r="AW14" s="7" t="s">
        <v>1687</v>
      </c>
      <c r="AX14" s="7" t="s">
        <v>1686</v>
      </c>
      <c r="AY14" s="7" t="s">
        <v>1695</v>
      </c>
      <c r="AZ14" s="7" t="s">
        <v>1650</v>
      </c>
      <c r="BA14" s="7">
        <v>227</v>
      </c>
      <c r="BB14" s="21">
        <v>217</v>
      </c>
      <c r="BC14" s="21" t="s">
        <v>1702</v>
      </c>
      <c r="BD14" s="22">
        <v>144.32300000000001</v>
      </c>
      <c r="BE14" s="21" t="s">
        <v>1646</v>
      </c>
      <c r="BF14" s="21">
        <f>150.155-BD14</f>
        <v>5.8319999999999936</v>
      </c>
      <c r="BG14" s="21" t="s">
        <v>1707</v>
      </c>
      <c r="BH14" s="21">
        <v>113.744</v>
      </c>
      <c r="BI14" s="7" t="s">
        <v>1646</v>
      </c>
      <c r="BJ14" s="7">
        <f>118.188-BH14</f>
        <v>4.4440000000000026</v>
      </c>
    </row>
    <row r="15" spans="1:64" x14ac:dyDescent="0.2">
      <c r="A15" s="7">
        <v>4</v>
      </c>
      <c r="B15" s="7" t="s">
        <v>1580</v>
      </c>
      <c r="C15" s="7" t="s">
        <v>1579</v>
      </c>
      <c r="D15" s="7" t="s">
        <v>1578</v>
      </c>
      <c r="E15" s="7" t="s">
        <v>1391</v>
      </c>
      <c r="F15" s="7" t="s">
        <v>1577</v>
      </c>
      <c r="G15" s="7">
        <v>2020</v>
      </c>
      <c r="H15" s="7">
        <v>43930</v>
      </c>
      <c r="I15" s="7" t="s">
        <v>32</v>
      </c>
      <c r="J15" s="7" t="s">
        <v>32</v>
      </c>
      <c r="K15" s="7" t="s">
        <v>1576</v>
      </c>
      <c r="L15" s="7">
        <v>2</v>
      </c>
      <c r="M15" s="7" t="s">
        <v>32</v>
      </c>
      <c r="N15" s="7" t="s">
        <v>34</v>
      </c>
      <c r="O15" s="7" t="s">
        <v>190</v>
      </c>
      <c r="P15" s="7" t="s">
        <v>34</v>
      </c>
      <c r="Q15" s="7" t="s">
        <v>34</v>
      </c>
      <c r="R15" s="7" t="s">
        <v>34</v>
      </c>
      <c r="S15" s="7" t="s">
        <v>34</v>
      </c>
      <c r="T15" s="7" t="s">
        <v>34</v>
      </c>
      <c r="U15" s="7" t="s">
        <v>32</v>
      </c>
      <c r="V15" s="7">
        <v>1</v>
      </c>
      <c r="W15" s="7" t="s">
        <v>32</v>
      </c>
      <c r="X15" s="7" t="s">
        <v>32</v>
      </c>
      <c r="Y15" s="7" t="s">
        <v>32</v>
      </c>
      <c r="Z15" s="7" t="s">
        <v>32</v>
      </c>
      <c r="AA15" s="7">
        <v>32267780</v>
      </c>
      <c r="AB15" s="7">
        <v>1</v>
      </c>
      <c r="AD15" s="7">
        <v>4</v>
      </c>
      <c r="AE15" s="24" t="s">
        <v>1694</v>
      </c>
      <c r="AF15" s="17" t="s">
        <v>1688</v>
      </c>
      <c r="AG15" s="7" t="s">
        <v>1688</v>
      </c>
      <c r="AH15" s="7" t="s">
        <v>1642</v>
      </c>
      <c r="AI15" s="7" t="s">
        <v>1642</v>
      </c>
      <c r="AJ15" s="7" t="s">
        <v>1685</v>
      </c>
      <c r="AK15" s="7">
        <v>235</v>
      </c>
      <c r="AM15" s="7" t="s">
        <v>1685</v>
      </c>
      <c r="AN15" s="7">
        <v>235</v>
      </c>
      <c r="AR15" s="7" t="s">
        <v>1637</v>
      </c>
      <c r="AS15" s="7" t="s">
        <v>1638</v>
      </c>
      <c r="AT15" s="7" t="s">
        <v>1640</v>
      </c>
      <c r="AU15" s="7" t="s">
        <v>178</v>
      </c>
      <c r="AV15" s="7" t="s">
        <v>1698</v>
      </c>
      <c r="AW15" s="7" t="s">
        <v>1687</v>
      </c>
      <c r="AX15" s="7" t="s">
        <v>1686</v>
      </c>
      <c r="AY15" s="7" t="s">
        <v>1695</v>
      </c>
      <c r="AZ15" s="7" t="s">
        <v>1650</v>
      </c>
      <c r="BA15" s="7">
        <v>227</v>
      </c>
      <c r="BB15" s="21">
        <v>217</v>
      </c>
      <c r="BC15" s="21" t="s">
        <v>1703</v>
      </c>
      <c r="BD15" s="22">
        <v>99.657700000000006</v>
      </c>
      <c r="BE15" s="21" t="s">
        <v>1646</v>
      </c>
      <c r="BF15" s="21">
        <f>107.205-BD15</f>
        <v>7.5472999999999928</v>
      </c>
      <c r="BG15" s="21" t="s">
        <v>1708</v>
      </c>
      <c r="BH15" s="21">
        <v>79.829400000000007</v>
      </c>
      <c r="BI15" s="7" t="s">
        <v>1646</v>
      </c>
      <c r="BJ15" s="7">
        <f>84.6157-BH15</f>
        <v>4.7862999999999971</v>
      </c>
    </row>
    <row r="16" spans="1:64" x14ac:dyDescent="0.2">
      <c r="A16" s="7">
        <v>4</v>
      </c>
      <c r="B16" s="7" t="s">
        <v>1580</v>
      </c>
      <c r="C16" s="7" t="s">
        <v>1579</v>
      </c>
      <c r="D16" s="7" t="s">
        <v>1578</v>
      </c>
      <c r="E16" s="7" t="s">
        <v>1391</v>
      </c>
      <c r="F16" s="7" t="s">
        <v>1577</v>
      </c>
      <c r="G16" s="7">
        <v>2020</v>
      </c>
      <c r="H16" s="7">
        <v>43930</v>
      </c>
      <c r="I16" s="7" t="s">
        <v>32</v>
      </c>
      <c r="J16" s="7" t="s">
        <v>32</v>
      </c>
      <c r="K16" s="7" t="s">
        <v>1576</v>
      </c>
      <c r="L16" s="7">
        <v>2</v>
      </c>
      <c r="M16" s="7" t="s">
        <v>32</v>
      </c>
      <c r="N16" s="7" t="s">
        <v>34</v>
      </c>
      <c r="O16" s="7" t="s">
        <v>190</v>
      </c>
      <c r="P16" s="7" t="s">
        <v>34</v>
      </c>
      <c r="Q16" s="7" t="s">
        <v>34</v>
      </c>
      <c r="R16" s="7" t="s">
        <v>34</v>
      </c>
      <c r="S16" s="7" t="s">
        <v>34</v>
      </c>
      <c r="T16" s="7" t="s">
        <v>34</v>
      </c>
      <c r="U16" s="7" t="s">
        <v>32</v>
      </c>
      <c r="V16" s="7">
        <v>1</v>
      </c>
      <c r="W16" s="7" t="s">
        <v>32</v>
      </c>
      <c r="X16" s="7" t="s">
        <v>32</v>
      </c>
      <c r="Y16" s="7" t="s">
        <v>32</v>
      </c>
      <c r="Z16" s="7" t="s">
        <v>32</v>
      </c>
      <c r="AA16" s="7">
        <v>32267780</v>
      </c>
      <c r="AB16" s="7">
        <v>1</v>
      </c>
      <c r="AD16" s="7">
        <v>4</v>
      </c>
      <c r="AE16" s="24" t="s">
        <v>1694</v>
      </c>
      <c r="AF16" s="17" t="s">
        <v>1688</v>
      </c>
      <c r="AG16" s="7" t="s">
        <v>1688</v>
      </c>
      <c r="AH16" s="7" t="s">
        <v>1642</v>
      </c>
      <c r="AI16" s="7" t="s">
        <v>1642</v>
      </c>
      <c r="AJ16" s="7" t="s">
        <v>1685</v>
      </c>
      <c r="AK16" s="7">
        <v>235</v>
      </c>
      <c r="AM16" s="7" t="s">
        <v>1685</v>
      </c>
      <c r="AN16" s="7">
        <v>235</v>
      </c>
      <c r="AR16" s="7" t="s">
        <v>1637</v>
      </c>
      <c r="AS16" s="7" t="s">
        <v>1638</v>
      </c>
      <c r="AT16" s="7" t="s">
        <v>1640</v>
      </c>
      <c r="AU16" s="7" t="s">
        <v>178</v>
      </c>
      <c r="AV16" s="7" t="s">
        <v>1699</v>
      </c>
      <c r="AW16" s="7" t="s">
        <v>1687</v>
      </c>
      <c r="AX16" s="7" t="s">
        <v>1686</v>
      </c>
      <c r="AY16" s="7" t="s">
        <v>1695</v>
      </c>
      <c r="AZ16" s="7" t="s">
        <v>1650</v>
      </c>
      <c r="BA16" s="7">
        <v>227</v>
      </c>
      <c r="BB16" s="21">
        <v>217</v>
      </c>
      <c r="BC16" s="21" t="s">
        <v>1704</v>
      </c>
      <c r="BD16" s="22">
        <v>75.231800000000007</v>
      </c>
      <c r="BE16" s="21" t="s">
        <v>1646</v>
      </c>
      <c r="BF16" s="21">
        <f>81.0641-BD16</f>
        <v>5.8322999999999894</v>
      </c>
      <c r="BG16" s="21" t="s">
        <v>1709</v>
      </c>
      <c r="BH16" s="21">
        <v>45.9146</v>
      </c>
      <c r="BI16" s="7" t="s">
        <v>1646</v>
      </c>
      <c r="BJ16" s="7">
        <f>50.3594-BH16</f>
        <v>4.4448000000000008</v>
      </c>
    </row>
    <row r="17" spans="1:63" x14ac:dyDescent="0.2">
      <c r="A17" s="7">
        <v>4</v>
      </c>
      <c r="B17" s="7" t="s">
        <v>1580</v>
      </c>
      <c r="C17" s="7" t="s">
        <v>1579</v>
      </c>
      <c r="D17" s="7" t="s">
        <v>1578</v>
      </c>
      <c r="E17" s="7" t="s">
        <v>1391</v>
      </c>
      <c r="F17" s="7" t="s">
        <v>1577</v>
      </c>
      <c r="G17" s="7">
        <v>2020</v>
      </c>
      <c r="H17" s="7">
        <v>43930</v>
      </c>
      <c r="I17" s="7" t="s">
        <v>32</v>
      </c>
      <c r="J17" s="7" t="s">
        <v>32</v>
      </c>
      <c r="K17" s="7" t="s">
        <v>1576</v>
      </c>
      <c r="L17" s="7">
        <v>2</v>
      </c>
      <c r="M17" s="7" t="s">
        <v>32</v>
      </c>
      <c r="N17" s="7" t="s">
        <v>34</v>
      </c>
      <c r="O17" s="7" t="s">
        <v>190</v>
      </c>
      <c r="P17" s="7" t="s">
        <v>34</v>
      </c>
      <c r="Q17" s="7" t="s">
        <v>34</v>
      </c>
      <c r="R17" s="7" t="s">
        <v>34</v>
      </c>
      <c r="S17" s="7" t="s">
        <v>34</v>
      </c>
      <c r="T17" s="7" t="s">
        <v>34</v>
      </c>
      <c r="U17" s="7" t="s">
        <v>32</v>
      </c>
      <c r="V17" s="7">
        <v>1</v>
      </c>
      <c r="W17" s="7" t="s">
        <v>32</v>
      </c>
      <c r="X17" s="7" t="s">
        <v>32</v>
      </c>
      <c r="Y17" s="7" t="s">
        <v>32</v>
      </c>
      <c r="Z17" s="7" t="s">
        <v>32</v>
      </c>
      <c r="AA17" s="7">
        <v>32267780</v>
      </c>
      <c r="AB17" s="7">
        <v>1</v>
      </c>
      <c r="AD17" s="7">
        <v>4</v>
      </c>
      <c r="AE17" s="24" t="s">
        <v>1694</v>
      </c>
      <c r="AF17" s="17" t="s">
        <v>1688</v>
      </c>
      <c r="AG17" s="7" t="s">
        <v>1688</v>
      </c>
      <c r="AH17" s="7" t="s">
        <v>1642</v>
      </c>
      <c r="AI17" s="7" t="s">
        <v>1642</v>
      </c>
      <c r="AJ17" s="7" t="s">
        <v>1685</v>
      </c>
      <c r="AK17" s="7">
        <v>235</v>
      </c>
      <c r="AM17" s="7" t="s">
        <v>1685</v>
      </c>
      <c r="AN17" s="7">
        <v>235</v>
      </c>
      <c r="AR17" s="7" t="s">
        <v>1637</v>
      </c>
      <c r="AS17" s="7" t="s">
        <v>1638</v>
      </c>
      <c r="AT17" s="7" t="s">
        <v>1640</v>
      </c>
      <c r="AU17" s="7" t="s">
        <v>178</v>
      </c>
      <c r="AV17" s="7" t="s">
        <v>1700</v>
      </c>
      <c r="AW17" s="7" t="s">
        <v>1687</v>
      </c>
      <c r="AX17" s="7" t="s">
        <v>1686</v>
      </c>
      <c r="AY17" s="7" t="s">
        <v>1695</v>
      </c>
      <c r="AZ17" s="7" t="s">
        <v>1650</v>
      </c>
      <c r="BA17" s="7">
        <v>227</v>
      </c>
      <c r="BB17" s="21">
        <v>217</v>
      </c>
      <c r="BC17" s="21" t="s">
        <v>1705</v>
      </c>
      <c r="BD17" s="22">
        <v>59.040300000000002</v>
      </c>
      <c r="BE17" s="21" t="s">
        <v>1646</v>
      </c>
      <c r="BF17" s="21">
        <f>65.5597-BD17</f>
        <v>6.5194000000000045</v>
      </c>
      <c r="BG17" s="21" t="s">
        <v>1710</v>
      </c>
      <c r="BH17" s="21">
        <v>26.0169</v>
      </c>
      <c r="BI17" s="7" t="s">
        <v>1646</v>
      </c>
      <c r="BJ17" s="7">
        <f>30.1199-BH17</f>
        <v>4.1030000000000015</v>
      </c>
    </row>
    <row r="18" spans="1:63" x14ac:dyDescent="0.2">
      <c r="A18" s="7">
        <v>4</v>
      </c>
      <c r="B18" s="7" t="s">
        <v>1580</v>
      </c>
      <c r="C18" s="7" t="s">
        <v>1579</v>
      </c>
      <c r="D18" s="7" t="s">
        <v>1578</v>
      </c>
      <c r="E18" s="7" t="s">
        <v>1391</v>
      </c>
      <c r="F18" s="7" t="s">
        <v>1577</v>
      </c>
      <c r="G18" s="7">
        <v>2020</v>
      </c>
      <c r="H18" s="7">
        <v>43930</v>
      </c>
      <c r="I18" s="7" t="s">
        <v>32</v>
      </c>
      <c r="J18" s="7" t="s">
        <v>32</v>
      </c>
      <c r="K18" s="7" t="s">
        <v>1576</v>
      </c>
      <c r="L18" s="7">
        <v>2</v>
      </c>
      <c r="M18" s="7" t="s">
        <v>32</v>
      </c>
      <c r="N18" s="7" t="s">
        <v>34</v>
      </c>
      <c r="O18" s="7" t="s">
        <v>190</v>
      </c>
      <c r="P18" s="7" t="s">
        <v>34</v>
      </c>
      <c r="Q18" s="7" t="s">
        <v>34</v>
      </c>
      <c r="R18" s="7" t="s">
        <v>34</v>
      </c>
      <c r="S18" s="7" t="s">
        <v>34</v>
      </c>
      <c r="T18" s="7" t="s">
        <v>34</v>
      </c>
      <c r="U18" s="7" t="s">
        <v>32</v>
      </c>
      <c r="V18" s="7">
        <v>1</v>
      </c>
      <c r="W18" s="7" t="s">
        <v>32</v>
      </c>
      <c r="X18" s="7" t="s">
        <v>32</v>
      </c>
      <c r="Y18" s="7" t="s">
        <v>32</v>
      </c>
      <c r="Z18" s="7" t="s">
        <v>32</v>
      </c>
      <c r="AA18" s="7">
        <v>32267780</v>
      </c>
      <c r="AB18" s="7">
        <v>1</v>
      </c>
      <c r="AD18" s="7">
        <v>4</v>
      </c>
      <c r="AE18" s="24" t="s">
        <v>1694</v>
      </c>
      <c r="AF18" s="17" t="s">
        <v>1688</v>
      </c>
      <c r="AG18" s="7" t="s">
        <v>1688</v>
      </c>
      <c r="AH18" s="7" t="s">
        <v>1642</v>
      </c>
      <c r="AI18" s="7" t="s">
        <v>1642</v>
      </c>
      <c r="AJ18" s="7" t="s">
        <v>1685</v>
      </c>
      <c r="AK18" s="7">
        <v>235</v>
      </c>
      <c r="AM18" s="7" t="s">
        <v>1685</v>
      </c>
      <c r="AN18" s="7">
        <v>235</v>
      </c>
      <c r="AR18" s="7" t="s">
        <v>1637</v>
      </c>
      <c r="AS18" s="7" t="s">
        <v>1638</v>
      </c>
      <c r="AT18" s="7" t="s">
        <v>1640</v>
      </c>
      <c r="AU18" s="7" t="s">
        <v>178</v>
      </c>
      <c r="AV18" s="7" t="s">
        <v>1696</v>
      </c>
      <c r="AW18" s="7" t="s">
        <v>1687</v>
      </c>
      <c r="AX18" s="7" t="s">
        <v>1686</v>
      </c>
      <c r="AY18" s="7" t="s">
        <v>1711</v>
      </c>
      <c r="AZ18" s="7" t="s">
        <v>1650</v>
      </c>
      <c r="BA18" s="7">
        <v>227</v>
      </c>
      <c r="BB18" s="21">
        <v>217</v>
      </c>
      <c r="BC18" s="21" t="s">
        <v>1712</v>
      </c>
      <c r="BD18" s="22">
        <v>18.672699999999999</v>
      </c>
      <c r="BE18" s="21" t="s">
        <v>1646</v>
      </c>
      <c r="BF18" s="21">
        <f>20.2728-BD18</f>
        <v>1.6001000000000012</v>
      </c>
      <c r="BG18" s="21" t="s">
        <v>1713</v>
      </c>
      <c r="BH18" s="21">
        <v>27.4849</v>
      </c>
      <c r="BI18" s="7" t="s">
        <v>1646</v>
      </c>
      <c r="BJ18" s="7">
        <f>29.594-BH18</f>
        <v>2.1091000000000015</v>
      </c>
    </row>
    <row r="19" spans="1:63" x14ac:dyDescent="0.2">
      <c r="A19" s="7">
        <v>4</v>
      </c>
      <c r="B19" s="7" t="s">
        <v>1580</v>
      </c>
      <c r="C19" s="7" t="s">
        <v>1579</v>
      </c>
      <c r="D19" s="7" t="s">
        <v>1578</v>
      </c>
      <c r="E19" s="7" t="s">
        <v>1391</v>
      </c>
      <c r="F19" s="7" t="s">
        <v>1577</v>
      </c>
      <c r="G19" s="7">
        <v>2020</v>
      </c>
      <c r="H19" s="7">
        <v>43930</v>
      </c>
      <c r="I19" s="7" t="s">
        <v>32</v>
      </c>
      <c r="J19" s="7" t="s">
        <v>32</v>
      </c>
      <c r="K19" s="7" t="s">
        <v>1576</v>
      </c>
      <c r="L19" s="7">
        <v>2</v>
      </c>
      <c r="M19" s="7" t="s">
        <v>32</v>
      </c>
      <c r="N19" s="7" t="s">
        <v>34</v>
      </c>
      <c r="O19" s="7" t="s">
        <v>190</v>
      </c>
      <c r="P19" s="7" t="s">
        <v>34</v>
      </c>
      <c r="Q19" s="7" t="s">
        <v>34</v>
      </c>
      <c r="R19" s="7" t="s">
        <v>34</v>
      </c>
      <c r="S19" s="7" t="s">
        <v>34</v>
      </c>
      <c r="T19" s="7" t="s">
        <v>34</v>
      </c>
      <c r="U19" s="7" t="s">
        <v>32</v>
      </c>
      <c r="V19" s="7">
        <v>1</v>
      </c>
      <c r="W19" s="7" t="s">
        <v>32</v>
      </c>
      <c r="X19" s="7" t="s">
        <v>32</v>
      </c>
      <c r="Y19" s="7" t="s">
        <v>32</v>
      </c>
      <c r="Z19" s="7" t="s">
        <v>32</v>
      </c>
      <c r="AA19" s="7">
        <v>32267780</v>
      </c>
      <c r="AB19" s="7">
        <v>1</v>
      </c>
      <c r="AD19" s="7">
        <v>4</v>
      </c>
      <c r="AE19" s="24" t="s">
        <v>1694</v>
      </c>
      <c r="AF19" s="17" t="s">
        <v>1688</v>
      </c>
      <c r="AG19" s="7" t="s">
        <v>1688</v>
      </c>
      <c r="AH19" s="7" t="s">
        <v>1642</v>
      </c>
      <c r="AI19" s="7" t="s">
        <v>1642</v>
      </c>
      <c r="AJ19" s="7" t="s">
        <v>1685</v>
      </c>
      <c r="AK19" s="7">
        <v>235</v>
      </c>
      <c r="AM19" s="7" t="s">
        <v>1685</v>
      </c>
      <c r="AN19" s="7">
        <v>235</v>
      </c>
      <c r="AR19" s="7" t="s">
        <v>1637</v>
      </c>
      <c r="AS19" s="7" t="s">
        <v>1638</v>
      </c>
      <c r="AT19" s="7" t="s">
        <v>1640</v>
      </c>
      <c r="AU19" s="7" t="s">
        <v>178</v>
      </c>
      <c r="AV19" s="7" t="s">
        <v>1696</v>
      </c>
      <c r="AW19" s="7" t="s">
        <v>1687</v>
      </c>
      <c r="AX19" s="7" t="s">
        <v>1686</v>
      </c>
      <c r="AY19" s="7" t="s">
        <v>1714</v>
      </c>
      <c r="AZ19" s="7" t="s">
        <v>1650</v>
      </c>
      <c r="BA19" s="7">
        <v>227</v>
      </c>
      <c r="BB19" s="21">
        <v>217</v>
      </c>
      <c r="BC19" s="21" t="s">
        <v>1715</v>
      </c>
      <c r="BD19" s="22">
        <v>23.7362</v>
      </c>
      <c r="BE19" s="21" t="s">
        <v>1646</v>
      </c>
      <c r="BF19" s="21">
        <f>26.2177-BD19</f>
        <v>2.4815000000000005</v>
      </c>
      <c r="BG19" s="21" t="s">
        <v>1716</v>
      </c>
      <c r="BH19" s="21">
        <v>32.820099999999996</v>
      </c>
      <c r="BI19" s="7" t="s">
        <v>1646</v>
      </c>
      <c r="BJ19" s="7">
        <f>35.2098-BH19</f>
        <v>2.3897000000000048</v>
      </c>
    </row>
    <row r="20" spans="1:63" s="21" customFormat="1" x14ac:dyDescent="0.2">
      <c r="A20" s="21">
        <v>5</v>
      </c>
      <c r="B20" s="21" t="s">
        <v>1575</v>
      </c>
      <c r="C20" s="21" t="s">
        <v>1574</v>
      </c>
      <c r="D20" s="21" t="s">
        <v>1573</v>
      </c>
      <c r="E20" s="21" t="s">
        <v>1219</v>
      </c>
      <c r="F20" s="21" t="s">
        <v>153</v>
      </c>
      <c r="G20" s="21">
        <v>2020</v>
      </c>
      <c r="H20" s="21">
        <v>43904</v>
      </c>
      <c r="I20" s="21" t="s">
        <v>32</v>
      </c>
      <c r="J20" s="21" t="s">
        <v>32</v>
      </c>
      <c r="K20" s="21" t="s">
        <v>1572</v>
      </c>
      <c r="L20" s="21">
        <v>2</v>
      </c>
      <c r="M20" s="21" t="s">
        <v>32</v>
      </c>
      <c r="N20" s="21" t="s">
        <v>34</v>
      </c>
      <c r="O20" s="21" t="s">
        <v>34</v>
      </c>
      <c r="P20" s="21" t="s">
        <v>34</v>
      </c>
      <c r="Q20" s="21" t="s">
        <v>34</v>
      </c>
      <c r="R20" s="21" t="s">
        <v>34</v>
      </c>
      <c r="S20" s="21" t="s">
        <v>34</v>
      </c>
      <c r="T20" s="21" t="s">
        <v>34</v>
      </c>
      <c r="U20" s="21" t="s">
        <v>32</v>
      </c>
      <c r="V20" s="21">
        <v>1</v>
      </c>
      <c r="W20" s="21" t="s">
        <v>32</v>
      </c>
      <c r="X20" s="21" t="s">
        <v>32</v>
      </c>
      <c r="Y20" s="21" t="s">
        <v>32</v>
      </c>
      <c r="Z20" s="21" t="s">
        <v>32</v>
      </c>
      <c r="AA20" s="21">
        <v>32165120</v>
      </c>
      <c r="AB20" s="21">
        <v>1</v>
      </c>
      <c r="AD20" s="21">
        <v>4</v>
      </c>
      <c r="AE20" s="23">
        <v>16</v>
      </c>
      <c r="AF20" s="21">
        <v>8</v>
      </c>
      <c r="AG20" s="21">
        <v>8</v>
      </c>
      <c r="AH20" s="21" t="s">
        <v>1642</v>
      </c>
      <c r="AI20" s="21" t="s">
        <v>1642</v>
      </c>
      <c r="AJ20" s="21" t="s">
        <v>1644</v>
      </c>
      <c r="AK20" s="21" t="s">
        <v>1646</v>
      </c>
      <c r="AL20" s="21" t="s">
        <v>1646</v>
      </c>
      <c r="AM20" s="21" t="s">
        <v>1644</v>
      </c>
      <c r="AN20" s="21" t="s">
        <v>1646</v>
      </c>
      <c r="AO20" s="21" t="s">
        <v>1646</v>
      </c>
      <c r="AP20" s="21">
        <v>7</v>
      </c>
      <c r="AQ20" s="21" t="s">
        <v>1645</v>
      </c>
      <c r="AR20" s="21" t="s">
        <v>1637</v>
      </c>
      <c r="AS20" s="21" t="s">
        <v>1638</v>
      </c>
      <c r="AT20" s="21" t="s">
        <v>1640</v>
      </c>
      <c r="AU20" s="21" t="s">
        <v>178</v>
      </c>
      <c r="AV20" s="21" t="s">
        <v>1718</v>
      </c>
      <c r="AW20" s="21" t="s">
        <v>1639</v>
      </c>
      <c r="AX20" s="21" t="s">
        <v>1717</v>
      </c>
      <c r="AY20" s="21" t="s">
        <v>1662</v>
      </c>
      <c r="AZ20" s="21" t="s">
        <v>1650</v>
      </c>
      <c r="BA20" s="21">
        <v>228</v>
      </c>
      <c r="BB20" s="21">
        <v>218</v>
      </c>
      <c r="BC20" s="21" t="s">
        <v>1751</v>
      </c>
      <c r="BD20" s="21">
        <v>74.303799999999995</v>
      </c>
      <c r="BF20" s="21">
        <f>77.9735-BD20</f>
        <v>3.669700000000006</v>
      </c>
      <c r="BG20" s="21" t="s">
        <v>1754</v>
      </c>
      <c r="BH20" s="21">
        <v>68.432599999999994</v>
      </c>
      <c r="BJ20" s="21">
        <f>72.1023-BH20</f>
        <v>3.669700000000006</v>
      </c>
      <c r="BK20" s="40"/>
    </row>
    <row r="21" spans="1:63" s="21" customFormat="1" x14ac:dyDescent="0.2">
      <c r="A21" s="21">
        <v>5</v>
      </c>
      <c r="B21" s="21" t="s">
        <v>1575</v>
      </c>
      <c r="C21" s="21" t="s">
        <v>1574</v>
      </c>
      <c r="D21" s="21" t="s">
        <v>1573</v>
      </c>
      <c r="E21" s="21" t="s">
        <v>1219</v>
      </c>
      <c r="F21" s="21" t="s">
        <v>153</v>
      </c>
      <c r="G21" s="21">
        <v>2020</v>
      </c>
      <c r="H21" s="21">
        <v>43904</v>
      </c>
      <c r="I21" s="21" t="s">
        <v>32</v>
      </c>
      <c r="J21" s="21" t="s">
        <v>32</v>
      </c>
      <c r="K21" s="21" t="s">
        <v>1572</v>
      </c>
      <c r="L21" s="21">
        <v>2</v>
      </c>
      <c r="M21" s="21" t="s">
        <v>32</v>
      </c>
      <c r="N21" s="21" t="s">
        <v>34</v>
      </c>
      <c r="O21" s="21" t="s">
        <v>34</v>
      </c>
      <c r="P21" s="21" t="s">
        <v>34</v>
      </c>
      <c r="Q21" s="21" t="s">
        <v>34</v>
      </c>
      <c r="R21" s="21" t="s">
        <v>34</v>
      </c>
      <c r="S21" s="21" t="s">
        <v>34</v>
      </c>
      <c r="T21" s="21" t="s">
        <v>34</v>
      </c>
      <c r="U21" s="21" t="s">
        <v>32</v>
      </c>
      <c r="V21" s="21">
        <v>1</v>
      </c>
      <c r="W21" s="21" t="s">
        <v>32</v>
      </c>
      <c r="X21" s="21" t="s">
        <v>32</v>
      </c>
      <c r="Y21" s="21" t="s">
        <v>32</v>
      </c>
      <c r="Z21" s="21" t="s">
        <v>32</v>
      </c>
      <c r="AA21" s="21">
        <v>32165120</v>
      </c>
      <c r="AB21" s="21">
        <v>1</v>
      </c>
      <c r="AD21" s="21">
        <v>4</v>
      </c>
      <c r="AE21" s="23">
        <v>16</v>
      </c>
      <c r="AF21" s="21">
        <v>8</v>
      </c>
      <c r="AG21" s="21">
        <v>8</v>
      </c>
      <c r="AH21" s="21" t="s">
        <v>1642</v>
      </c>
      <c r="AI21" s="21" t="s">
        <v>1642</v>
      </c>
      <c r="AJ21" s="21" t="s">
        <v>1644</v>
      </c>
      <c r="AK21" s="21" t="s">
        <v>1646</v>
      </c>
      <c r="AL21" s="21" t="s">
        <v>1646</v>
      </c>
      <c r="AM21" s="21" t="s">
        <v>1644</v>
      </c>
      <c r="AN21" s="21" t="s">
        <v>1646</v>
      </c>
      <c r="AO21" s="21" t="s">
        <v>1646</v>
      </c>
      <c r="AP21" s="21">
        <v>7</v>
      </c>
      <c r="AQ21" s="21" t="s">
        <v>1645</v>
      </c>
      <c r="AR21" s="21" t="s">
        <v>1637</v>
      </c>
      <c r="AS21" s="21" t="s">
        <v>1638</v>
      </c>
      <c r="AT21" s="21" t="s">
        <v>1640</v>
      </c>
      <c r="AU21" s="21" t="s">
        <v>178</v>
      </c>
      <c r="AV21" s="21" t="s">
        <v>1718</v>
      </c>
      <c r="AW21" s="21" t="s">
        <v>1639</v>
      </c>
      <c r="AX21" s="21" t="s">
        <v>1717</v>
      </c>
      <c r="AY21" s="21" t="s">
        <v>1662</v>
      </c>
      <c r="AZ21" s="21" t="s">
        <v>1650</v>
      </c>
      <c r="BA21" s="21">
        <v>228</v>
      </c>
      <c r="BB21" s="21">
        <v>218</v>
      </c>
      <c r="BC21" s="21" t="s">
        <v>1752</v>
      </c>
      <c r="BD21" s="21">
        <v>79.1434</v>
      </c>
      <c r="BF21" s="21">
        <f>83.3024-BD21</f>
        <v>4.159000000000006</v>
      </c>
      <c r="BG21" s="21" t="s">
        <v>1755</v>
      </c>
      <c r="BH21" s="21">
        <v>82.323800000000006</v>
      </c>
      <c r="BJ21" s="21">
        <f>85.2596-BH21</f>
        <v>2.9358000000000004</v>
      </c>
      <c r="BK21" s="40"/>
    </row>
    <row r="22" spans="1:63" s="21" customFormat="1" x14ac:dyDescent="0.2">
      <c r="A22" s="21">
        <v>5</v>
      </c>
      <c r="B22" s="21" t="s">
        <v>1575</v>
      </c>
      <c r="C22" s="21" t="s">
        <v>1574</v>
      </c>
      <c r="D22" s="21" t="s">
        <v>1573</v>
      </c>
      <c r="E22" s="21" t="s">
        <v>1219</v>
      </c>
      <c r="F22" s="21" t="s">
        <v>153</v>
      </c>
      <c r="G22" s="21">
        <v>2020</v>
      </c>
      <c r="H22" s="21">
        <v>43904</v>
      </c>
      <c r="I22" s="21" t="s">
        <v>32</v>
      </c>
      <c r="J22" s="21" t="s">
        <v>32</v>
      </c>
      <c r="K22" s="21" t="s">
        <v>1572</v>
      </c>
      <c r="L22" s="21">
        <v>2</v>
      </c>
      <c r="M22" s="21" t="s">
        <v>32</v>
      </c>
      <c r="N22" s="21" t="s">
        <v>34</v>
      </c>
      <c r="O22" s="21" t="s">
        <v>34</v>
      </c>
      <c r="P22" s="21" t="s">
        <v>34</v>
      </c>
      <c r="Q22" s="21" t="s">
        <v>34</v>
      </c>
      <c r="R22" s="21" t="s">
        <v>34</v>
      </c>
      <c r="S22" s="21" t="s">
        <v>34</v>
      </c>
      <c r="T22" s="21" t="s">
        <v>34</v>
      </c>
      <c r="U22" s="21" t="s">
        <v>32</v>
      </c>
      <c r="V22" s="21">
        <v>1</v>
      </c>
      <c r="W22" s="21" t="s">
        <v>32</v>
      </c>
      <c r="X22" s="21" t="s">
        <v>32</v>
      </c>
      <c r="Y22" s="21" t="s">
        <v>32</v>
      </c>
      <c r="Z22" s="21" t="s">
        <v>32</v>
      </c>
      <c r="AA22" s="21">
        <v>32165120</v>
      </c>
      <c r="AB22" s="21">
        <v>1</v>
      </c>
      <c r="AD22" s="21">
        <v>4</v>
      </c>
      <c r="AE22" s="23">
        <v>16</v>
      </c>
      <c r="AF22" s="21">
        <v>8</v>
      </c>
      <c r="AG22" s="21">
        <v>8</v>
      </c>
      <c r="AH22" s="21" t="s">
        <v>1642</v>
      </c>
      <c r="AI22" s="21" t="s">
        <v>1642</v>
      </c>
      <c r="AJ22" s="21" t="s">
        <v>1644</v>
      </c>
      <c r="AK22" s="21" t="s">
        <v>1646</v>
      </c>
      <c r="AL22" s="21" t="s">
        <v>1646</v>
      </c>
      <c r="AM22" s="21" t="s">
        <v>1644</v>
      </c>
      <c r="AN22" s="21" t="s">
        <v>1646</v>
      </c>
      <c r="AO22" s="21" t="s">
        <v>1646</v>
      </c>
      <c r="AP22" s="21">
        <v>7</v>
      </c>
      <c r="AQ22" s="21" t="s">
        <v>1645</v>
      </c>
      <c r="AR22" s="21" t="s">
        <v>1637</v>
      </c>
      <c r="AS22" s="21" t="s">
        <v>1638</v>
      </c>
      <c r="AT22" s="21" t="s">
        <v>1640</v>
      </c>
      <c r="AU22" s="21" t="s">
        <v>178</v>
      </c>
      <c r="AV22" s="21" t="s">
        <v>1876</v>
      </c>
      <c r="AW22" s="21" t="s">
        <v>1639</v>
      </c>
      <c r="AX22" s="21" t="s">
        <v>1717</v>
      </c>
      <c r="AY22" s="21" t="s">
        <v>1664</v>
      </c>
      <c r="AZ22" s="21" t="s">
        <v>1650</v>
      </c>
      <c r="BA22" s="21">
        <v>228</v>
      </c>
      <c r="BB22" s="21">
        <v>218</v>
      </c>
      <c r="BC22" s="21" t="s">
        <v>1753</v>
      </c>
      <c r="BD22" s="21">
        <v>70.648099999999999</v>
      </c>
      <c r="BF22" s="21">
        <f>BD22-61.6234</f>
        <v>9.0247000000000028</v>
      </c>
      <c r="BG22" s="21" t="s">
        <v>1756</v>
      </c>
      <c r="BH22" s="21">
        <v>75.525599999999997</v>
      </c>
      <c r="BJ22" s="21">
        <f>79.4283-BH22</f>
        <v>3.9026999999999958</v>
      </c>
      <c r="BK22" s="40"/>
    </row>
    <row r="23" spans="1:63" s="21" customFormat="1" x14ac:dyDescent="0.2">
      <c r="A23" s="21">
        <v>5</v>
      </c>
      <c r="B23" s="21" t="s">
        <v>1575</v>
      </c>
      <c r="C23" s="21" t="s">
        <v>1574</v>
      </c>
      <c r="D23" s="21" t="s">
        <v>1573</v>
      </c>
      <c r="E23" s="21" t="s">
        <v>1219</v>
      </c>
      <c r="F23" s="21" t="s">
        <v>153</v>
      </c>
      <c r="G23" s="21">
        <v>2020</v>
      </c>
      <c r="H23" s="21">
        <v>43904</v>
      </c>
      <c r="I23" s="21" t="s">
        <v>32</v>
      </c>
      <c r="J23" s="21" t="s">
        <v>32</v>
      </c>
      <c r="K23" s="21" t="s">
        <v>1572</v>
      </c>
      <c r="L23" s="21">
        <v>2</v>
      </c>
      <c r="M23" s="21" t="s">
        <v>32</v>
      </c>
      <c r="N23" s="21" t="s">
        <v>34</v>
      </c>
      <c r="O23" s="21" t="s">
        <v>34</v>
      </c>
      <c r="P23" s="21" t="s">
        <v>34</v>
      </c>
      <c r="Q23" s="21" t="s">
        <v>34</v>
      </c>
      <c r="R23" s="21" t="s">
        <v>34</v>
      </c>
      <c r="S23" s="21" t="s">
        <v>34</v>
      </c>
      <c r="T23" s="21" t="s">
        <v>34</v>
      </c>
      <c r="U23" s="21" t="s">
        <v>32</v>
      </c>
      <c r="V23" s="21">
        <v>1</v>
      </c>
      <c r="W23" s="21" t="s">
        <v>32</v>
      </c>
      <c r="X23" s="21" t="s">
        <v>32</v>
      </c>
      <c r="Y23" s="21" t="s">
        <v>32</v>
      </c>
      <c r="Z23" s="21" t="s">
        <v>32</v>
      </c>
      <c r="AA23" s="21">
        <v>32165120</v>
      </c>
      <c r="AB23" s="21">
        <v>1</v>
      </c>
      <c r="AD23" s="21">
        <v>4</v>
      </c>
      <c r="AE23" s="23">
        <v>16</v>
      </c>
      <c r="AF23" s="21">
        <v>8</v>
      </c>
      <c r="AG23" s="21">
        <v>8</v>
      </c>
      <c r="AH23" s="21" t="s">
        <v>1642</v>
      </c>
      <c r="AI23" s="21" t="s">
        <v>1642</v>
      </c>
      <c r="AJ23" s="21" t="s">
        <v>1644</v>
      </c>
      <c r="AK23" s="21" t="s">
        <v>1646</v>
      </c>
      <c r="AL23" s="21" t="s">
        <v>1646</v>
      </c>
      <c r="AM23" s="21" t="s">
        <v>1644</v>
      </c>
      <c r="AN23" s="21" t="s">
        <v>1646</v>
      </c>
      <c r="AO23" s="21" t="s">
        <v>1646</v>
      </c>
      <c r="AP23" s="21">
        <v>7</v>
      </c>
      <c r="AQ23" s="21" t="s">
        <v>1645</v>
      </c>
      <c r="AR23" s="21" t="s">
        <v>1637</v>
      </c>
      <c r="AS23" s="21" t="s">
        <v>1638</v>
      </c>
      <c r="AT23" s="21" t="s">
        <v>1640</v>
      </c>
      <c r="AU23" s="21" t="s">
        <v>178</v>
      </c>
      <c r="AV23" s="21" t="s">
        <v>1876</v>
      </c>
      <c r="AW23" s="21" t="s">
        <v>1639</v>
      </c>
      <c r="AX23" s="21" t="s">
        <v>1717</v>
      </c>
      <c r="AY23" s="21" t="s">
        <v>1664</v>
      </c>
      <c r="AZ23" s="21" t="s">
        <v>1650</v>
      </c>
      <c r="BA23" s="21">
        <v>228</v>
      </c>
      <c r="BB23" s="21">
        <v>218</v>
      </c>
      <c r="BC23" s="21" t="s">
        <v>1654</v>
      </c>
      <c r="BD23" s="21">
        <v>53.494999999999997</v>
      </c>
      <c r="BF23" s="21">
        <f>BD23-49.1044</f>
        <v>4.3905999999999992</v>
      </c>
      <c r="BG23" s="21" t="s">
        <v>1655</v>
      </c>
      <c r="BH23" s="21">
        <v>58.616700000000002</v>
      </c>
      <c r="BJ23" s="21">
        <f>67.3972-BH23</f>
        <v>8.7804999999999964</v>
      </c>
      <c r="BK23" s="40"/>
    </row>
    <row r="24" spans="1:63" s="21" customFormat="1" x14ac:dyDescent="0.2">
      <c r="A24" s="21">
        <v>5</v>
      </c>
      <c r="B24" s="21" t="s">
        <v>1575</v>
      </c>
      <c r="C24" s="21" t="s">
        <v>1574</v>
      </c>
      <c r="D24" s="21" t="s">
        <v>1573</v>
      </c>
      <c r="E24" s="21" t="s">
        <v>1219</v>
      </c>
      <c r="F24" s="21" t="s">
        <v>153</v>
      </c>
      <c r="G24" s="21">
        <v>2020</v>
      </c>
      <c r="H24" s="21">
        <v>43904</v>
      </c>
      <c r="I24" s="21" t="s">
        <v>32</v>
      </c>
      <c r="J24" s="21" t="s">
        <v>32</v>
      </c>
      <c r="K24" s="21" t="s">
        <v>1572</v>
      </c>
      <c r="L24" s="21">
        <v>2</v>
      </c>
      <c r="M24" s="21" t="s">
        <v>32</v>
      </c>
      <c r="N24" s="21" t="s">
        <v>34</v>
      </c>
      <c r="O24" s="21" t="s">
        <v>34</v>
      </c>
      <c r="P24" s="21" t="s">
        <v>34</v>
      </c>
      <c r="Q24" s="21" t="s">
        <v>34</v>
      </c>
      <c r="R24" s="21" t="s">
        <v>34</v>
      </c>
      <c r="S24" s="21" t="s">
        <v>34</v>
      </c>
      <c r="T24" s="21" t="s">
        <v>34</v>
      </c>
      <c r="U24" s="21" t="s">
        <v>32</v>
      </c>
      <c r="V24" s="21">
        <v>1</v>
      </c>
      <c r="W24" s="21" t="s">
        <v>32</v>
      </c>
      <c r="X24" s="21" t="s">
        <v>32</v>
      </c>
      <c r="Y24" s="21" t="s">
        <v>32</v>
      </c>
      <c r="Z24" s="21" t="s">
        <v>32</v>
      </c>
      <c r="AA24" s="21">
        <v>32165120</v>
      </c>
      <c r="AB24" s="21">
        <v>1</v>
      </c>
      <c r="AD24" s="21">
        <v>4</v>
      </c>
      <c r="AE24" s="23">
        <v>16</v>
      </c>
      <c r="AF24" s="21">
        <v>8</v>
      </c>
      <c r="AG24" s="21">
        <v>8</v>
      </c>
      <c r="AH24" s="21" t="s">
        <v>1642</v>
      </c>
      <c r="AI24" s="21" t="s">
        <v>1642</v>
      </c>
      <c r="AJ24" s="21" t="s">
        <v>1644</v>
      </c>
      <c r="AK24" s="21" t="s">
        <v>1646</v>
      </c>
      <c r="AL24" s="21" t="s">
        <v>1646</v>
      </c>
      <c r="AM24" s="21" t="s">
        <v>1644</v>
      </c>
      <c r="AN24" s="21" t="s">
        <v>1646</v>
      </c>
      <c r="AO24" s="21" t="s">
        <v>1646</v>
      </c>
      <c r="AP24" s="21">
        <v>7</v>
      </c>
      <c r="AQ24" s="21" t="s">
        <v>1645</v>
      </c>
      <c r="AR24" s="21" t="s">
        <v>1637</v>
      </c>
      <c r="AS24" s="21" t="s">
        <v>1638</v>
      </c>
      <c r="AT24" s="21" t="s">
        <v>1640</v>
      </c>
      <c r="AU24" s="21" t="s">
        <v>178</v>
      </c>
      <c r="AV24" s="21" t="s">
        <v>1876</v>
      </c>
      <c r="AW24" s="21" t="s">
        <v>1639</v>
      </c>
      <c r="AX24" s="21" t="s">
        <v>1717</v>
      </c>
      <c r="AY24" s="21" t="s">
        <v>1664</v>
      </c>
      <c r="AZ24" s="21" t="s">
        <v>1650</v>
      </c>
      <c r="BA24" s="21">
        <v>228</v>
      </c>
      <c r="BB24" s="21">
        <v>218</v>
      </c>
      <c r="BC24" s="21" t="s">
        <v>1656</v>
      </c>
      <c r="BD24" s="21">
        <v>49.756300000000003</v>
      </c>
      <c r="BF24" s="21">
        <f>BD24-42.6834</f>
        <v>7.0729000000000042</v>
      </c>
      <c r="BG24" s="21" t="s">
        <v>1657</v>
      </c>
      <c r="BH24" s="21">
        <v>38.049199999999999</v>
      </c>
      <c r="BJ24" s="21">
        <f>BH24-29.7562</f>
        <v>8.2929999999999993</v>
      </c>
      <c r="BK24" s="40"/>
    </row>
    <row r="25" spans="1:63" s="21" customFormat="1" x14ac:dyDescent="0.2">
      <c r="A25" s="21">
        <v>5</v>
      </c>
      <c r="B25" s="21" t="s">
        <v>1575</v>
      </c>
      <c r="C25" s="21" t="s">
        <v>1574</v>
      </c>
      <c r="D25" s="21" t="s">
        <v>1573</v>
      </c>
      <c r="E25" s="21" t="s">
        <v>1219</v>
      </c>
      <c r="F25" s="21" t="s">
        <v>153</v>
      </c>
      <c r="G25" s="21">
        <v>2020</v>
      </c>
      <c r="H25" s="21">
        <v>43904</v>
      </c>
      <c r="I25" s="21" t="s">
        <v>32</v>
      </c>
      <c r="J25" s="21" t="s">
        <v>32</v>
      </c>
      <c r="K25" s="21" t="s">
        <v>1572</v>
      </c>
      <c r="L25" s="21">
        <v>2</v>
      </c>
      <c r="M25" s="21" t="s">
        <v>32</v>
      </c>
      <c r="N25" s="21" t="s">
        <v>34</v>
      </c>
      <c r="O25" s="21" t="s">
        <v>34</v>
      </c>
      <c r="P25" s="21" t="s">
        <v>34</v>
      </c>
      <c r="Q25" s="21" t="s">
        <v>34</v>
      </c>
      <c r="R25" s="21" t="s">
        <v>34</v>
      </c>
      <c r="S25" s="21" t="s">
        <v>34</v>
      </c>
      <c r="T25" s="21" t="s">
        <v>34</v>
      </c>
      <c r="U25" s="21" t="s">
        <v>32</v>
      </c>
      <c r="V25" s="21">
        <v>1</v>
      </c>
      <c r="W25" s="21" t="s">
        <v>32</v>
      </c>
      <c r="X25" s="21" t="s">
        <v>32</v>
      </c>
      <c r="Y25" s="21" t="s">
        <v>32</v>
      </c>
      <c r="Z25" s="21" t="s">
        <v>32</v>
      </c>
      <c r="AA25" s="21">
        <v>32165120</v>
      </c>
      <c r="AB25" s="21">
        <v>1</v>
      </c>
      <c r="AD25" s="21">
        <v>4</v>
      </c>
      <c r="AE25" s="23">
        <v>16</v>
      </c>
      <c r="AF25" s="21">
        <v>8</v>
      </c>
      <c r="AG25" s="21">
        <v>8</v>
      </c>
      <c r="AH25" s="21" t="s">
        <v>1642</v>
      </c>
      <c r="AI25" s="21" t="s">
        <v>1642</v>
      </c>
      <c r="AJ25" s="21" t="s">
        <v>1644</v>
      </c>
      <c r="AK25" s="21" t="s">
        <v>1646</v>
      </c>
      <c r="AL25" s="21" t="s">
        <v>1646</v>
      </c>
      <c r="AM25" s="21" t="s">
        <v>1644</v>
      </c>
      <c r="AN25" s="21" t="s">
        <v>1646</v>
      </c>
      <c r="AO25" s="21" t="s">
        <v>1646</v>
      </c>
      <c r="AP25" s="21">
        <v>7</v>
      </c>
      <c r="AQ25" s="21" t="s">
        <v>1645</v>
      </c>
      <c r="AR25" s="21" t="s">
        <v>1637</v>
      </c>
      <c r="AS25" s="21" t="s">
        <v>1638</v>
      </c>
      <c r="AT25" s="21" t="s">
        <v>1640</v>
      </c>
      <c r="AU25" s="21" t="s">
        <v>178</v>
      </c>
      <c r="AV25" s="21" t="s">
        <v>1723</v>
      </c>
      <c r="AW25" s="21" t="s">
        <v>1639</v>
      </c>
      <c r="AX25" s="21" t="s">
        <v>1717</v>
      </c>
      <c r="AY25" s="21" t="s">
        <v>1664</v>
      </c>
      <c r="AZ25" s="21" t="s">
        <v>1650</v>
      </c>
      <c r="BA25" s="21">
        <v>228</v>
      </c>
      <c r="BB25" s="21">
        <v>218</v>
      </c>
      <c r="BC25" s="21" t="s">
        <v>1911</v>
      </c>
      <c r="BD25" s="21">
        <v>71.138499999999993</v>
      </c>
      <c r="BF25" s="21">
        <f>76.6769-BD25</f>
        <v>5.53840000000001</v>
      </c>
      <c r="BG25" s="21" t="s">
        <v>1914</v>
      </c>
      <c r="BH25" s="21">
        <v>38.461500000000001</v>
      </c>
      <c r="BJ25" s="21">
        <f>BH25-29.2308</f>
        <v>9.2307000000000023</v>
      </c>
      <c r="BK25" s="40"/>
    </row>
    <row r="26" spans="1:63" s="21" customFormat="1" x14ac:dyDescent="0.2">
      <c r="A26" s="21">
        <v>5</v>
      </c>
      <c r="B26" s="21" t="s">
        <v>1575</v>
      </c>
      <c r="C26" s="21" t="s">
        <v>1574</v>
      </c>
      <c r="D26" s="21" t="s">
        <v>1573</v>
      </c>
      <c r="E26" s="21" t="s">
        <v>1219</v>
      </c>
      <c r="F26" s="21" t="s">
        <v>153</v>
      </c>
      <c r="G26" s="21">
        <v>2020</v>
      </c>
      <c r="H26" s="21">
        <v>43904</v>
      </c>
      <c r="I26" s="21" t="s">
        <v>32</v>
      </c>
      <c r="J26" s="21" t="s">
        <v>32</v>
      </c>
      <c r="K26" s="21" t="s">
        <v>1572</v>
      </c>
      <c r="L26" s="21">
        <v>2</v>
      </c>
      <c r="M26" s="21" t="s">
        <v>32</v>
      </c>
      <c r="N26" s="21" t="s">
        <v>34</v>
      </c>
      <c r="O26" s="21" t="s">
        <v>34</v>
      </c>
      <c r="P26" s="21" t="s">
        <v>34</v>
      </c>
      <c r="Q26" s="21" t="s">
        <v>34</v>
      </c>
      <c r="R26" s="21" t="s">
        <v>34</v>
      </c>
      <c r="S26" s="21" t="s">
        <v>34</v>
      </c>
      <c r="T26" s="21" t="s">
        <v>34</v>
      </c>
      <c r="U26" s="21" t="s">
        <v>32</v>
      </c>
      <c r="V26" s="21">
        <v>1</v>
      </c>
      <c r="W26" s="21" t="s">
        <v>32</v>
      </c>
      <c r="X26" s="21" t="s">
        <v>32</v>
      </c>
      <c r="Y26" s="21" t="s">
        <v>32</v>
      </c>
      <c r="Z26" s="21" t="s">
        <v>32</v>
      </c>
      <c r="AA26" s="21">
        <v>32165120</v>
      </c>
      <c r="AB26" s="21">
        <v>1</v>
      </c>
      <c r="AD26" s="21">
        <v>4</v>
      </c>
      <c r="AE26" s="23">
        <v>16</v>
      </c>
      <c r="AF26" s="21">
        <v>8</v>
      </c>
      <c r="AG26" s="21">
        <v>8</v>
      </c>
      <c r="AH26" s="21" t="s">
        <v>1642</v>
      </c>
      <c r="AI26" s="21" t="s">
        <v>1642</v>
      </c>
      <c r="AJ26" s="21" t="s">
        <v>1644</v>
      </c>
      <c r="AK26" s="21" t="s">
        <v>1646</v>
      </c>
      <c r="AL26" s="21" t="s">
        <v>1646</v>
      </c>
      <c r="AM26" s="21" t="s">
        <v>1644</v>
      </c>
      <c r="AN26" s="21" t="s">
        <v>1646</v>
      </c>
      <c r="AO26" s="21" t="s">
        <v>1646</v>
      </c>
      <c r="AP26" s="21">
        <v>7</v>
      </c>
      <c r="AQ26" s="21" t="s">
        <v>1645</v>
      </c>
      <c r="AR26" s="21" t="s">
        <v>1637</v>
      </c>
      <c r="AS26" s="21" t="s">
        <v>1638</v>
      </c>
      <c r="AT26" s="21" t="s">
        <v>1640</v>
      </c>
      <c r="AU26" s="21" t="s">
        <v>178</v>
      </c>
      <c r="AV26" s="21" t="s">
        <v>1723</v>
      </c>
      <c r="AW26" s="21" t="s">
        <v>1639</v>
      </c>
      <c r="AX26" s="21" t="s">
        <v>1717</v>
      </c>
      <c r="AY26" s="21" t="s">
        <v>1664</v>
      </c>
      <c r="AZ26" s="21" t="s">
        <v>1650</v>
      </c>
      <c r="BA26" s="21">
        <v>228</v>
      </c>
      <c r="BB26" s="21">
        <v>218</v>
      </c>
      <c r="BC26" s="21" t="s">
        <v>1912</v>
      </c>
      <c r="BD26" s="21">
        <v>60.061500000000002</v>
      </c>
      <c r="BF26" s="21">
        <f>68.1846-BD26</f>
        <v>8.1231000000000009</v>
      </c>
      <c r="BG26" s="21" t="s">
        <v>1915</v>
      </c>
      <c r="BH26" s="21">
        <v>35.5077</v>
      </c>
      <c r="BJ26" s="21">
        <f>BH26-28.6769</f>
        <v>6.8308</v>
      </c>
      <c r="BK26" s="40"/>
    </row>
    <row r="27" spans="1:63" s="21" customFormat="1" x14ac:dyDescent="0.2">
      <c r="A27" s="21">
        <v>5</v>
      </c>
      <c r="B27" s="21" t="s">
        <v>1575</v>
      </c>
      <c r="C27" s="21" t="s">
        <v>1574</v>
      </c>
      <c r="D27" s="21" t="s">
        <v>1573</v>
      </c>
      <c r="E27" s="21" t="s">
        <v>1219</v>
      </c>
      <c r="F27" s="21" t="s">
        <v>153</v>
      </c>
      <c r="G27" s="21">
        <v>2020</v>
      </c>
      <c r="H27" s="21">
        <v>43904</v>
      </c>
      <c r="I27" s="21" t="s">
        <v>32</v>
      </c>
      <c r="J27" s="21" t="s">
        <v>32</v>
      </c>
      <c r="K27" s="21" t="s">
        <v>1572</v>
      </c>
      <c r="L27" s="21">
        <v>2</v>
      </c>
      <c r="M27" s="21" t="s">
        <v>32</v>
      </c>
      <c r="N27" s="21" t="s">
        <v>34</v>
      </c>
      <c r="O27" s="21" t="s">
        <v>34</v>
      </c>
      <c r="P27" s="21" t="s">
        <v>34</v>
      </c>
      <c r="Q27" s="21" t="s">
        <v>34</v>
      </c>
      <c r="R27" s="21" t="s">
        <v>34</v>
      </c>
      <c r="S27" s="21" t="s">
        <v>34</v>
      </c>
      <c r="T27" s="21" t="s">
        <v>34</v>
      </c>
      <c r="U27" s="21" t="s">
        <v>32</v>
      </c>
      <c r="V27" s="21">
        <v>1</v>
      </c>
      <c r="W27" s="21" t="s">
        <v>32</v>
      </c>
      <c r="X27" s="21" t="s">
        <v>32</v>
      </c>
      <c r="Y27" s="21" t="s">
        <v>32</v>
      </c>
      <c r="Z27" s="21" t="s">
        <v>32</v>
      </c>
      <c r="AA27" s="21">
        <v>32165120</v>
      </c>
      <c r="AB27" s="21">
        <v>1</v>
      </c>
      <c r="AD27" s="21">
        <v>4</v>
      </c>
      <c r="AE27" s="23">
        <v>16</v>
      </c>
      <c r="AF27" s="21">
        <v>8</v>
      </c>
      <c r="AG27" s="21">
        <v>8</v>
      </c>
      <c r="AH27" s="21" t="s">
        <v>1642</v>
      </c>
      <c r="AI27" s="21" t="s">
        <v>1642</v>
      </c>
      <c r="AJ27" s="21" t="s">
        <v>1644</v>
      </c>
      <c r="AK27" s="21" t="s">
        <v>1646</v>
      </c>
      <c r="AL27" s="21" t="s">
        <v>1646</v>
      </c>
      <c r="AM27" s="21" t="s">
        <v>1644</v>
      </c>
      <c r="AN27" s="21" t="s">
        <v>1646</v>
      </c>
      <c r="AO27" s="21" t="s">
        <v>1646</v>
      </c>
      <c r="AP27" s="21">
        <v>7</v>
      </c>
      <c r="AQ27" s="21" t="s">
        <v>1645</v>
      </c>
      <c r="AR27" s="21" t="s">
        <v>1637</v>
      </c>
      <c r="AS27" s="21" t="s">
        <v>1638</v>
      </c>
      <c r="AT27" s="21" t="s">
        <v>1640</v>
      </c>
      <c r="AU27" s="21" t="s">
        <v>178</v>
      </c>
      <c r="AV27" s="21" t="s">
        <v>1723</v>
      </c>
      <c r="AW27" s="21" t="s">
        <v>1639</v>
      </c>
      <c r="AX27" s="21" t="s">
        <v>1717</v>
      </c>
      <c r="AY27" s="21" t="s">
        <v>1664</v>
      </c>
      <c r="AZ27" s="21" t="s">
        <v>1650</v>
      </c>
      <c r="BA27" s="21">
        <v>228</v>
      </c>
      <c r="BB27" s="21">
        <v>218</v>
      </c>
      <c r="BC27" s="21" t="s">
        <v>1913</v>
      </c>
      <c r="BD27" s="21">
        <v>50.461500000000001</v>
      </c>
      <c r="BF27" s="21">
        <f>56-BD27</f>
        <v>5.5384999999999991</v>
      </c>
      <c r="BG27" s="21" t="s">
        <v>1916</v>
      </c>
      <c r="BH27" s="21">
        <v>39.384599999999999</v>
      </c>
      <c r="BJ27" s="21">
        <f>BH27-31.6308</f>
        <v>7.7537999999999982</v>
      </c>
      <c r="BK27" s="40"/>
    </row>
    <row r="28" spans="1:63" s="21" customFormat="1" x14ac:dyDescent="0.2">
      <c r="A28" s="21">
        <v>6</v>
      </c>
      <c r="B28" s="21" t="s">
        <v>1571</v>
      </c>
      <c r="C28" s="21" t="s">
        <v>1570</v>
      </c>
      <c r="D28" s="21" t="s">
        <v>1569</v>
      </c>
      <c r="E28" s="21" t="s">
        <v>1391</v>
      </c>
      <c r="F28" s="21" t="s">
        <v>1568</v>
      </c>
      <c r="G28" s="21">
        <v>2020</v>
      </c>
      <c r="H28" s="21">
        <v>43898</v>
      </c>
      <c r="I28" s="21" t="s">
        <v>1567</v>
      </c>
      <c r="J28" s="21" t="s">
        <v>32</v>
      </c>
      <c r="K28" s="21" t="s">
        <v>1566</v>
      </c>
      <c r="L28" s="21">
        <v>2</v>
      </c>
      <c r="M28" s="21" t="s">
        <v>32</v>
      </c>
      <c r="N28" s="21" t="s">
        <v>34</v>
      </c>
      <c r="O28" s="21" t="s">
        <v>190</v>
      </c>
      <c r="P28" s="21" t="s">
        <v>34</v>
      </c>
      <c r="Q28" s="21" t="s">
        <v>34</v>
      </c>
      <c r="R28" s="21" t="s">
        <v>34</v>
      </c>
      <c r="S28" s="21" t="s">
        <v>34</v>
      </c>
      <c r="T28" s="21" t="s">
        <v>34</v>
      </c>
      <c r="U28" s="21" t="s">
        <v>32</v>
      </c>
      <c r="V28" s="21">
        <v>1</v>
      </c>
      <c r="W28" s="21" t="s">
        <v>32</v>
      </c>
      <c r="X28" s="21" t="s">
        <v>32</v>
      </c>
      <c r="Y28" s="21" t="s">
        <v>32</v>
      </c>
      <c r="Z28" s="21" t="s">
        <v>32</v>
      </c>
      <c r="AA28" s="21">
        <v>32143600</v>
      </c>
      <c r="AD28" s="21">
        <v>4</v>
      </c>
      <c r="AE28" s="23">
        <v>15</v>
      </c>
      <c r="AF28" s="21">
        <v>8</v>
      </c>
      <c r="AG28" s="21">
        <v>7</v>
      </c>
      <c r="AH28" s="21" t="s">
        <v>1642</v>
      </c>
      <c r="AI28" s="21" t="s">
        <v>1642</v>
      </c>
      <c r="AJ28" s="21" t="s">
        <v>1719</v>
      </c>
      <c r="AK28" s="21">
        <v>285</v>
      </c>
      <c r="AM28" s="21" t="s">
        <v>1719</v>
      </c>
      <c r="AN28" s="21">
        <v>285</v>
      </c>
      <c r="AR28" s="21" t="s">
        <v>1637</v>
      </c>
      <c r="AS28" s="21" t="s">
        <v>1638</v>
      </c>
      <c r="AT28" s="21" t="s">
        <v>1640</v>
      </c>
      <c r="AU28" s="21" t="s">
        <v>178</v>
      </c>
      <c r="AV28" s="21" t="s">
        <v>1747</v>
      </c>
      <c r="AW28" s="21" t="s">
        <v>1639</v>
      </c>
      <c r="AX28" s="21" t="s">
        <v>1686</v>
      </c>
      <c r="AY28" s="21" t="s">
        <v>1663</v>
      </c>
      <c r="AZ28" s="21" t="s">
        <v>1650</v>
      </c>
      <c r="BA28" s="21">
        <v>229</v>
      </c>
      <c r="BB28" s="21">
        <v>219</v>
      </c>
      <c r="BC28" s="21" t="s">
        <v>1757</v>
      </c>
      <c r="BD28" s="21">
        <v>71.308899999999994</v>
      </c>
      <c r="BF28" s="21">
        <f>77.2775-BD28</f>
        <v>5.9686000000000092</v>
      </c>
      <c r="BG28" s="21" t="s">
        <v>1758</v>
      </c>
      <c r="BH28" s="21">
        <v>34.555</v>
      </c>
      <c r="BJ28" s="21">
        <f>43.9791-BH28</f>
        <v>9.4241000000000028</v>
      </c>
      <c r="BK28" s="40" t="s">
        <v>1759</v>
      </c>
    </row>
    <row r="29" spans="1:63" s="20" customFormat="1" x14ac:dyDescent="0.2">
      <c r="A29" s="20">
        <v>7</v>
      </c>
      <c r="B29" s="20" t="s">
        <v>1565</v>
      </c>
      <c r="C29" s="20" t="s">
        <v>1564</v>
      </c>
      <c r="D29" s="20" t="s">
        <v>1563</v>
      </c>
      <c r="E29" s="20" t="s">
        <v>1562</v>
      </c>
      <c r="F29" s="20" t="s">
        <v>1051</v>
      </c>
      <c r="G29" s="20">
        <v>2020</v>
      </c>
      <c r="H29" s="20">
        <v>43896</v>
      </c>
      <c r="I29" s="20" t="s">
        <v>32</v>
      </c>
      <c r="J29" s="20" t="s">
        <v>32</v>
      </c>
      <c r="K29" s="20" t="s">
        <v>1561</v>
      </c>
      <c r="L29" s="20">
        <v>2</v>
      </c>
      <c r="M29" s="20" t="s">
        <v>32</v>
      </c>
      <c r="N29" s="20" t="s">
        <v>34</v>
      </c>
      <c r="O29" s="20" t="s">
        <v>190</v>
      </c>
      <c r="P29" s="20" t="s">
        <v>34</v>
      </c>
      <c r="Q29" s="20" t="s">
        <v>34</v>
      </c>
      <c r="R29" s="20" t="s">
        <v>34</v>
      </c>
      <c r="S29" s="20" t="s">
        <v>34</v>
      </c>
      <c r="T29" s="20" t="s">
        <v>34</v>
      </c>
      <c r="U29" s="20" t="s">
        <v>32</v>
      </c>
      <c r="V29" s="20">
        <v>1</v>
      </c>
      <c r="W29" s="20" t="s">
        <v>32</v>
      </c>
      <c r="X29" s="20" t="s">
        <v>32</v>
      </c>
      <c r="Y29" s="20" t="s">
        <v>32</v>
      </c>
      <c r="Z29" s="20" t="s">
        <v>32</v>
      </c>
      <c r="AA29" s="20">
        <v>32133592</v>
      </c>
      <c r="AB29" s="20">
        <v>0</v>
      </c>
      <c r="AC29" s="20" t="s">
        <v>1720</v>
      </c>
      <c r="AD29" s="20">
        <v>4</v>
      </c>
      <c r="AE29" s="26"/>
      <c r="BK29" s="41" t="s">
        <v>1720</v>
      </c>
    </row>
    <row r="30" spans="1:63" s="32" customFormat="1" x14ac:dyDescent="0.2">
      <c r="A30" s="32">
        <v>8</v>
      </c>
      <c r="B30" s="32" t="s">
        <v>1560</v>
      </c>
      <c r="C30" s="32" t="s">
        <v>1559</v>
      </c>
      <c r="D30" s="32" t="s">
        <v>1558</v>
      </c>
      <c r="E30" s="32" t="s">
        <v>1557</v>
      </c>
      <c r="F30" s="32" t="s">
        <v>324</v>
      </c>
      <c r="G30" s="32">
        <v>2020</v>
      </c>
      <c r="H30" s="32">
        <v>43891</v>
      </c>
      <c r="I30" s="32" t="s">
        <v>32</v>
      </c>
      <c r="J30" s="32" t="s">
        <v>32</v>
      </c>
      <c r="K30" s="32" t="s">
        <v>1556</v>
      </c>
      <c r="L30" s="32">
        <v>2</v>
      </c>
      <c r="M30" s="32" t="s">
        <v>32</v>
      </c>
      <c r="N30" s="32" t="s">
        <v>34</v>
      </c>
      <c r="O30" s="32" t="s">
        <v>190</v>
      </c>
      <c r="P30" s="32" t="s">
        <v>34</v>
      </c>
      <c r="Q30" s="32" t="s">
        <v>34</v>
      </c>
      <c r="R30" s="32" t="s">
        <v>34</v>
      </c>
      <c r="S30" s="32" t="s">
        <v>34</v>
      </c>
      <c r="T30" s="32" t="s">
        <v>34</v>
      </c>
      <c r="U30" s="32" t="s">
        <v>32</v>
      </c>
      <c r="V30" s="32">
        <v>1</v>
      </c>
      <c r="W30" s="32" t="s">
        <v>32</v>
      </c>
      <c r="X30" s="32" t="s">
        <v>32</v>
      </c>
      <c r="Y30" s="32" t="s">
        <v>32</v>
      </c>
      <c r="Z30" s="32" t="s">
        <v>32</v>
      </c>
      <c r="AA30" s="32">
        <v>32112915</v>
      </c>
      <c r="AB30" s="32">
        <v>1</v>
      </c>
      <c r="AD30" s="32">
        <v>4</v>
      </c>
      <c r="AE30" s="33">
        <v>20</v>
      </c>
      <c r="AF30" s="32">
        <v>10</v>
      </c>
      <c r="AG30" s="32">
        <v>10</v>
      </c>
      <c r="AH30" s="32" t="s">
        <v>1642</v>
      </c>
      <c r="AI30" s="32" t="s">
        <v>1642</v>
      </c>
      <c r="AJ30" s="32" t="s">
        <v>1646</v>
      </c>
      <c r="AK30" s="32">
        <v>185</v>
      </c>
      <c r="AL30" s="32" t="s">
        <v>1646</v>
      </c>
      <c r="AM30" s="32" t="s">
        <v>1646</v>
      </c>
      <c r="AN30" s="32">
        <v>185</v>
      </c>
      <c r="AO30" s="32" t="s">
        <v>1646</v>
      </c>
      <c r="AR30" s="32" t="s">
        <v>1637</v>
      </c>
      <c r="AS30" s="32" t="s">
        <v>1638</v>
      </c>
      <c r="AT30" s="32" t="s">
        <v>1640</v>
      </c>
      <c r="AU30" s="32" t="s">
        <v>178</v>
      </c>
      <c r="AV30" s="32" t="s">
        <v>1641</v>
      </c>
      <c r="AW30" s="32" t="s">
        <v>1687</v>
      </c>
      <c r="AX30" s="32" t="s">
        <v>1686</v>
      </c>
      <c r="AY30" s="32" t="s">
        <v>1721</v>
      </c>
      <c r="AZ30" s="32" t="s">
        <v>1650</v>
      </c>
      <c r="BA30" s="32">
        <v>230</v>
      </c>
      <c r="BB30" s="32">
        <v>220</v>
      </c>
      <c r="BC30" s="32" t="s">
        <v>1724</v>
      </c>
      <c r="BD30" s="32">
        <v>3.1400800000000002</v>
      </c>
      <c r="BF30" s="32">
        <f>3.87022-BD30</f>
        <v>0.73014000000000001</v>
      </c>
      <c r="BG30" s="32" t="s">
        <v>1726</v>
      </c>
      <c r="BH30" s="34">
        <v>5.7645799999999996</v>
      </c>
      <c r="BJ30" s="32">
        <f>6.74869-BH30</f>
        <v>0.98411000000000026</v>
      </c>
      <c r="BK30" s="42" t="s">
        <v>3808</v>
      </c>
    </row>
    <row r="31" spans="1:63" s="32" customFormat="1" x14ac:dyDescent="0.2">
      <c r="A31" s="32">
        <v>8</v>
      </c>
      <c r="B31" s="32" t="s">
        <v>1560</v>
      </c>
      <c r="C31" s="32" t="s">
        <v>1559</v>
      </c>
      <c r="D31" s="32" t="s">
        <v>1558</v>
      </c>
      <c r="E31" s="32" t="s">
        <v>1557</v>
      </c>
      <c r="F31" s="32" t="s">
        <v>324</v>
      </c>
      <c r="G31" s="32">
        <v>2020</v>
      </c>
      <c r="H31" s="32">
        <v>43891</v>
      </c>
      <c r="I31" s="32" t="s">
        <v>32</v>
      </c>
      <c r="J31" s="32" t="s">
        <v>32</v>
      </c>
      <c r="K31" s="32" t="s">
        <v>1556</v>
      </c>
      <c r="L31" s="32">
        <v>2</v>
      </c>
      <c r="M31" s="32" t="s">
        <v>32</v>
      </c>
      <c r="N31" s="32" t="s">
        <v>34</v>
      </c>
      <c r="O31" s="32" t="s">
        <v>190</v>
      </c>
      <c r="P31" s="32" t="s">
        <v>34</v>
      </c>
      <c r="Q31" s="32" t="s">
        <v>34</v>
      </c>
      <c r="R31" s="32" t="s">
        <v>34</v>
      </c>
      <c r="S31" s="32" t="s">
        <v>34</v>
      </c>
      <c r="T31" s="32" t="s">
        <v>34</v>
      </c>
      <c r="U31" s="32" t="s">
        <v>32</v>
      </c>
      <c r="V31" s="32">
        <v>1</v>
      </c>
      <c r="W31" s="32" t="s">
        <v>32</v>
      </c>
      <c r="X31" s="32" t="s">
        <v>32</v>
      </c>
      <c r="Y31" s="32" t="s">
        <v>32</v>
      </c>
      <c r="Z31" s="32" t="s">
        <v>32</v>
      </c>
      <c r="AA31" s="32">
        <v>32112915</v>
      </c>
      <c r="AB31" s="32">
        <v>1</v>
      </c>
      <c r="AD31" s="32">
        <v>4</v>
      </c>
      <c r="AE31" s="33">
        <v>16</v>
      </c>
      <c r="AF31" s="32">
        <v>8</v>
      </c>
      <c r="AG31" s="32">
        <v>8</v>
      </c>
      <c r="AH31" s="32" t="s">
        <v>1642</v>
      </c>
      <c r="AI31" s="32" t="s">
        <v>1642</v>
      </c>
      <c r="AJ31" s="32" t="s">
        <v>1646</v>
      </c>
      <c r="AK31" s="32">
        <v>215</v>
      </c>
      <c r="AL31" s="32" t="s">
        <v>1646</v>
      </c>
      <c r="AM31" s="32" t="s">
        <v>1646</v>
      </c>
      <c r="AN31" s="32">
        <v>215</v>
      </c>
      <c r="AO31" s="32" t="s">
        <v>1646</v>
      </c>
      <c r="AR31" s="32" t="s">
        <v>1637</v>
      </c>
      <c r="AS31" s="32" t="s">
        <v>1638</v>
      </c>
      <c r="AT31" s="32" t="s">
        <v>1640</v>
      </c>
      <c r="AU31" s="32" t="s">
        <v>178</v>
      </c>
      <c r="AV31" s="32" t="s">
        <v>1723</v>
      </c>
      <c r="AW31" s="32" t="s">
        <v>1687</v>
      </c>
      <c r="AX31" s="32" t="s">
        <v>1686</v>
      </c>
      <c r="AY31" s="32" t="s">
        <v>1721</v>
      </c>
      <c r="AZ31" s="32" t="s">
        <v>1650</v>
      </c>
      <c r="BA31" s="32">
        <v>230</v>
      </c>
      <c r="BB31" s="32">
        <v>220</v>
      </c>
      <c r="BC31" s="32" t="s">
        <v>1725</v>
      </c>
      <c r="BD31" s="32">
        <v>2.3249499999999999</v>
      </c>
      <c r="BF31" s="32">
        <f>3.29596-BD31</f>
        <v>0.97101000000000015</v>
      </c>
      <c r="BG31" s="32" t="s">
        <v>1727</v>
      </c>
      <c r="BH31" s="32">
        <v>6.1143700000000001</v>
      </c>
      <c r="BJ31" s="32">
        <f>6.59982-BH31</f>
        <v>0.48545000000000016</v>
      </c>
      <c r="BK31" s="42" t="s">
        <v>3808</v>
      </c>
    </row>
    <row r="32" spans="1:63" s="21" customFormat="1" x14ac:dyDescent="0.2">
      <c r="A32" s="21">
        <v>9</v>
      </c>
      <c r="B32" s="21" t="s">
        <v>1555</v>
      </c>
      <c r="C32" s="21" t="s">
        <v>1554</v>
      </c>
      <c r="D32" s="21" t="s">
        <v>1553</v>
      </c>
      <c r="E32" s="21" t="s">
        <v>1552</v>
      </c>
      <c r="F32" s="21" t="s">
        <v>267</v>
      </c>
      <c r="G32" s="21">
        <v>2020</v>
      </c>
      <c r="H32" s="21">
        <v>43880</v>
      </c>
      <c r="I32" s="21" t="s">
        <v>1551</v>
      </c>
      <c r="J32" s="21" t="s">
        <v>32</v>
      </c>
      <c r="K32" s="21" t="s">
        <v>1550</v>
      </c>
      <c r="L32" s="21">
        <v>2</v>
      </c>
      <c r="M32" s="21" t="s">
        <v>32</v>
      </c>
      <c r="N32" s="21" t="s">
        <v>34</v>
      </c>
      <c r="O32" s="21" t="s">
        <v>190</v>
      </c>
      <c r="P32" s="21" t="s">
        <v>34</v>
      </c>
      <c r="Q32" s="21" t="s">
        <v>34</v>
      </c>
      <c r="R32" s="21" t="s">
        <v>739</v>
      </c>
      <c r="S32" s="21" t="s">
        <v>34</v>
      </c>
      <c r="T32" s="21" t="s">
        <v>34</v>
      </c>
      <c r="U32" s="21" t="s">
        <v>32</v>
      </c>
      <c r="V32" s="21">
        <v>1</v>
      </c>
      <c r="W32" s="21" t="s">
        <v>34</v>
      </c>
      <c r="X32" s="21" t="s">
        <v>32</v>
      </c>
      <c r="Y32" s="21" t="s">
        <v>32</v>
      </c>
      <c r="Z32" s="21" t="s">
        <v>32</v>
      </c>
      <c r="AA32" s="21">
        <v>32066681</v>
      </c>
      <c r="AB32" s="21">
        <v>1</v>
      </c>
      <c r="AD32" s="21">
        <v>4</v>
      </c>
      <c r="AE32" s="23">
        <v>50</v>
      </c>
      <c r="AF32" s="21">
        <v>23</v>
      </c>
      <c r="AG32" s="21">
        <v>14</v>
      </c>
      <c r="AH32" s="21" t="s">
        <v>1642</v>
      </c>
      <c r="AI32" s="21" t="s">
        <v>1642</v>
      </c>
      <c r="AJ32" s="21" t="s">
        <v>1728</v>
      </c>
      <c r="AK32" s="21">
        <v>262.5</v>
      </c>
      <c r="AL32" s="21" t="s">
        <v>1646</v>
      </c>
      <c r="AM32" s="21" t="s">
        <v>1728</v>
      </c>
      <c r="AN32" s="21">
        <v>262.5</v>
      </c>
      <c r="AO32" s="21" t="s">
        <v>1646</v>
      </c>
      <c r="AP32" s="21">
        <v>1</v>
      </c>
      <c r="AQ32" s="21" t="s">
        <v>1760</v>
      </c>
      <c r="AR32" s="21" t="s">
        <v>1762</v>
      </c>
      <c r="AS32" s="21" t="s">
        <v>1638</v>
      </c>
      <c r="AT32" s="21" t="s">
        <v>1640</v>
      </c>
      <c r="AU32" s="21" t="s">
        <v>34</v>
      </c>
      <c r="AV32" s="21" t="s">
        <v>1764</v>
      </c>
      <c r="AW32" s="21" t="s">
        <v>1678</v>
      </c>
      <c r="AY32" s="21" t="s">
        <v>1750</v>
      </c>
      <c r="AZ32" s="21" t="s">
        <v>1768</v>
      </c>
      <c r="BA32" s="21">
        <v>231</v>
      </c>
      <c r="BB32" s="21">
        <v>221</v>
      </c>
      <c r="BC32" s="21" t="s">
        <v>1765</v>
      </c>
      <c r="BD32" s="21">
        <v>16.569800000000001</v>
      </c>
      <c r="BF32" s="21">
        <f>20.8576-BD32</f>
        <v>4.2878000000000007</v>
      </c>
      <c r="BG32" s="21" t="s">
        <v>1766</v>
      </c>
      <c r="BH32" s="21">
        <v>5.4505800000000004</v>
      </c>
      <c r="BJ32" s="21">
        <f>6.90407-BH32</f>
        <v>1.4534899999999995</v>
      </c>
      <c r="BK32" s="40" t="s">
        <v>1763</v>
      </c>
    </row>
    <row r="33" spans="1:63" s="21" customFormat="1" x14ac:dyDescent="0.2">
      <c r="A33" s="21">
        <v>9</v>
      </c>
      <c r="B33" s="21" t="s">
        <v>1555</v>
      </c>
      <c r="C33" s="21" t="s">
        <v>1554</v>
      </c>
      <c r="D33" s="21" t="s">
        <v>1553</v>
      </c>
      <c r="E33" s="21" t="s">
        <v>1552</v>
      </c>
      <c r="F33" s="21" t="s">
        <v>267</v>
      </c>
      <c r="G33" s="21">
        <v>2020</v>
      </c>
      <c r="H33" s="21">
        <v>43880</v>
      </c>
      <c r="I33" s="21" t="s">
        <v>1551</v>
      </c>
      <c r="J33" s="21" t="s">
        <v>32</v>
      </c>
      <c r="K33" s="21" t="s">
        <v>1550</v>
      </c>
      <c r="L33" s="21">
        <v>2</v>
      </c>
      <c r="M33" s="21" t="s">
        <v>32</v>
      </c>
      <c r="N33" s="21" t="s">
        <v>34</v>
      </c>
      <c r="O33" s="21" t="s">
        <v>190</v>
      </c>
      <c r="P33" s="21" t="s">
        <v>34</v>
      </c>
      <c r="Q33" s="21" t="s">
        <v>34</v>
      </c>
      <c r="R33" s="21" t="s">
        <v>739</v>
      </c>
      <c r="S33" s="21" t="s">
        <v>34</v>
      </c>
      <c r="T33" s="21" t="s">
        <v>34</v>
      </c>
      <c r="U33" s="21" t="s">
        <v>32</v>
      </c>
      <c r="V33" s="21">
        <v>1</v>
      </c>
      <c r="W33" s="21" t="s">
        <v>34</v>
      </c>
      <c r="X33" s="21" t="s">
        <v>32</v>
      </c>
      <c r="Y33" s="21" t="s">
        <v>32</v>
      </c>
      <c r="Z33" s="21" t="s">
        <v>32</v>
      </c>
      <c r="AA33" s="21">
        <v>32066681</v>
      </c>
      <c r="AB33" s="21">
        <v>1</v>
      </c>
      <c r="AD33" s="21">
        <v>4</v>
      </c>
      <c r="AE33" s="23">
        <v>50</v>
      </c>
      <c r="AF33" s="21">
        <v>23</v>
      </c>
      <c r="AG33" s="21">
        <v>13</v>
      </c>
      <c r="AH33" s="21" t="s">
        <v>1642</v>
      </c>
      <c r="AI33" s="21" t="s">
        <v>1642</v>
      </c>
      <c r="AJ33" s="21" t="s">
        <v>1728</v>
      </c>
      <c r="AK33" s="21">
        <v>262.5</v>
      </c>
      <c r="AL33" s="21" t="s">
        <v>1646</v>
      </c>
      <c r="AM33" s="21" t="s">
        <v>1728</v>
      </c>
      <c r="AN33" s="21">
        <v>262.5</v>
      </c>
      <c r="AO33" s="21" t="s">
        <v>1646</v>
      </c>
      <c r="AP33" s="21">
        <v>1</v>
      </c>
      <c r="AQ33" s="21" t="s">
        <v>1760</v>
      </c>
      <c r="AR33" s="21" t="s">
        <v>1762</v>
      </c>
      <c r="AS33" s="21" t="s">
        <v>1770</v>
      </c>
      <c r="AT33" s="21" t="s">
        <v>1640</v>
      </c>
      <c r="AU33" s="21" t="s">
        <v>34</v>
      </c>
      <c r="AV33" s="21" t="s">
        <v>1764</v>
      </c>
      <c r="AW33" s="21" t="s">
        <v>1678</v>
      </c>
      <c r="AY33" s="21" t="s">
        <v>1750</v>
      </c>
      <c r="AZ33" s="21" t="s">
        <v>1769</v>
      </c>
      <c r="BA33" s="21">
        <v>231</v>
      </c>
      <c r="BB33" s="21">
        <v>222</v>
      </c>
      <c r="BC33" s="21" t="s">
        <v>1765</v>
      </c>
      <c r="BD33" s="21">
        <v>16.569800000000001</v>
      </c>
      <c r="BF33" s="21">
        <f>20.8576-BD33</f>
        <v>4.2878000000000007</v>
      </c>
      <c r="BG33" s="21" t="s">
        <v>1767</v>
      </c>
      <c r="BH33" s="21">
        <v>6.3953499999999996</v>
      </c>
      <c r="BJ33" s="21">
        <f>8.13953-BH33</f>
        <v>1.744180000000001</v>
      </c>
      <c r="BK33" s="40"/>
    </row>
    <row r="34" spans="1:63" s="21" customFormat="1" x14ac:dyDescent="0.2">
      <c r="A34" s="21">
        <v>9</v>
      </c>
      <c r="B34" s="21" t="s">
        <v>1555</v>
      </c>
      <c r="C34" s="21" t="s">
        <v>1554</v>
      </c>
      <c r="D34" s="21" t="s">
        <v>1553</v>
      </c>
      <c r="E34" s="21" t="s">
        <v>1552</v>
      </c>
      <c r="F34" s="21" t="s">
        <v>267</v>
      </c>
      <c r="G34" s="21">
        <v>2020</v>
      </c>
      <c r="H34" s="21">
        <v>43880</v>
      </c>
      <c r="I34" s="21" t="s">
        <v>1551</v>
      </c>
      <c r="J34" s="21" t="s">
        <v>32</v>
      </c>
      <c r="K34" s="21" t="s">
        <v>1550</v>
      </c>
      <c r="L34" s="21">
        <v>2</v>
      </c>
      <c r="M34" s="21" t="s">
        <v>32</v>
      </c>
      <c r="N34" s="21" t="s">
        <v>34</v>
      </c>
      <c r="O34" s="21" t="s">
        <v>190</v>
      </c>
      <c r="P34" s="21" t="s">
        <v>34</v>
      </c>
      <c r="Q34" s="21" t="s">
        <v>34</v>
      </c>
      <c r="R34" s="21" t="s">
        <v>739</v>
      </c>
      <c r="S34" s="21" t="s">
        <v>34</v>
      </c>
      <c r="T34" s="21" t="s">
        <v>34</v>
      </c>
      <c r="U34" s="21" t="s">
        <v>32</v>
      </c>
      <c r="V34" s="21">
        <v>1</v>
      </c>
      <c r="W34" s="21" t="s">
        <v>34</v>
      </c>
      <c r="X34" s="21" t="s">
        <v>32</v>
      </c>
      <c r="Y34" s="21" t="s">
        <v>32</v>
      </c>
      <c r="Z34" s="21" t="s">
        <v>32</v>
      </c>
      <c r="AA34" s="21">
        <v>32066681</v>
      </c>
      <c r="AB34" s="21">
        <v>1</v>
      </c>
      <c r="AD34" s="21">
        <v>4</v>
      </c>
      <c r="AE34" s="23">
        <v>50</v>
      </c>
      <c r="AF34" s="21">
        <v>23</v>
      </c>
      <c r="AG34" s="21">
        <v>14</v>
      </c>
      <c r="AH34" s="21" t="s">
        <v>1642</v>
      </c>
      <c r="AI34" s="21" t="s">
        <v>1642</v>
      </c>
      <c r="AJ34" s="21" t="s">
        <v>1728</v>
      </c>
      <c r="AK34" s="21">
        <v>262.5</v>
      </c>
      <c r="AL34" s="21" t="s">
        <v>1646</v>
      </c>
      <c r="AM34" s="21" t="s">
        <v>1728</v>
      </c>
      <c r="AN34" s="21">
        <v>262.5</v>
      </c>
      <c r="AO34" s="21" t="s">
        <v>1646</v>
      </c>
      <c r="AP34" s="21">
        <v>1</v>
      </c>
      <c r="AQ34" s="21" t="s">
        <v>1760</v>
      </c>
      <c r="AR34" s="21" t="s">
        <v>1762</v>
      </c>
      <c r="AS34" s="21" t="s">
        <v>1638</v>
      </c>
      <c r="AT34" s="21" t="s">
        <v>1640</v>
      </c>
      <c r="AU34" s="21" t="s">
        <v>34</v>
      </c>
      <c r="AV34" s="21" t="s">
        <v>1771</v>
      </c>
      <c r="AW34" s="21" t="s">
        <v>1678</v>
      </c>
      <c r="AY34" s="21" t="s">
        <v>1684</v>
      </c>
      <c r="AZ34" s="21" t="s">
        <v>1768</v>
      </c>
      <c r="BA34" s="21">
        <v>231</v>
      </c>
      <c r="BB34" s="21">
        <v>221</v>
      </c>
      <c r="BC34" s="21" t="s">
        <v>1773</v>
      </c>
      <c r="BD34" s="21">
        <v>40.573799999999999</v>
      </c>
      <c r="BF34" s="21">
        <f>46.3115-BD34</f>
        <v>5.7377000000000038</v>
      </c>
      <c r="BG34" s="21" t="s">
        <v>1775</v>
      </c>
      <c r="BH34" s="21">
        <v>14.1393</v>
      </c>
      <c r="BJ34" s="21">
        <f>17.623-BH34</f>
        <v>3.4837000000000007</v>
      </c>
      <c r="BK34" s="40"/>
    </row>
    <row r="35" spans="1:63" s="21" customFormat="1" x14ac:dyDescent="0.2">
      <c r="A35" s="21">
        <v>9</v>
      </c>
      <c r="B35" s="21" t="s">
        <v>1555</v>
      </c>
      <c r="C35" s="21" t="s">
        <v>1554</v>
      </c>
      <c r="D35" s="21" t="s">
        <v>1553</v>
      </c>
      <c r="E35" s="21" t="s">
        <v>1552</v>
      </c>
      <c r="F35" s="21" t="s">
        <v>267</v>
      </c>
      <c r="G35" s="21">
        <v>2020</v>
      </c>
      <c r="H35" s="21">
        <v>43880</v>
      </c>
      <c r="I35" s="21" t="s">
        <v>1551</v>
      </c>
      <c r="J35" s="21" t="s">
        <v>32</v>
      </c>
      <c r="K35" s="21" t="s">
        <v>1550</v>
      </c>
      <c r="L35" s="21">
        <v>2</v>
      </c>
      <c r="M35" s="21" t="s">
        <v>32</v>
      </c>
      <c r="N35" s="21" t="s">
        <v>34</v>
      </c>
      <c r="O35" s="21" t="s">
        <v>190</v>
      </c>
      <c r="P35" s="21" t="s">
        <v>34</v>
      </c>
      <c r="Q35" s="21" t="s">
        <v>34</v>
      </c>
      <c r="R35" s="21" t="s">
        <v>739</v>
      </c>
      <c r="S35" s="21" t="s">
        <v>34</v>
      </c>
      <c r="T35" s="21" t="s">
        <v>34</v>
      </c>
      <c r="U35" s="21" t="s">
        <v>32</v>
      </c>
      <c r="V35" s="21">
        <v>1</v>
      </c>
      <c r="W35" s="21" t="s">
        <v>34</v>
      </c>
      <c r="X35" s="21" t="s">
        <v>32</v>
      </c>
      <c r="Y35" s="21" t="s">
        <v>32</v>
      </c>
      <c r="Z35" s="21" t="s">
        <v>32</v>
      </c>
      <c r="AA35" s="21">
        <v>32066681</v>
      </c>
      <c r="AB35" s="21">
        <v>1</v>
      </c>
      <c r="AD35" s="21">
        <v>4</v>
      </c>
      <c r="AE35" s="23">
        <v>50</v>
      </c>
      <c r="AF35" s="21">
        <v>23</v>
      </c>
      <c r="AG35" s="21">
        <v>13</v>
      </c>
      <c r="AH35" s="21" t="s">
        <v>1642</v>
      </c>
      <c r="AI35" s="21" t="s">
        <v>1642</v>
      </c>
      <c r="AJ35" s="21" t="s">
        <v>1728</v>
      </c>
      <c r="AK35" s="21">
        <v>262.5</v>
      </c>
      <c r="AL35" s="21" t="s">
        <v>1646</v>
      </c>
      <c r="AM35" s="21" t="s">
        <v>1728</v>
      </c>
      <c r="AN35" s="21">
        <v>262.5</v>
      </c>
      <c r="AO35" s="21" t="s">
        <v>1646</v>
      </c>
      <c r="AP35" s="21">
        <v>1</v>
      </c>
      <c r="AQ35" s="21" t="s">
        <v>1760</v>
      </c>
      <c r="AR35" s="21" t="s">
        <v>1762</v>
      </c>
      <c r="AS35" s="21" t="s">
        <v>1770</v>
      </c>
      <c r="AT35" s="21" t="s">
        <v>1640</v>
      </c>
      <c r="AU35" s="21" t="s">
        <v>34</v>
      </c>
      <c r="AV35" s="21" t="s">
        <v>1771</v>
      </c>
      <c r="AW35" s="21" t="s">
        <v>1678</v>
      </c>
      <c r="AY35" s="21" t="s">
        <v>1684</v>
      </c>
      <c r="AZ35" s="21" t="s">
        <v>1769</v>
      </c>
      <c r="BA35" s="21">
        <v>231</v>
      </c>
      <c r="BB35" s="21">
        <v>222</v>
      </c>
      <c r="BC35" s="21" t="s">
        <v>1773</v>
      </c>
      <c r="BD35" s="21">
        <v>40.573799999999999</v>
      </c>
      <c r="BF35" s="21">
        <f>46.3115-BD35</f>
        <v>5.7377000000000038</v>
      </c>
      <c r="BG35" s="21" t="s">
        <v>1776</v>
      </c>
      <c r="BH35" s="21">
        <f>23.7705</f>
        <v>23.770499999999998</v>
      </c>
      <c r="BJ35" s="21">
        <f>26.2295-BH35</f>
        <v>2.4590000000000032</v>
      </c>
      <c r="BK35" s="40"/>
    </row>
    <row r="36" spans="1:63" s="21" customFormat="1" x14ac:dyDescent="0.2">
      <c r="A36" s="21">
        <v>9</v>
      </c>
      <c r="B36" s="21" t="s">
        <v>1555</v>
      </c>
      <c r="C36" s="21" t="s">
        <v>1554</v>
      </c>
      <c r="D36" s="21" t="s">
        <v>1553</v>
      </c>
      <c r="E36" s="21" t="s">
        <v>1552</v>
      </c>
      <c r="F36" s="21" t="s">
        <v>267</v>
      </c>
      <c r="G36" s="21">
        <v>2020</v>
      </c>
      <c r="H36" s="21">
        <v>43880</v>
      </c>
      <c r="I36" s="21" t="s">
        <v>1551</v>
      </c>
      <c r="J36" s="21" t="s">
        <v>32</v>
      </c>
      <c r="K36" s="21" t="s">
        <v>1550</v>
      </c>
      <c r="L36" s="21">
        <v>2</v>
      </c>
      <c r="M36" s="21" t="s">
        <v>32</v>
      </c>
      <c r="N36" s="21" t="s">
        <v>34</v>
      </c>
      <c r="O36" s="21" t="s">
        <v>190</v>
      </c>
      <c r="P36" s="21" t="s">
        <v>34</v>
      </c>
      <c r="Q36" s="21" t="s">
        <v>34</v>
      </c>
      <c r="R36" s="21" t="s">
        <v>739</v>
      </c>
      <c r="S36" s="21" t="s">
        <v>34</v>
      </c>
      <c r="T36" s="21" t="s">
        <v>34</v>
      </c>
      <c r="U36" s="21" t="s">
        <v>32</v>
      </c>
      <c r="V36" s="21">
        <v>1</v>
      </c>
      <c r="W36" s="21" t="s">
        <v>34</v>
      </c>
      <c r="X36" s="21" t="s">
        <v>32</v>
      </c>
      <c r="Y36" s="21" t="s">
        <v>32</v>
      </c>
      <c r="Z36" s="21" t="s">
        <v>32</v>
      </c>
      <c r="AA36" s="21">
        <v>32066681</v>
      </c>
      <c r="AB36" s="21">
        <v>1</v>
      </c>
      <c r="AD36" s="21">
        <v>4</v>
      </c>
      <c r="AE36" s="23">
        <v>50</v>
      </c>
      <c r="AF36" s="21">
        <v>23</v>
      </c>
      <c r="AG36" s="21">
        <v>14</v>
      </c>
      <c r="AH36" s="21" t="s">
        <v>1642</v>
      </c>
      <c r="AI36" s="21" t="s">
        <v>1642</v>
      </c>
      <c r="AJ36" s="21" t="s">
        <v>1728</v>
      </c>
      <c r="AK36" s="21">
        <v>262.5</v>
      </c>
      <c r="AL36" s="21" t="s">
        <v>1646</v>
      </c>
      <c r="AM36" s="21" t="s">
        <v>1728</v>
      </c>
      <c r="AN36" s="21">
        <v>262.5</v>
      </c>
      <c r="AO36" s="21" t="s">
        <v>1646</v>
      </c>
      <c r="AP36" s="21">
        <v>1</v>
      </c>
      <c r="AQ36" s="21" t="s">
        <v>1760</v>
      </c>
      <c r="AR36" s="21" t="s">
        <v>1762</v>
      </c>
      <c r="AS36" s="21" t="s">
        <v>1638</v>
      </c>
      <c r="AT36" s="21" t="s">
        <v>1640</v>
      </c>
      <c r="AU36" s="21" t="s">
        <v>34</v>
      </c>
      <c r="AV36" s="21" t="s">
        <v>1772</v>
      </c>
      <c r="AW36" s="21" t="s">
        <v>1678</v>
      </c>
      <c r="AY36" s="21" t="s">
        <v>1750</v>
      </c>
      <c r="AZ36" s="21" t="s">
        <v>1768</v>
      </c>
      <c r="BA36" s="21">
        <v>231</v>
      </c>
      <c r="BB36" s="21">
        <v>221</v>
      </c>
      <c r="BC36" s="21" t="s">
        <v>1774</v>
      </c>
      <c r="BD36" s="21">
        <v>17.755099999999999</v>
      </c>
      <c r="BF36" s="21">
        <f>20-BD36</f>
        <v>2.2449000000000012</v>
      </c>
      <c r="BG36" s="21" t="s">
        <v>1777</v>
      </c>
      <c r="BH36" s="21">
        <v>10.9184</v>
      </c>
      <c r="BJ36" s="21">
        <f>12.8571-BH36</f>
        <v>1.9387000000000008</v>
      </c>
      <c r="BK36" s="40"/>
    </row>
    <row r="37" spans="1:63" s="21" customFormat="1" x14ac:dyDescent="0.2">
      <c r="A37" s="21">
        <v>9</v>
      </c>
      <c r="B37" s="21" t="s">
        <v>1555</v>
      </c>
      <c r="C37" s="21" t="s">
        <v>1554</v>
      </c>
      <c r="D37" s="21" t="s">
        <v>1553</v>
      </c>
      <c r="E37" s="21" t="s">
        <v>1552</v>
      </c>
      <c r="F37" s="21" t="s">
        <v>267</v>
      </c>
      <c r="G37" s="21">
        <v>2020</v>
      </c>
      <c r="H37" s="21">
        <v>43880</v>
      </c>
      <c r="I37" s="21" t="s">
        <v>1551</v>
      </c>
      <c r="J37" s="21" t="s">
        <v>32</v>
      </c>
      <c r="K37" s="21" t="s">
        <v>1550</v>
      </c>
      <c r="L37" s="21">
        <v>2</v>
      </c>
      <c r="M37" s="21" t="s">
        <v>32</v>
      </c>
      <c r="N37" s="21" t="s">
        <v>34</v>
      </c>
      <c r="O37" s="21" t="s">
        <v>190</v>
      </c>
      <c r="P37" s="21" t="s">
        <v>34</v>
      </c>
      <c r="Q37" s="21" t="s">
        <v>34</v>
      </c>
      <c r="R37" s="21" t="s">
        <v>739</v>
      </c>
      <c r="S37" s="21" t="s">
        <v>34</v>
      </c>
      <c r="T37" s="21" t="s">
        <v>34</v>
      </c>
      <c r="U37" s="21" t="s">
        <v>32</v>
      </c>
      <c r="V37" s="21">
        <v>1</v>
      </c>
      <c r="W37" s="21" t="s">
        <v>34</v>
      </c>
      <c r="X37" s="21" t="s">
        <v>32</v>
      </c>
      <c r="Y37" s="21" t="s">
        <v>32</v>
      </c>
      <c r="Z37" s="21" t="s">
        <v>32</v>
      </c>
      <c r="AA37" s="21">
        <v>32066681</v>
      </c>
      <c r="AB37" s="21">
        <v>1</v>
      </c>
      <c r="AD37" s="21">
        <v>4</v>
      </c>
      <c r="AE37" s="23">
        <v>50</v>
      </c>
      <c r="AF37" s="21">
        <v>23</v>
      </c>
      <c r="AG37" s="21">
        <v>13</v>
      </c>
      <c r="AH37" s="21" t="s">
        <v>1642</v>
      </c>
      <c r="AI37" s="21" t="s">
        <v>1642</v>
      </c>
      <c r="AJ37" s="21" t="s">
        <v>1728</v>
      </c>
      <c r="AK37" s="21">
        <v>262.5</v>
      </c>
      <c r="AL37" s="21" t="s">
        <v>1646</v>
      </c>
      <c r="AM37" s="21" t="s">
        <v>1728</v>
      </c>
      <c r="AN37" s="21">
        <v>262.5</v>
      </c>
      <c r="AO37" s="21" t="s">
        <v>1646</v>
      </c>
      <c r="AP37" s="21">
        <v>1</v>
      </c>
      <c r="AQ37" s="21" t="s">
        <v>1760</v>
      </c>
      <c r="AR37" s="21" t="s">
        <v>1762</v>
      </c>
      <c r="AS37" s="21" t="s">
        <v>1770</v>
      </c>
      <c r="AT37" s="21" t="s">
        <v>1640</v>
      </c>
      <c r="AU37" s="21" t="s">
        <v>34</v>
      </c>
      <c r="AV37" s="21" t="s">
        <v>1772</v>
      </c>
      <c r="AW37" s="21" t="s">
        <v>1678</v>
      </c>
      <c r="AY37" s="21" t="s">
        <v>1750</v>
      </c>
      <c r="AZ37" s="21" t="s">
        <v>1769</v>
      </c>
      <c r="BA37" s="21">
        <v>231</v>
      </c>
      <c r="BB37" s="21">
        <v>222</v>
      </c>
      <c r="BC37" s="21" t="s">
        <v>1774</v>
      </c>
      <c r="BD37" s="21">
        <v>17.755099999999999</v>
      </c>
      <c r="BF37" s="21">
        <f>20-BD37</f>
        <v>2.2449000000000012</v>
      </c>
      <c r="BG37" s="21" t="s">
        <v>1778</v>
      </c>
      <c r="BH37" s="21">
        <v>12.551</v>
      </c>
      <c r="BJ37" s="21">
        <f>14.7959-BH37</f>
        <v>2.2448999999999995</v>
      </c>
      <c r="BK37" s="40"/>
    </row>
    <row r="38" spans="1:63" s="21" customFormat="1" x14ac:dyDescent="0.2">
      <c r="A38" s="21">
        <v>9</v>
      </c>
      <c r="B38" s="21" t="s">
        <v>1555</v>
      </c>
      <c r="C38" s="21" t="s">
        <v>1554</v>
      </c>
      <c r="D38" s="21" t="s">
        <v>1553</v>
      </c>
      <c r="E38" s="21" t="s">
        <v>1552</v>
      </c>
      <c r="F38" s="21" t="s">
        <v>267</v>
      </c>
      <c r="G38" s="21">
        <v>2020</v>
      </c>
      <c r="H38" s="21">
        <v>43880</v>
      </c>
      <c r="I38" s="21" t="s">
        <v>1551</v>
      </c>
      <c r="J38" s="21" t="s">
        <v>32</v>
      </c>
      <c r="K38" s="21" t="s">
        <v>1550</v>
      </c>
      <c r="L38" s="21">
        <v>2</v>
      </c>
      <c r="M38" s="21" t="s">
        <v>32</v>
      </c>
      <c r="N38" s="21" t="s">
        <v>34</v>
      </c>
      <c r="O38" s="21" t="s">
        <v>190</v>
      </c>
      <c r="P38" s="21" t="s">
        <v>34</v>
      </c>
      <c r="Q38" s="21" t="s">
        <v>34</v>
      </c>
      <c r="R38" s="21" t="s">
        <v>739</v>
      </c>
      <c r="S38" s="21" t="s">
        <v>34</v>
      </c>
      <c r="T38" s="21" t="s">
        <v>34</v>
      </c>
      <c r="U38" s="21" t="s">
        <v>32</v>
      </c>
      <c r="V38" s="21">
        <v>1</v>
      </c>
      <c r="W38" s="21" t="s">
        <v>34</v>
      </c>
      <c r="X38" s="21" t="s">
        <v>32</v>
      </c>
      <c r="Y38" s="21" t="s">
        <v>32</v>
      </c>
      <c r="Z38" s="21" t="s">
        <v>32</v>
      </c>
      <c r="AA38" s="21">
        <v>32066681</v>
      </c>
      <c r="AB38" s="21">
        <v>1</v>
      </c>
      <c r="AD38" s="21">
        <v>4</v>
      </c>
      <c r="AE38" s="23">
        <v>50</v>
      </c>
      <c r="AF38" s="21">
        <v>23</v>
      </c>
      <c r="AG38" s="21">
        <v>14</v>
      </c>
      <c r="AH38" s="21" t="s">
        <v>1642</v>
      </c>
      <c r="AI38" s="21" t="s">
        <v>1642</v>
      </c>
      <c r="AJ38" s="21" t="s">
        <v>1728</v>
      </c>
      <c r="AK38" s="21">
        <v>262.5</v>
      </c>
      <c r="AL38" s="21" t="s">
        <v>1646</v>
      </c>
      <c r="AM38" s="21" t="s">
        <v>1728</v>
      </c>
      <c r="AN38" s="21">
        <v>262.5</v>
      </c>
      <c r="AO38" s="21" t="s">
        <v>1646</v>
      </c>
      <c r="AP38" s="21">
        <v>1</v>
      </c>
      <c r="AQ38" s="21" t="s">
        <v>1760</v>
      </c>
      <c r="AR38" s="21" t="s">
        <v>1762</v>
      </c>
      <c r="AS38" s="21" t="s">
        <v>1638</v>
      </c>
      <c r="AT38" s="21" t="s">
        <v>1640</v>
      </c>
      <c r="AU38" s="21" t="s">
        <v>34</v>
      </c>
      <c r="AV38" s="21" t="s">
        <v>1761</v>
      </c>
      <c r="AW38" s="21" t="s">
        <v>1678</v>
      </c>
      <c r="AY38" s="21" t="s">
        <v>1750</v>
      </c>
      <c r="AZ38" s="21" t="s">
        <v>1768</v>
      </c>
      <c r="BA38" s="21">
        <v>231</v>
      </c>
      <c r="BB38" s="21">
        <v>221</v>
      </c>
      <c r="BC38" s="21" t="s">
        <v>1779</v>
      </c>
      <c r="BD38" s="21">
        <v>25.2316</v>
      </c>
      <c r="BF38" s="21">
        <f>30.7185-BD38</f>
        <v>5.4868999999999986</v>
      </c>
      <c r="BG38" s="21" t="s">
        <v>1782</v>
      </c>
      <c r="BH38" s="21">
        <v>12.6366</v>
      </c>
      <c r="BJ38" s="21">
        <f>14.7565-BH38</f>
        <v>2.1199000000000012</v>
      </c>
      <c r="BK38" s="40" t="s">
        <v>1781</v>
      </c>
    </row>
    <row r="39" spans="1:63" s="21" customFormat="1" x14ac:dyDescent="0.2">
      <c r="A39" s="21">
        <v>9</v>
      </c>
      <c r="B39" s="21" t="s">
        <v>1555</v>
      </c>
      <c r="C39" s="21" t="s">
        <v>1554</v>
      </c>
      <c r="D39" s="21" t="s">
        <v>1553</v>
      </c>
      <c r="E39" s="21" t="s">
        <v>1552</v>
      </c>
      <c r="F39" s="21" t="s">
        <v>267</v>
      </c>
      <c r="G39" s="21">
        <v>2020</v>
      </c>
      <c r="H39" s="21">
        <v>43880</v>
      </c>
      <c r="I39" s="21" t="s">
        <v>1551</v>
      </c>
      <c r="J39" s="21" t="s">
        <v>32</v>
      </c>
      <c r="K39" s="21" t="s">
        <v>1550</v>
      </c>
      <c r="L39" s="21">
        <v>2</v>
      </c>
      <c r="M39" s="21" t="s">
        <v>32</v>
      </c>
      <c r="N39" s="21" t="s">
        <v>34</v>
      </c>
      <c r="O39" s="21" t="s">
        <v>190</v>
      </c>
      <c r="P39" s="21" t="s">
        <v>34</v>
      </c>
      <c r="Q39" s="21" t="s">
        <v>34</v>
      </c>
      <c r="R39" s="21" t="s">
        <v>739</v>
      </c>
      <c r="S39" s="21" t="s">
        <v>34</v>
      </c>
      <c r="T39" s="21" t="s">
        <v>34</v>
      </c>
      <c r="U39" s="21" t="s">
        <v>32</v>
      </c>
      <c r="V39" s="21">
        <v>1</v>
      </c>
      <c r="W39" s="21" t="s">
        <v>34</v>
      </c>
      <c r="X39" s="21" t="s">
        <v>32</v>
      </c>
      <c r="Y39" s="21" t="s">
        <v>32</v>
      </c>
      <c r="Z39" s="21" t="s">
        <v>32</v>
      </c>
      <c r="AA39" s="21">
        <v>32066681</v>
      </c>
      <c r="AB39" s="21">
        <v>1</v>
      </c>
      <c r="AD39" s="21">
        <v>4</v>
      </c>
      <c r="AE39" s="23">
        <v>50</v>
      </c>
      <c r="AF39" s="21">
        <v>23</v>
      </c>
      <c r="AG39" s="21">
        <v>13</v>
      </c>
      <c r="AH39" s="21" t="s">
        <v>1642</v>
      </c>
      <c r="AI39" s="21" t="s">
        <v>1642</v>
      </c>
      <c r="AJ39" s="21" t="s">
        <v>1728</v>
      </c>
      <c r="AK39" s="21">
        <v>262.5</v>
      </c>
      <c r="AL39" s="21" t="s">
        <v>1646</v>
      </c>
      <c r="AM39" s="21" t="s">
        <v>1728</v>
      </c>
      <c r="AN39" s="21">
        <v>262.5</v>
      </c>
      <c r="AO39" s="21" t="s">
        <v>1646</v>
      </c>
      <c r="AP39" s="21">
        <v>1</v>
      </c>
      <c r="AQ39" s="21" t="s">
        <v>1760</v>
      </c>
      <c r="AR39" s="21" t="s">
        <v>1762</v>
      </c>
      <c r="AS39" s="21" t="s">
        <v>1770</v>
      </c>
      <c r="AT39" s="21" t="s">
        <v>1640</v>
      </c>
      <c r="AU39" s="21" t="s">
        <v>34</v>
      </c>
      <c r="AV39" s="21" t="s">
        <v>1761</v>
      </c>
      <c r="AW39" s="21" t="s">
        <v>1678</v>
      </c>
      <c r="AY39" s="21" t="s">
        <v>1750</v>
      </c>
      <c r="AZ39" s="21" t="s">
        <v>1769</v>
      </c>
      <c r="BA39" s="21">
        <v>231</v>
      </c>
      <c r="BB39" s="21">
        <v>222</v>
      </c>
      <c r="BC39" s="21" t="s">
        <v>1779</v>
      </c>
      <c r="BD39" s="21">
        <v>25.2316</v>
      </c>
      <c r="BF39" s="21">
        <f>30.7185-BD39</f>
        <v>5.4868999999999986</v>
      </c>
      <c r="BG39" s="21" t="s">
        <v>1780</v>
      </c>
      <c r="BH39" s="21">
        <v>16.8765</v>
      </c>
      <c r="BJ39" s="21">
        <f>19.62-BH39</f>
        <v>2.7435000000000009</v>
      </c>
      <c r="BK39" s="40" t="s">
        <v>1781</v>
      </c>
    </row>
    <row r="40" spans="1:63" x14ac:dyDescent="0.2">
      <c r="A40" s="7">
        <v>10</v>
      </c>
      <c r="B40" s="7" t="s">
        <v>1549</v>
      </c>
      <c r="C40" s="7" t="s">
        <v>1548</v>
      </c>
      <c r="D40" s="7" t="s">
        <v>1547</v>
      </c>
      <c r="E40" s="7" t="s">
        <v>1546</v>
      </c>
      <c r="F40" s="7" t="s">
        <v>167</v>
      </c>
      <c r="G40" s="7">
        <v>2020</v>
      </c>
      <c r="H40" s="7">
        <v>43873</v>
      </c>
      <c r="I40" s="7" t="s">
        <v>32</v>
      </c>
      <c r="J40" s="7" t="s">
        <v>32</v>
      </c>
      <c r="K40" s="7" t="s">
        <v>1545</v>
      </c>
      <c r="L40" s="7">
        <v>2</v>
      </c>
      <c r="M40" s="7" t="s">
        <v>32</v>
      </c>
      <c r="N40" s="7" t="s">
        <v>34</v>
      </c>
      <c r="O40" s="7" t="s">
        <v>34</v>
      </c>
      <c r="P40" s="7" t="s">
        <v>34</v>
      </c>
      <c r="Q40" s="7" t="s">
        <v>34</v>
      </c>
      <c r="R40" s="7" t="s">
        <v>34</v>
      </c>
      <c r="S40" s="7" t="s">
        <v>34</v>
      </c>
      <c r="T40" s="7" t="s">
        <v>34</v>
      </c>
      <c r="U40" s="7" t="s">
        <v>32</v>
      </c>
      <c r="V40" s="7">
        <v>1</v>
      </c>
      <c r="W40" s="7" t="s">
        <v>32</v>
      </c>
      <c r="X40" s="7" t="s">
        <v>32</v>
      </c>
      <c r="Y40" s="7" t="s">
        <v>32</v>
      </c>
      <c r="Z40" s="7" t="s">
        <v>32</v>
      </c>
      <c r="AA40" s="7">
        <v>32044404</v>
      </c>
      <c r="AB40" s="7">
        <v>1</v>
      </c>
      <c r="AD40" s="7">
        <v>4</v>
      </c>
      <c r="AE40" s="24">
        <v>16</v>
      </c>
      <c r="AF40" s="18">
        <v>8</v>
      </c>
      <c r="AG40" s="7">
        <v>8</v>
      </c>
      <c r="AH40" s="7" t="s">
        <v>1642</v>
      </c>
      <c r="AI40" s="7" t="s">
        <v>1642</v>
      </c>
      <c r="AK40" s="7">
        <v>200</v>
      </c>
      <c r="AN40" s="7">
        <v>200</v>
      </c>
      <c r="AP40" s="7" t="s">
        <v>1740</v>
      </c>
      <c r="AQ40" s="7" t="s">
        <v>1645</v>
      </c>
      <c r="AR40" s="7" t="s">
        <v>1637</v>
      </c>
      <c r="AS40" s="7" t="s">
        <v>1638</v>
      </c>
      <c r="AT40" s="7" t="s">
        <v>1729</v>
      </c>
      <c r="AU40" s="7" t="s">
        <v>178</v>
      </c>
      <c r="AV40" s="7" t="s">
        <v>1641</v>
      </c>
      <c r="AW40" s="7" t="s">
        <v>1639</v>
      </c>
      <c r="AX40" s="7" t="s">
        <v>1730</v>
      </c>
      <c r="AY40" s="21" t="s">
        <v>1750</v>
      </c>
      <c r="AZ40" s="7" t="s">
        <v>1650</v>
      </c>
      <c r="BA40" s="7">
        <v>232</v>
      </c>
      <c r="BB40" s="7">
        <v>223</v>
      </c>
      <c r="BC40" s="7" t="s">
        <v>1731</v>
      </c>
      <c r="BD40" s="7">
        <v>73.599900000000005</v>
      </c>
      <c r="BF40" s="7">
        <f>76.0843-BD40</f>
        <v>2.4843999999999937</v>
      </c>
      <c r="BG40" s="7" t="s">
        <v>1732</v>
      </c>
      <c r="BH40" s="7">
        <v>50.724600000000002</v>
      </c>
      <c r="BJ40" s="7">
        <f>53.706-BH40</f>
        <v>2.9814000000000007</v>
      </c>
    </row>
    <row r="41" spans="1:63" x14ac:dyDescent="0.2">
      <c r="A41" s="7">
        <v>10</v>
      </c>
      <c r="B41" s="7" t="s">
        <v>1549</v>
      </c>
      <c r="C41" s="7" t="s">
        <v>1548</v>
      </c>
      <c r="D41" s="7" t="s">
        <v>1547</v>
      </c>
      <c r="E41" s="7" t="s">
        <v>1546</v>
      </c>
      <c r="F41" s="7" t="s">
        <v>167</v>
      </c>
      <c r="G41" s="7">
        <v>2020</v>
      </c>
      <c r="H41" s="7">
        <v>43873</v>
      </c>
      <c r="I41" s="7" t="s">
        <v>32</v>
      </c>
      <c r="J41" s="7" t="s">
        <v>32</v>
      </c>
      <c r="K41" s="7" t="s">
        <v>1545</v>
      </c>
      <c r="L41" s="7">
        <v>2</v>
      </c>
      <c r="M41" s="7" t="s">
        <v>32</v>
      </c>
      <c r="N41" s="7" t="s">
        <v>34</v>
      </c>
      <c r="O41" s="7" t="s">
        <v>34</v>
      </c>
      <c r="P41" s="7" t="s">
        <v>34</v>
      </c>
      <c r="Q41" s="7" t="s">
        <v>34</v>
      </c>
      <c r="R41" s="7" t="s">
        <v>34</v>
      </c>
      <c r="S41" s="7" t="s">
        <v>34</v>
      </c>
      <c r="T41" s="7" t="s">
        <v>34</v>
      </c>
      <c r="U41" s="7" t="s">
        <v>32</v>
      </c>
      <c r="V41" s="7">
        <v>1</v>
      </c>
      <c r="W41" s="7" t="s">
        <v>32</v>
      </c>
      <c r="X41" s="7" t="s">
        <v>32</v>
      </c>
      <c r="Y41" s="7" t="s">
        <v>32</v>
      </c>
      <c r="Z41" s="7" t="s">
        <v>32</v>
      </c>
      <c r="AA41" s="7">
        <v>32044404</v>
      </c>
      <c r="AB41" s="7">
        <v>1</v>
      </c>
      <c r="AD41" s="7">
        <v>4</v>
      </c>
      <c r="AE41" s="24">
        <v>16</v>
      </c>
      <c r="AF41" s="18">
        <v>8</v>
      </c>
      <c r="AG41" s="7">
        <v>8</v>
      </c>
      <c r="AH41" s="7" t="s">
        <v>1642</v>
      </c>
      <c r="AI41" s="7" t="s">
        <v>1642</v>
      </c>
      <c r="AK41" s="7">
        <v>200</v>
      </c>
      <c r="AN41" s="7">
        <v>200</v>
      </c>
      <c r="AP41" s="7" t="s">
        <v>1740</v>
      </c>
      <c r="AQ41" s="7" t="s">
        <v>1645</v>
      </c>
      <c r="AR41" s="7" t="s">
        <v>1637</v>
      </c>
      <c r="AS41" s="7" t="s">
        <v>1638</v>
      </c>
      <c r="AT41" s="7" t="s">
        <v>1729</v>
      </c>
      <c r="AU41" s="7" t="s">
        <v>178</v>
      </c>
      <c r="AV41" s="7" t="s">
        <v>1641</v>
      </c>
      <c r="AW41" s="7" t="s">
        <v>1639</v>
      </c>
      <c r="AX41" s="7" t="s">
        <v>1730</v>
      </c>
      <c r="AY41" s="21" t="s">
        <v>1750</v>
      </c>
      <c r="AZ41" s="7" t="s">
        <v>1650</v>
      </c>
      <c r="BA41" s="7">
        <v>232</v>
      </c>
      <c r="BB41" s="7">
        <v>223</v>
      </c>
      <c r="BC41" s="7" t="s">
        <v>1733</v>
      </c>
      <c r="BD41" s="19">
        <v>59.5212</v>
      </c>
      <c r="BF41" s="7">
        <f>64.7386-BD41</f>
        <v>5.2174000000000049</v>
      </c>
      <c r="BG41" s="7" t="s">
        <v>1735</v>
      </c>
      <c r="BH41" s="7">
        <v>59.0062</v>
      </c>
      <c r="BJ41" s="7">
        <f>61.9876-BH41</f>
        <v>2.9814000000000007</v>
      </c>
    </row>
    <row r="42" spans="1:63" x14ac:dyDescent="0.2">
      <c r="A42" s="7">
        <v>10</v>
      </c>
      <c r="B42" s="7" t="s">
        <v>1549</v>
      </c>
      <c r="C42" s="7" t="s">
        <v>1548</v>
      </c>
      <c r="D42" s="7" t="s">
        <v>1547</v>
      </c>
      <c r="E42" s="7" t="s">
        <v>1546</v>
      </c>
      <c r="F42" s="7" t="s">
        <v>167</v>
      </c>
      <c r="G42" s="7">
        <v>2020</v>
      </c>
      <c r="H42" s="7">
        <v>43873</v>
      </c>
      <c r="I42" s="7" t="s">
        <v>32</v>
      </c>
      <c r="J42" s="7" t="s">
        <v>32</v>
      </c>
      <c r="K42" s="7" t="s">
        <v>1545</v>
      </c>
      <c r="L42" s="7">
        <v>2</v>
      </c>
      <c r="M42" s="7" t="s">
        <v>32</v>
      </c>
      <c r="N42" s="7" t="s">
        <v>34</v>
      </c>
      <c r="O42" s="7" t="s">
        <v>34</v>
      </c>
      <c r="P42" s="7" t="s">
        <v>34</v>
      </c>
      <c r="Q42" s="7" t="s">
        <v>34</v>
      </c>
      <c r="R42" s="7" t="s">
        <v>34</v>
      </c>
      <c r="S42" s="7" t="s">
        <v>34</v>
      </c>
      <c r="T42" s="7" t="s">
        <v>34</v>
      </c>
      <c r="U42" s="7" t="s">
        <v>32</v>
      </c>
      <c r="V42" s="7">
        <v>1</v>
      </c>
      <c r="W42" s="7" t="s">
        <v>32</v>
      </c>
      <c r="X42" s="7" t="s">
        <v>32</v>
      </c>
      <c r="Y42" s="7" t="s">
        <v>32</v>
      </c>
      <c r="Z42" s="7" t="s">
        <v>32</v>
      </c>
      <c r="AA42" s="7">
        <v>32044404</v>
      </c>
      <c r="AB42" s="7">
        <v>1</v>
      </c>
      <c r="AD42" s="7">
        <v>4</v>
      </c>
      <c r="AE42" s="24">
        <v>16</v>
      </c>
      <c r="AF42" s="18">
        <v>8</v>
      </c>
      <c r="AG42" s="7">
        <v>8</v>
      </c>
      <c r="AH42" s="7" t="s">
        <v>1642</v>
      </c>
      <c r="AI42" s="7" t="s">
        <v>1642</v>
      </c>
      <c r="AK42" s="7">
        <v>200</v>
      </c>
      <c r="AN42" s="7">
        <v>200</v>
      </c>
      <c r="AP42" s="7" t="s">
        <v>1740</v>
      </c>
      <c r="AQ42" s="7" t="s">
        <v>1645</v>
      </c>
      <c r="AR42" s="7" t="s">
        <v>1637</v>
      </c>
      <c r="AS42" s="7" t="s">
        <v>1638</v>
      </c>
      <c r="AT42" s="7" t="s">
        <v>1729</v>
      </c>
      <c r="AU42" s="7" t="s">
        <v>178</v>
      </c>
      <c r="AV42" s="7" t="s">
        <v>1641</v>
      </c>
      <c r="AW42" s="7" t="s">
        <v>1639</v>
      </c>
      <c r="AX42" s="7" t="s">
        <v>1730</v>
      </c>
      <c r="AY42" s="21" t="s">
        <v>1750</v>
      </c>
      <c r="AZ42" s="7" t="s">
        <v>1650</v>
      </c>
      <c r="BA42" s="7">
        <v>232</v>
      </c>
      <c r="BB42" s="7">
        <v>223</v>
      </c>
      <c r="BC42" s="7" t="s">
        <v>1734</v>
      </c>
      <c r="BD42" s="7">
        <v>61.095100000000002</v>
      </c>
      <c r="BF42" s="7">
        <f>64.3249-BD42</f>
        <v>3.2297999999999973</v>
      </c>
      <c r="BG42" s="7" t="s">
        <v>1736</v>
      </c>
      <c r="BH42" s="7">
        <v>60.082799999999999</v>
      </c>
      <c r="BJ42" s="7">
        <f>63.3122-BH42</f>
        <v>3.2293999999999983</v>
      </c>
    </row>
    <row r="43" spans="1:63" s="20" customFormat="1" x14ac:dyDescent="0.2">
      <c r="A43" s="20">
        <v>11</v>
      </c>
      <c r="B43" s="20" t="s">
        <v>1544</v>
      </c>
      <c r="C43" s="20" t="s">
        <v>1543</v>
      </c>
      <c r="D43" s="20" t="s">
        <v>1542</v>
      </c>
      <c r="E43" s="20" t="s">
        <v>1541</v>
      </c>
      <c r="F43" s="20" t="s">
        <v>1408</v>
      </c>
      <c r="G43" s="20">
        <v>2020</v>
      </c>
      <c r="H43" s="20">
        <v>43868</v>
      </c>
      <c r="I43" s="20" t="s">
        <v>1540</v>
      </c>
      <c r="J43" s="20" t="s">
        <v>32</v>
      </c>
      <c r="K43" s="20" t="s">
        <v>1539</v>
      </c>
      <c r="L43" s="20">
        <v>2</v>
      </c>
      <c r="M43" s="20" t="s">
        <v>32</v>
      </c>
      <c r="N43" s="20" t="s">
        <v>34</v>
      </c>
      <c r="O43" s="20" t="s">
        <v>34</v>
      </c>
      <c r="P43" s="20" t="s">
        <v>34</v>
      </c>
      <c r="Q43" s="20" t="s">
        <v>34</v>
      </c>
      <c r="R43" s="20" t="s">
        <v>34</v>
      </c>
      <c r="S43" s="20" t="s">
        <v>34</v>
      </c>
      <c r="T43" s="20" t="s">
        <v>34</v>
      </c>
      <c r="U43" s="20" t="s">
        <v>34</v>
      </c>
      <c r="V43" s="20">
        <v>1</v>
      </c>
      <c r="W43" s="20" t="s">
        <v>32</v>
      </c>
      <c r="X43" s="20">
        <v>1</v>
      </c>
      <c r="Y43" s="20" t="s">
        <v>1538</v>
      </c>
      <c r="Z43" s="20" t="s">
        <v>1537</v>
      </c>
      <c r="AA43" s="20">
        <v>32024104</v>
      </c>
      <c r="AB43" s="20">
        <v>0</v>
      </c>
      <c r="AC43" s="20" t="s">
        <v>1738</v>
      </c>
      <c r="AE43" s="26"/>
      <c r="BK43" s="41" t="s">
        <v>1737</v>
      </c>
    </row>
    <row r="44" spans="1:63" s="20" customFormat="1" x14ac:dyDescent="0.2">
      <c r="A44" s="20">
        <v>12</v>
      </c>
      <c r="B44" s="20" t="s">
        <v>1536</v>
      </c>
      <c r="C44" s="20" t="s">
        <v>1535</v>
      </c>
      <c r="D44" s="20" t="s">
        <v>1534</v>
      </c>
      <c r="E44" s="20" t="s">
        <v>1533</v>
      </c>
      <c r="F44" s="20" t="s">
        <v>1532</v>
      </c>
      <c r="G44" s="20">
        <v>2020</v>
      </c>
      <c r="H44" s="20">
        <v>43865</v>
      </c>
      <c r="I44" s="20" t="s">
        <v>32</v>
      </c>
      <c r="J44" s="20" t="s">
        <v>32</v>
      </c>
      <c r="K44" s="20" t="s">
        <v>1531</v>
      </c>
      <c r="L44" s="20">
        <v>2</v>
      </c>
      <c r="M44" s="20" t="s">
        <v>1530</v>
      </c>
      <c r="N44" s="20" t="s">
        <v>1529</v>
      </c>
      <c r="O44" s="20" t="s">
        <v>34</v>
      </c>
      <c r="P44" s="20" t="s">
        <v>34</v>
      </c>
      <c r="Q44" s="20" t="s">
        <v>34</v>
      </c>
      <c r="R44" s="20" t="s">
        <v>34</v>
      </c>
      <c r="S44" s="20" t="s">
        <v>34</v>
      </c>
      <c r="T44" s="20" t="s">
        <v>34</v>
      </c>
      <c r="U44" s="20" t="s">
        <v>1528</v>
      </c>
      <c r="V44" s="20" t="s">
        <v>190</v>
      </c>
      <c r="W44" s="20" t="s">
        <v>32</v>
      </c>
      <c r="X44" s="20" t="s">
        <v>32</v>
      </c>
      <c r="Y44" s="20" t="s">
        <v>1019</v>
      </c>
      <c r="Z44" s="20" t="s">
        <v>1527</v>
      </c>
      <c r="AA44" s="20">
        <v>32008312</v>
      </c>
      <c r="AB44" s="20">
        <v>0</v>
      </c>
      <c r="AC44" s="20" t="s">
        <v>1745</v>
      </c>
      <c r="AE44" s="26"/>
      <c r="BK44" s="41" t="s">
        <v>1739</v>
      </c>
    </row>
    <row r="45" spans="1:63" s="20" customFormat="1" x14ac:dyDescent="0.2">
      <c r="A45" s="20">
        <v>13</v>
      </c>
      <c r="B45" s="20" t="s">
        <v>1526</v>
      </c>
      <c r="C45" s="20" t="s">
        <v>1525</v>
      </c>
      <c r="D45" s="20" t="s">
        <v>1524</v>
      </c>
      <c r="E45" s="20" t="s">
        <v>1523</v>
      </c>
      <c r="F45" s="20" t="s">
        <v>1522</v>
      </c>
      <c r="G45" s="20">
        <v>2020</v>
      </c>
      <c r="H45" s="20">
        <v>43837</v>
      </c>
      <c r="I45" s="20" t="s">
        <v>32</v>
      </c>
      <c r="J45" s="20" t="s">
        <v>32</v>
      </c>
      <c r="K45" s="20" t="s">
        <v>1521</v>
      </c>
      <c r="L45" s="20">
        <v>2</v>
      </c>
      <c r="M45" s="20" t="s">
        <v>32</v>
      </c>
      <c r="N45" s="20" t="s">
        <v>34</v>
      </c>
      <c r="O45" s="20" t="s">
        <v>190</v>
      </c>
      <c r="P45" s="20" t="s">
        <v>34</v>
      </c>
      <c r="Q45" s="20" t="s">
        <v>34</v>
      </c>
      <c r="R45" s="20" t="s">
        <v>739</v>
      </c>
      <c r="S45" s="20" t="s">
        <v>34</v>
      </c>
      <c r="T45" s="20" t="s">
        <v>34</v>
      </c>
      <c r="U45" s="20" t="s">
        <v>32</v>
      </c>
      <c r="V45" s="20">
        <v>1</v>
      </c>
      <c r="W45" s="20" t="s">
        <v>32</v>
      </c>
      <c r="X45" s="20" t="s">
        <v>32</v>
      </c>
      <c r="Y45" s="20" t="s">
        <v>32</v>
      </c>
      <c r="Z45" s="20" t="s">
        <v>32</v>
      </c>
      <c r="AA45" s="20">
        <v>31903815</v>
      </c>
      <c r="AB45" s="20">
        <v>0</v>
      </c>
      <c r="AC45" s="20" t="s">
        <v>2776</v>
      </c>
      <c r="AD45" s="20">
        <v>4</v>
      </c>
      <c r="AE45" s="26">
        <v>12</v>
      </c>
      <c r="AF45" s="20">
        <v>6</v>
      </c>
      <c r="AG45" s="20">
        <v>6</v>
      </c>
      <c r="AH45" s="20" t="s">
        <v>1642</v>
      </c>
      <c r="AI45" s="20" t="s">
        <v>1642</v>
      </c>
      <c r="AK45" s="20">
        <v>215</v>
      </c>
      <c r="AN45" s="20">
        <v>215</v>
      </c>
      <c r="AP45" s="20">
        <v>1</v>
      </c>
      <c r="AQ45" s="20" t="s">
        <v>1746</v>
      </c>
      <c r="AR45" s="20" t="s">
        <v>1744</v>
      </c>
      <c r="AS45" s="20" t="s">
        <v>1878</v>
      </c>
      <c r="AT45" s="20" t="s">
        <v>1742</v>
      </c>
      <c r="AU45" s="20" t="s">
        <v>178</v>
      </c>
      <c r="AV45" s="20" t="s">
        <v>1747</v>
      </c>
      <c r="AW45" s="20" t="s">
        <v>1678</v>
      </c>
      <c r="AX45" s="20" t="s">
        <v>1741</v>
      </c>
      <c r="AY45" s="20" t="s">
        <v>1750</v>
      </c>
      <c r="AZ45" s="20" t="s">
        <v>1650</v>
      </c>
      <c r="BB45" s="20">
        <v>251</v>
      </c>
      <c r="BC45" s="20" t="s">
        <v>1748</v>
      </c>
      <c r="BD45" s="20">
        <v>73.807699999999997</v>
      </c>
      <c r="BE45" s="20">
        <f>79.8406-BD45</f>
        <v>6.0328999999999979</v>
      </c>
      <c r="BG45" s="20" t="s">
        <v>1749</v>
      </c>
      <c r="BH45" s="20">
        <v>39.264400000000002</v>
      </c>
      <c r="BI45" s="20">
        <f>42.7379-BH45</f>
        <v>3.4735000000000014</v>
      </c>
      <c r="BK45" s="41" t="s">
        <v>2005</v>
      </c>
    </row>
    <row r="46" spans="1:63" x14ac:dyDescent="0.2">
      <c r="A46" s="7">
        <v>14</v>
      </c>
      <c r="B46" s="7" t="s">
        <v>1520</v>
      </c>
      <c r="C46" s="7" t="s">
        <v>1519</v>
      </c>
      <c r="D46" s="7" t="s">
        <v>1518</v>
      </c>
      <c r="E46" s="7" t="s">
        <v>1517</v>
      </c>
      <c r="F46" s="7" t="s">
        <v>1516</v>
      </c>
      <c r="G46" s="7">
        <v>2020</v>
      </c>
      <c r="H46" s="7">
        <v>43823</v>
      </c>
      <c r="I46" s="7" t="s">
        <v>32</v>
      </c>
      <c r="J46" s="7" t="s">
        <v>32</v>
      </c>
      <c r="K46" s="7" t="s">
        <v>1515</v>
      </c>
      <c r="L46" s="7">
        <v>2</v>
      </c>
      <c r="M46" s="7" t="s">
        <v>32</v>
      </c>
      <c r="N46" s="7" t="s">
        <v>34</v>
      </c>
      <c r="O46" s="7" t="s">
        <v>190</v>
      </c>
      <c r="P46" s="7" t="s">
        <v>34</v>
      </c>
      <c r="Q46" s="7" t="s">
        <v>34</v>
      </c>
      <c r="R46" s="7" t="s">
        <v>34</v>
      </c>
      <c r="S46" s="7" t="s">
        <v>34</v>
      </c>
      <c r="T46" s="7" t="s">
        <v>34</v>
      </c>
      <c r="U46" s="7" t="s">
        <v>32</v>
      </c>
      <c r="V46" s="7">
        <v>1</v>
      </c>
      <c r="W46" s="7" t="s">
        <v>32</v>
      </c>
      <c r="X46" s="7" t="s">
        <v>32</v>
      </c>
      <c r="Y46" s="7" t="s">
        <v>32</v>
      </c>
      <c r="Z46" s="7" t="s">
        <v>32</v>
      </c>
      <c r="AA46" s="7">
        <v>31869485</v>
      </c>
      <c r="AB46" s="7">
        <v>1</v>
      </c>
      <c r="AD46" s="7">
        <v>4</v>
      </c>
      <c r="AE46" s="24">
        <v>16</v>
      </c>
      <c r="AF46" s="7">
        <v>8</v>
      </c>
      <c r="AG46" s="7">
        <v>8</v>
      </c>
      <c r="AH46" s="7" t="s">
        <v>1642</v>
      </c>
      <c r="AI46" s="7" t="s">
        <v>1642</v>
      </c>
      <c r="AJ46" s="7" t="s">
        <v>1743</v>
      </c>
      <c r="AK46" s="7">
        <v>170</v>
      </c>
      <c r="AM46" s="7" t="s">
        <v>1743</v>
      </c>
      <c r="AN46" s="7">
        <v>170</v>
      </c>
      <c r="AP46" s="7">
        <v>5</v>
      </c>
      <c r="AQ46" s="7" t="s">
        <v>1790</v>
      </c>
      <c r="AR46" s="7" t="s">
        <v>1637</v>
      </c>
      <c r="AS46" s="7" t="s">
        <v>1638</v>
      </c>
      <c r="AT46" s="7" t="s">
        <v>1729</v>
      </c>
      <c r="AU46" s="7" t="s">
        <v>178</v>
      </c>
      <c r="AW46" s="7" t="s">
        <v>1639</v>
      </c>
      <c r="AX46" s="7" t="s">
        <v>2006</v>
      </c>
      <c r="AY46" s="21" t="s">
        <v>2007</v>
      </c>
      <c r="AZ46" s="7" t="s">
        <v>1650</v>
      </c>
      <c r="BA46" s="7">
        <v>233</v>
      </c>
      <c r="BB46" s="7">
        <v>224</v>
      </c>
      <c r="BC46" s="7" t="s">
        <v>1783</v>
      </c>
      <c r="BD46" s="7">
        <v>68.947400000000002</v>
      </c>
      <c r="BF46" s="7">
        <f>72.1053-BD46</f>
        <v>3.1578999999999979</v>
      </c>
      <c r="BG46" s="7" t="s">
        <v>1784</v>
      </c>
      <c r="BH46" s="7">
        <v>30.263200000000001</v>
      </c>
      <c r="BJ46" s="7">
        <f>33.1579-BH46</f>
        <v>2.8946999999999967</v>
      </c>
      <c r="BK46" s="43" t="s">
        <v>2008</v>
      </c>
    </row>
    <row r="47" spans="1:63" x14ac:dyDescent="0.2">
      <c r="A47" s="7">
        <v>14</v>
      </c>
      <c r="B47" s="7" t="s">
        <v>1520</v>
      </c>
      <c r="C47" s="7" t="s">
        <v>1519</v>
      </c>
      <c r="D47" s="7" t="s">
        <v>1518</v>
      </c>
      <c r="E47" s="7" t="s">
        <v>1517</v>
      </c>
      <c r="F47" s="7" t="s">
        <v>1516</v>
      </c>
      <c r="G47" s="7">
        <v>2020</v>
      </c>
      <c r="H47" s="7">
        <v>43823</v>
      </c>
      <c r="I47" s="7" t="s">
        <v>32</v>
      </c>
      <c r="J47" s="7" t="s">
        <v>32</v>
      </c>
      <c r="K47" s="7" t="s">
        <v>1515</v>
      </c>
      <c r="L47" s="7">
        <v>2</v>
      </c>
      <c r="M47" s="7" t="s">
        <v>32</v>
      </c>
      <c r="N47" s="7" t="s">
        <v>34</v>
      </c>
      <c r="O47" s="7" t="s">
        <v>190</v>
      </c>
      <c r="P47" s="7" t="s">
        <v>34</v>
      </c>
      <c r="Q47" s="7" t="s">
        <v>34</v>
      </c>
      <c r="R47" s="7" t="s">
        <v>34</v>
      </c>
      <c r="S47" s="7" t="s">
        <v>34</v>
      </c>
      <c r="T47" s="7" t="s">
        <v>34</v>
      </c>
      <c r="U47" s="7" t="s">
        <v>32</v>
      </c>
      <c r="V47" s="7">
        <v>1</v>
      </c>
      <c r="W47" s="7" t="s">
        <v>32</v>
      </c>
      <c r="X47" s="7" t="s">
        <v>32</v>
      </c>
      <c r="Y47" s="7" t="s">
        <v>32</v>
      </c>
      <c r="Z47" s="7" t="s">
        <v>32</v>
      </c>
      <c r="AA47" s="7">
        <v>31869485</v>
      </c>
      <c r="AB47" s="7">
        <v>1</v>
      </c>
      <c r="AD47" s="7">
        <v>4</v>
      </c>
      <c r="AE47" s="24">
        <v>16</v>
      </c>
      <c r="AF47" s="7">
        <v>8</v>
      </c>
      <c r="AG47" s="7">
        <v>8</v>
      </c>
      <c r="AH47" s="7" t="s">
        <v>1642</v>
      </c>
      <c r="AI47" s="7" t="s">
        <v>1642</v>
      </c>
      <c r="AJ47" s="7" t="s">
        <v>1743</v>
      </c>
      <c r="AK47" s="7">
        <v>170</v>
      </c>
      <c r="AM47" s="7" t="s">
        <v>1743</v>
      </c>
      <c r="AN47" s="7">
        <v>170</v>
      </c>
      <c r="AP47" s="7">
        <v>5</v>
      </c>
      <c r="AQ47" s="7" t="s">
        <v>1790</v>
      </c>
      <c r="AR47" s="7" t="s">
        <v>1637</v>
      </c>
      <c r="AS47" s="7" t="s">
        <v>1638</v>
      </c>
      <c r="AT47" s="7" t="s">
        <v>1729</v>
      </c>
      <c r="AU47" s="7" t="s">
        <v>178</v>
      </c>
      <c r="AW47" s="7" t="s">
        <v>1639</v>
      </c>
      <c r="AX47" s="7" t="s">
        <v>2006</v>
      </c>
      <c r="AY47" s="21" t="s">
        <v>2007</v>
      </c>
      <c r="AZ47" s="7" t="s">
        <v>1650</v>
      </c>
      <c r="BA47" s="7">
        <v>233</v>
      </c>
      <c r="BB47" s="7">
        <v>224</v>
      </c>
      <c r="BC47" s="7" t="s">
        <v>1785</v>
      </c>
      <c r="BD47" s="7">
        <v>61.683700000000002</v>
      </c>
      <c r="BF47" s="7">
        <f>64.5959-BD47</f>
        <v>2.9121999999999986</v>
      </c>
      <c r="BG47" s="7" t="s">
        <v>1786</v>
      </c>
      <c r="BH47" s="7">
        <v>33.374600000000001</v>
      </c>
      <c r="BJ47" s="7">
        <f>35.4303-BH47</f>
        <v>2.0557000000000016</v>
      </c>
      <c r="BK47" s="43" t="s">
        <v>2008</v>
      </c>
    </row>
    <row r="48" spans="1:63" s="20" customFormat="1" x14ac:dyDescent="0.2">
      <c r="A48" s="20">
        <v>15</v>
      </c>
      <c r="B48" s="20" t="s">
        <v>1514</v>
      </c>
      <c r="C48" s="20" t="s">
        <v>1513</v>
      </c>
      <c r="D48" s="20" t="s">
        <v>1512</v>
      </c>
      <c r="E48" s="20" t="s">
        <v>1427</v>
      </c>
      <c r="F48" s="20" t="s">
        <v>153</v>
      </c>
      <c r="G48" s="20">
        <v>2020</v>
      </c>
      <c r="H48" s="20">
        <v>43821</v>
      </c>
      <c r="I48" s="20" t="s">
        <v>32</v>
      </c>
      <c r="J48" s="20" t="s">
        <v>32</v>
      </c>
      <c r="K48" s="20" t="s">
        <v>1511</v>
      </c>
      <c r="L48" s="20">
        <v>2</v>
      </c>
      <c r="M48" s="20" t="s">
        <v>32</v>
      </c>
      <c r="N48" s="20" t="s">
        <v>1510</v>
      </c>
      <c r="O48" s="20" t="s">
        <v>34</v>
      </c>
      <c r="P48" s="20" t="s">
        <v>34</v>
      </c>
      <c r="Q48" s="20" t="s">
        <v>34</v>
      </c>
      <c r="R48" s="20" t="s">
        <v>34</v>
      </c>
      <c r="S48" s="20" t="s">
        <v>34</v>
      </c>
      <c r="T48" s="20" t="s">
        <v>34</v>
      </c>
      <c r="U48" s="20" t="s">
        <v>34</v>
      </c>
      <c r="V48" s="20">
        <v>1</v>
      </c>
      <c r="W48" s="20" t="s">
        <v>178</v>
      </c>
      <c r="X48" s="20">
        <v>1</v>
      </c>
      <c r="Y48" s="20" t="s">
        <v>1509</v>
      </c>
      <c r="Z48" s="20" t="s">
        <v>1508</v>
      </c>
      <c r="AA48" s="20">
        <v>31863872</v>
      </c>
      <c r="AB48" s="20">
        <v>1</v>
      </c>
      <c r="AD48" s="20">
        <v>4</v>
      </c>
      <c r="AE48" s="30">
        <v>23</v>
      </c>
      <c r="AF48" s="20">
        <v>8</v>
      </c>
      <c r="AG48" s="20">
        <v>15</v>
      </c>
      <c r="AH48" s="20" t="s">
        <v>1642</v>
      </c>
      <c r="AI48" s="20" t="s">
        <v>1642</v>
      </c>
      <c r="AJ48" s="20" t="s">
        <v>1788</v>
      </c>
      <c r="AK48" s="20">
        <v>265</v>
      </c>
      <c r="AM48" s="20" t="s">
        <v>1788</v>
      </c>
      <c r="AN48" s="20">
        <v>265</v>
      </c>
      <c r="AP48" s="20" t="s">
        <v>1792</v>
      </c>
      <c r="AQ48" s="20" t="s">
        <v>1791</v>
      </c>
      <c r="AR48" s="20" t="s">
        <v>1637</v>
      </c>
      <c r="AS48" s="20" t="s">
        <v>1667</v>
      </c>
      <c r="AT48" s="20" t="s">
        <v>1640</v>
      </c>
      <c r="AU48" s="20" t="s">
        <v>178</v>
      </c>
      <c r="AV48" s="20" t="s">
        <v>1641</v>
      </c>
      <c r="AW48" s="20" t="s">
        <v>1639</v>
      </c>
      <c r="AX48" s="20" t="s">
        <v>1789</v>
      </c>
      <c r="AZ48" s="20" t="s">
        <v>1650</v>
      </c>
      <c r="BK48" s="41"/>
    </row>
    <row r="49" spans="1:63" x14ac:dyDescent="0.2">
      <c r="A49" s="7">
        <v>16</v>
      </c>
      <c r="B49" s="7" t="s">
        <v>1507</v>
      </c>
      <c r="C49" s="7" t="s">
        <v>1506</v>
      </c>
      <c r="D49" s="7" t="s">
        <v>1505</v>
      </c>
      <c r="E49" s="7" t="s">
        <v>1297</v>
      </c>
      <c r="F49" s="7" t="s">
        <v>167</v>
      </c>
      <c r="G49" s="7">
        <v>2020</v>
      </c>
      <c r="H49" s="7">
        <v>43782</v>
      </c>
      <c r="I49" s="7" t="s">
        <v>32</v>
      </c>
      <c r="J49" s="7" t="s">
        <v>32</v>
      </c>
      <c r="K49" s="7" t="s">
        <v>1504</v>
      </c>
      <c r="L49" s="7">
        <v>2</v>
      </c>
      <c r="M49" s="7" t="s">
        <v>1503</v>
      </c>
      <c r="N49" s="7" t="s">
        <v>34</v>
      </c>
      <c r="O49" s="7" t="s">
        <v>190</v>
      </c>
      <c r="P49" s="7" t="s">
        <v>34</v>
      </c>
      <c r="Q49" s="7" t="s">
        <v>34</v>
      </c>
      <c r="R49" s="7" t="s">
        <v>34</v>
      </c>
      <c r="S49" s="7" t="s">
        <v>34</v>
      </c>
      <c r="T49" s="7" t="s">
        <v>34</v>
      </c>
      <c r="U49" s="7" t="s">
        <v>32</v>
      </c>
      <c r="V49" s="7">
        <v>1</v>
      </c>
      <c r="W49" s="7" t="s">
        <v>32</v>
      </c>
      <c r="X49" s="7" t="s">
        <v>32</v>
      </c>
      <c r="Y49" s="7" t="s">
        <v>32</v>
      </c>
      <c r="Z49" s="7" t="s">
        <v>32</v>
      </c>
      <c r="AA49" s="7">
        <v>31711893</v>
      </c>
      <c r="AB49" s="7">
        <v>1</v>
      </c>
      <c r="AD49" s="7">
        <v>4</v>
      </c>
      <c r="AE49" s="27">
        <v>30</v>
      </c>
      <c r="AF49" s="7">
        <v>15</v>
      </c>
      <c r="AG49" s="7">
        <v>15</v>
      </c>
      <c r="AH49" s="7" t="s">
        <v>1642</v>
      </c>
      <c r="AI49" s="7" t="s">
        <v>1642</v>
      </c>
      <c r="AK49" s="7">
        <v>175</v>
      </c>
      <c r="AN49" s="7">
        <v>175</v>
      </c>
      <c r="AR49" s="7" t="s">
        <v>1637</v>
      </c>
      <c r="AS49" s="7" t="s">
        <v>1638</v>
      </c>
      <c r="AT49" s="7" t="s">
        <v>1729</v>
      </c>
      <c r="AU49" s="7" t="s">
        <v>178</v>
      </c>
      <c r="AV49" s="7" t="s">
        <v>32</v>
      </c>
      <c r="AW49" s="7" t="s">
        <v>1794</v>
      </c>
      <c r="AX49" s="7" t="s">
        <v>1793</v>
      </c>
      <c r="AY49" s="7" t="s">
        <v>1795</v>
      </c>
      <c r="AZ49" s="7" t="s">
        <v>1650</v>
      </c>
      <c r="BA49" s="7">
        <v>234</v>
      </c>
      <c r="BB49" s="7">
        <v>225</v>
      </c>
      <c r="BC49" s="7" t="s">
        <v>1796</v>
      </c>
      <c r="BD49" s="7">
        <v>2.6787899999999998</v>
      </c>
      <c r="BF49" s="7">
        <f>3.10236-BD49</f>
        <v>0.42357000000000022</v>
      </c>
      <c r="BG49" s="7" t="s">
        <v>1799</v>
      </c>
      <c r="BH49" s="7">
        <v>2.8629500000000001</v>
      </c>
      <c r="BJ49" s="7">
        <f>3.45227-BH49</f>
        <v>0.58931999999999984</v>
      </c>
    </row>
    <row r="50" spans="1:63" x14ac:dyDescent="0.2">
      <c r="A50" s="7">
        <v>16</v>
      </c>
      <c r="B50" s="7" t="s">
        <v>1507</v>
      </c>
      <c r="C50" s="7" t="s">
        <v>1506</v>
      </c>
      <c r="D50" s="7" t="s">
        <v>1505</v>
      </c>
      <c r="E50" s="7" t="s">
        <v>1297</v>
      </c>
      <c r="F50" s="7" t="s">
        <v>167</v>
      </c>
      <c r="G50" s="7">
        <v>2020</v>
      </c>
      <c r="H50" s="7">
        <v>43782</v>
      </c>
      <c r="I50" s="7" t="s">
        <v>32</v>
      </c>
      <c r="J50" s="7" t="s">
        <v>32</v>
      </c>
      <c r="K50" s="7" t="s">
        <v>1504</v>
      </c>
      <c r="L50" s="7">
        <v>2</v>
      </c>
      <c r="M50" s="7" t="s">
        <v>1503</v>
      </c>
      <c r="N50" s="7" t="s">
        <v>34</v>
      </c>
      <c r="O50" s="7" t="s">
        <v>190</v>
      </c>
      <c r="P50" s="7" t="s">
        <v>34</v>
      </c>
      <c r="Q50" s="7" t="s">
        <v>34</v>
      </c>
      <c r="R50" s="7" t="s">
        <v>34</v>
      </c>
      <c r="S50" s="7" t="s">
        <v>34</v>
      </c>
      <c r="T50" s="7" t="s">
        <v>34</v>
      </c>
      <c r="U50" s="7" t="s">
        <v>32</v>
      </c>
      <c r="V50" s="7">
        <v>1</v>
      </c>
      <c r="W50" s="7" t="s">
        <v>32</v>
      </c>
      <c r="X50" s="7" t="s">
        <v>32</v>
      </c>
      <c r="Y50" s="7" t="s">
        <v>32</v>
      </c>
      <c r="Z50" s="7" t="s">
        <v>32</v>
      </c>
      <c r="AA50" s="7">
        <v>31711893</v>
      </c>
      <c r="AB50" s="7">
        <v>1</v>
      </c>
      <c r="AD50" s="7">
        <v>4</v>
      </c>
      <c r="AE50" s="27">
        <v>30</v>
      </c>
      <c r="AF50" s="7">
        <v>15</v>
      </c>
      <c r="AG50" s="7">
        <v>15</v>
      </c>
      <c r="AH50" s="7" t="s">
        <v>1642</v>
      </c>
      <c r="AI50" s="7" t="s">
        <v>1642</v>
      </c>
      <c r="AK50" s="7">
        <v>175</v>
      </c>
      <c r="AN50" s="7">
        <v>175</v>
      </c>
      <c r="AR50" s="7" t="s">
        <v>1637</v>
      </c>
      <c r="AS50" s="7" t="s">
        <v>1638</v>
      </c>
      <c r="AT50" s="7" t="s">
        <v>1729</v>
      </c>
      <c r="AU50" s="7" t="s">
        <v>178</v>
      </c>
      <c r="AV50" s="7" t="s">
        <v>32</v>
      </c>
      <c r="AW50" s="7" t="s">
        <v>1794</v>
      </c>
      <c r="AX50" s="7" t="s">
        <v>1793</v>
      </c>
      <c r="AY50" s="7" t="s">
        <v>1795</v>
      </c>
      <c r="AZ50" s="7" t="s">
        <v>1650</v>
      </c>
      <c r="BA50" s="7">
        <v>234</v>
      </c>
      <c r="BB50" s="7">
        <v>225</v>
      </c>
      <c r="BC50" s="7" t="s">
        <v>1797</v>
      </c>
      <c r="BD50" s="7">
        <v>1.91988</v>
      </c>
      <c r="BF50" s="7">
        <f>2.30663-BD50</f>
        <v>0.38675000000000015</v>
      </c>
      <c r="BG50" s="7" t="s">
        <v>1800</v>
      </c>
      <c r="BH50" s="7">
        <v>1.5975999999999999</v>
      </c>
      <c r="BJ50" s="7">
        <f>2.00276-BH50</f>
        <v>0.40515999999999996</v>
      </c>
    </row>
    <row r="51" spans="1:63" x14ac:dyDescent="0.2">
      <c r="A51" s="7">
        <v>16</v>
      </c>
      <c r="B51" s="7" t="s">
        <v>1507</v>
      </c>
      <c r="C51" s="7" t="s">
        <v>1506</v>
      </c>
      <c r="D51" s="7" t="s">
        <v>1505</v>
      </c>
      <c r="E51" s="7" t="s">
        <v>1297</v>
      </c>
      <c r="F51" s="7" t="s">
        <v>167</v>
      </c>
      <c r="G51" s="7">
        <v>2020</v>
      </c>
      <c r="H51" s="7">
        <v>43782</v>
      </c>
      <c r="I51" s="7" t="s">
        <v>32</v>
      </c>
      <c r="J51" s="7" t="s">
        <v>32</v>
      </c>
      <c r="K51" s="7" t="s">
        <v>1504</v>
      </c>
      <c r="L51" s="7">
        <v>2</v>
      </c>
      <c r="M51" s="7" t="s">
        <v>1503</v>
      </c>
      <c r="N51" s="7" t="s">
        <v>34</v>
      </c>
      <c r="O51" s="7" t="s">
        <v>190</v>
      </c>
      <c r="P51" s="7" t="s">
        <v>34</v>
      </c>
      <c r="Q51" s="7" t="s">
        <v>34</v>
      </c>
      <c r="R51" s="7" t="s">
        <v>34</v>
      </c>
      <c r="S51" s="7" t="s">
        <v>34</v>
      </c>
      <c r="T51" s="7" t="s">
        <v>34</v>
      </c>
      <c r="U51" s="7" t="s">
        <v>32</v>
      </c>
      <c r="V51" s="7">
        <v>1</v>
      </c>
      <c r="W51" s="7" t="s">
        <v>32</v>
      </c>
      <c r="X51" s="7" t="s">
        <v>32</v>
      </c>
      <c r="Y51" s="7" t="s">
        <v>32</v>
      </c>
      <c r="Z51" s="7" t="s">
        <v>32</v>
      </c>
      <c r="AA51" s="7">
        <v>31711893</v>
      </c>
      <c r="AB51" s="7">
        <v>1</v>
      </c>
      <c r="AD51" s="7">
        <v>4</v>
      </c>
      <c r="AE51" s="27">
        <v>30</v>
      </c>
      <c r="AF51" s="7">
        <v>15</v>
      </c>
      <c r="AG51" s="7">
        <v>15</v>
      </c>
      <c r="AH51" s="7" t="s">
        <v>1642</v>
      </c>
      <c r="AI51" s="7" t="s">
        <v>1642</v>
      </c>
      <c r="AK51" s="7">
        <v>175</v>
      </c>
      <c r="AN51" s="7">
        <v>175</v>
      </c>
      <c r="AR51" s="7" t="s">
        <v>1637</v>
      </c>
      <c r="AS51" s="7" t="s">
        <v>1638</v>
      </c>
      <c r="AT51" s="7" t="s">
        <v>1729</v>
      </c>
      <c r="AU51" s="7" t="s">
        <v>178</v>
      </c>
      <c r="AV51" s="7" t="s">
        <v>32</v>
      </c>
      <c r="AW51" s="7" t="s">
        <v>1794</v>
      </c>
      <c r="AX51" s="7" t="s">
        <v>1793</v>
      </c>
      <c r="AY51" s="7" t="s">
        <v>1795</v>
      </c>
      <c r="AZ51" s="7" t="s">
        <v>1650</v>
      </c>
      <c r="BA51" s="7">
        <v>234</v>
      </c>
      <c r="BB51" s="7">
        <v>225</v>
      </c>
      <c r="BC51" s="7" t="s">
        <v>1798</v>
      </c>
      <c r="BD51" s="7">
        <v>1.64825</v>
      </c>
      <c r="BF51" s="7">
        <f>1.93369-BD51</f>
        <v>0.28543999999999992</v>
      </c>
      <c r="BG51" s="7" t="s">
        <v>1801</v>
      </c>
      <c r="BH51" s="7">
        <v>1.2799199999999999</v>
      </c>
      <c r="BJ51" s="7">
        <f>1.593-BH51</f>
        <v>0.31308000000000002</v>
      </c>
    </row>
    <row r="52" spans="1:63" x14ac:dyDescent="0.2">
      <c r="A52" s="7">
        <v>16</v>
      </c>
      <c r="B52" s="7" t="s">
        <v>1507</v>
      </c>
      <c r="C52" s="7" t="s">
        <v>1506</v>
      </c>
      <c r="D52" s="7" t="s">
        <v>1505</v>
      </c>
      <c r="E52" s="7" t="s">
        <v>1297</v>
      </c>
      <c r="F52" s="7" t="s">
        <v>167</v>
      </c>
      <c r="G52" s="7">
        <v>2020</v>
      </c>
      <c r="H52" s="7">
        <v>43782</v>
      </c>
      <c r="I52" s="7" t="s">
        <v>32</v>
      </c>
      <c r="J52" s="7" t="s">
        <v>32</v>
      </c>
      <c r="K52" s="7" t="s">
        <v>1504</v>
      </c>
      <c r="L52" s="7">
        <v>2</v>
      </c>
      <c r="M52" s="7" t="s">
        <v>1503</v>
      </c>
      <c r="N52" s="7" t="s">
        <v>34</v>
      </c>
      <c r="O52" s="7" t="s">
        <v>190</v>
      </c>
      <c r="P52" s="7" t="s">
        <v>34</v>
      </c>
      <c r="Q52" s="7" t="s">
        <v>34</v>
      </c>
      <c r="R52" s="7" t="s">
        <v>34</v>
      </c>
      <c r="S52" s="7" t="s">
        <v>34</v>
      </c>
      <c r="T52" s="7" t="s">
        <v>34</v>
      </c>
      <c r="U52" s="7" t="s">
        <v>32</v>
      </c>
      <c r="V52" s="7">
        <v>1</v>
      </c>
      <c r="W52" s="7" t="s">
        <v>32</v>
      </c>
      <c r="X52" s="7" t="s">
        <v>32</v>
      </c>
      <c r="Y52" s="7" t="s">
        <v>32</v>
      </c>
      <c r="Z52" s="7" t="s">
        <v>32</v>
      </c>
      <c r="AA52" s="7">
        <v>31711893</v>
      </c>
      <c r="AB52" s="7">
        <v>1</v>
      </c>
      <c r="AD52" s="7">
        <v>4</v>
      </c>
      <c r="AE52" s="27">
        <v>30</v>
      </c>
      <c r="AF52" s="7">
        <v>15</v>
      </c>
      <c r="AG52" s="7">
        <v>15</v>
      </c>
      <c r="AH52" s="7" t="s">
        <v>1642</v>
      </c>
      <c r="AI52" s="7" t="s">
        <v>1642</v>
      </c>
      <c r="AK52" s="7">
        <v>175</v>
      </c>
      <c r="AN52" s="7">
        <v>175</v>
      </c>
      <c r="AR52" s="7" t="s">
        <v>1637</v>
      </c>
      <c r="AS52" s="7" t="s">
        <v>1638</v>
      </c>
      <c r="AT52" s="7" t="s">
        <v>1729</v>
      </c>
      <c r="AU52" s="7" t="s">
        <v>178</v>
      </c>
      <c r="AV52" s="7" t="s">
        <v>32</v>
      </c>
      <c r="AW52" s="7" t="s">
        <v>1794</v>
      </c>
      <c r="AX52" s="7" t="s">
        <v>1793</v>
      </c>
      <c r="AY52" s="7" t="s">
        <v>1808</v>
      </c>
      <c r="AZ52" s="7" t="s">
        <v>1650</v>
      </c>
      <c r="BA52" s="7">
        <v>234</v>
      </c>
      <c r="BB52" s="7">
        <v>225</v>
      </c>
      <c r="BC52" s="7" t="s">
        <v>1802</v>
      </c>
      <c r="BD52" s="7">
        <v>3.1981899999999999</v>
      </c>
      <c r="BF52" s="7">
        <f>3.75977-BD52</f>
        <v>0.56158000000000019</v>
      </c>
      <c r="BG52" s="7" t="s">
        <v>1803</v>
      </c>
      <c r="BH52" s="7">
        <v>0.96401800000000004</v>
      </c>
      <c r="BJ52" s="7">
        <f>1.20047-BH52</f>
        <v>0.23645199999999988</v>
      </c>
    </row>
    <row r="53" spans="1:63" x14ac:dyDescent="0.2">
      <c r="A53" s="7">
        <v>16</v>
      </c>
      <c r="B53" s="7" t="s">
        <v>1507</v>
      </c>
      <c r="C53" s="7" t="s">
        <v>1506</v>
      </c>
      <c r="D53" s="7" t="s">
        <v>1505</v>
      </c>
      <c r="E53" s="7" t="s">
        <v>1297</v>
      </c>
      <c r="F53" s="7" t="s">
        <v>167</v>
      </c>
      <c r="G53" s="7">
        <v>2020</v>
      </c>
      <c r="H53" s="7">
        <v>43782</v>
      </c>
      <c r="I53" s="7" t="s">
        <v>32</v>
      </c>
      <c r="J53" s="7" t="s">
        <v>32</v>
      </c>
      <c r="K53" s="7" t="s">
        <v>1504</v>
      </c>
      <c r="L53" s="7">
        <v>2</v>
      </c>
      <c r="M53" s="7" t="s">
        <v>1503</v>
      </c>
      <c r="N53" s="7" t="s">
        <v>34</v>
      </c>
      <c r="O53" s="7" t="s">
        <v>190</v>
      </c>
      <c r="P53" s="7" t="s">
        <v>34</v>
      </c>
      <c r="Q53" s="7" t="s">
        <v>34</v>
      </c>
      <c r="R53" s="7" t="s">
        <v>34</v>
      </c>
      <c r="S53" s="7" t="s">
        <v>34</v>
      </c>
      <c r="T53" s="7" t="s">
        <v>34</v>
      </c>
      <c r="U53" s="7" t="s">
        <v>32</v>
      </c>
      <c r="V53" s="7">
        <v>1</v>
      </c>
      <c r="W53" s="7" t="s">
        <v>32</v>
      </c>
      <c r="X53" s="7" t="s">
        <v>32</v>
      </c>
      <c r="Y53" s="7" t="s">
        <v>32</v>
      </c>
      <c r="Z53" s="7" t="s">
        <v>32</v>
      </c>
      <c r="AA53" s="7">
        <v>31711893</v>
      </c>
      <c r="AB53" s="7">
        <v>1</v>
      </c>
      <c r="AD53" s="7">
        <v>4</v>
      </c>
      <c r="AE53" s="27">
        <v>30</v>
      </c>
      <c r="AF53" s="7">
        <v>15</v>
      </c>
      <c r="AG53" s="7">
        <v>15</v>
      </c>
      <c r="AH53" s="7" t="s">
        <v>1642</v>
      </c>
      <c r="AI53" s="7" t="s">
        <v>1642</v>
      </c>
      <c r="AK53" s="7">
        <v>175</v>
      </c>
      <c r="AN53" s="7">
        <v>175</v>
      </c>
      <c r="AR53" s="7" t="s">
        <v>1637</v>
      </c>
      <c r="AS53" s="7" t="s">
        <v>1638</v>
      </c>
      <c r="AT53" s="7" t="s">
        <v>1729</v>
      </c>
      <c r="AU53" s="7" t="s">
        <v>178</v>
      </c>
      <c r="AV53" s="7" t="s">
        <v>32</v>
      </c>
      <c r="AW53" s="7" t="s">
        <v>1794</v>
      </c>
      <c r="AX53" s="7" t="s">
        <v>1793</v>
      </c>
      <c r="AY53" s="7" t="s">
        <v>1809</v>
      </c>
      <c r="AZ53" s="7" t="s">
        <v>1650</v>
      </c>
      <c r="BA53" s="7">
        <v>234</v>
      </c>
      <c r="BB53" s="7">
        <v>225</v>
      </c>
      <c r="BC53" s="7" t="s">
        <v>1804</v>
      </c>
      <c r="BD53" s="7">
        <v>3.0248200000000001</v>
      </c>
      <c r="BF53" s="7">
        <f>3.42899-BD53</f>
        <v>0.40417000000000014</v>
      </c>
      <c r="BG53" s="7" t="s">
        <v>1805</v>
      </c>
      <c r="BH53" s="7">
        <v>1.1533599999999999</v>
      </c>
      <c r="BJ53" s="7">
        <f>1.57367-BH53</f>
        <v>0.42030999999999996</v>
      </c>
    </row>
    <row r="54" spans="1:63" x14ac:dyDescent="0.2">
      <c r="A54" s="7">
        <v>16</v>
      </c>
      <c r="B54" s="7" t="s">
        <v>1507</v>
      </c>
      <c r="C54" s="7" t="s">
        <v>1506</v>
      </c>
      <c r="D54" s="7" t="s">
        <v>1505</v>
      </c>
      <c r="E54" s="7" t="s">
        <v>1297</v>
      </c>
      <c r="F54" s="7" t="s">
        <v>167</v>
      </c>
      <c r="G54" s="7">
        <v>2020</v>
      </c>
      <c r="H54" s="7">
        <v>43782</v>
      </c>
      <c r="I54" s="7" t="s">
        <v>32</v>
      </c>
      <c r="J54" s="7" t="s">
        <v>32</v>
      </c>
      <c r="K54" s="7" t="s">
        <v>1504</v>
      </c>
      <c r="L54" s="7">
        <v>2</v>
      </c>
      <c r="M54" s="7" t="s">
        <v>1503</v>
      </c>
      <c r="N54" s="7" t="s">
        <v>34</v>
      </c>
      <c r="O54" s="7" t="s">
        <v>190</v>
      </c>
      <c r="P54" s="7" t="s">
        <v>34</v>
      </c>
      <c r="Q54" s="7" t="s">
        <v>34</v>
      </c>
      <c r="R54" s="7" t="s">
        <v>34</v>
      </c>
      <c r="S54" s="7" t="s">
        <v>34</v>
      </c>
      <c r="T54" s="7" t="s">
        <v>34</v>
      </c>
      <c r="U54" s="7" t="s">
        <v>32</v>
      </c>
      <c r="V54" s="7">
        <v>1</v>
      </c>
      <c r="W54" s="7" t="s">
        <v>32</v>
      </c>
      <c r="X54" s="7" t="s">
        <v>32</v>
      </c>
      <c r="Y54" s="7" t="s">
        <v>32</v>
      </c>
      <c r="Z54" s="7" t="s">
        <v>32</v>
      </c>
      <c r="AA54" s="7">
        <v>31711893</v>
      </c>
      <c r="AB54" s="7">
        <v>1</v>
      </c>
      <c r="AD54" s="7">
        <v>4</v>
      </c>
      <c r="AE54" s="27">
        <v>30</v>
      </c>
      <c r="AF54" s="7">
        <v>15</v>
      </c>
      <c r="AG54" s="7">
        <v>15</v>
      </c>
      <c r="AH54" s="7" t="s">
        <v>1642</v>
      </c>
      <c r="AI54" s="7" t="s">
        <v>1642</v>
      </c>
      <c r="AK54" s="7">
        <v>175</v>
      </c>
      <c r="AN54" s="7">
        <v>175</v>
      </c>
      <c r="AR54" s="7" t="s">
        <v>1637</v>
      </c>
      <c r="AS54" s="7" t="s">
        <v>1638</v>
      </c>
      <c r="AT54" s="7" t="s">
        <v>1729</v>
      </c>
      <c r="AU54" s="7" t="s">
        <v>178</v>
      </c>
      <c r="AV54" s="7" t="s">
        <v>32</v>
      </c>
      <c r="AW54" s="7" t="s">
        <v>1794</v>
      </c>
      <c r="AX54" s="7" t="s">
        <v>1793</v>
      </c>
      <c r="AY54" s="7" t="s">
        <v>1809</v>
      </c>
      <c r="AZ54" s="7" t="s">
        <v>1650</v>
      </c>
      <c r="BA54" s="7">
        <v>234</v>
      </c>
      <c r="BB54" s="7">
        <v>225</v>
      </c>
      <c r="BC54" s="7" t="s">
        <v>1806</v>
      </c>
      <c r="BD54" s="7">
        <v>3.4692400000000001</v>
      </c>
      <c r="BF54" s="7">
        <f>3.95705-BD54</f>
        <v>0.48781000000000008</v>
      </c>
      <c r="BG54" s="7" t="s">
        <v>1807</v>
      </c>
      <c r="BH54" s="7">
        <v>0.94477100000000003</v>
      </c>
      <c r="BJ54" s="7">
        <f>1.19843-BH54</f>
        <v>0.25365900000000008</v>
      </c>
    </row>
    <row r="55" spans="1:63" x14ac:dyDescent="0.2">
      <c r="A55" s="7">
        <v>17</v>
      </c>
      <c r="B55" s="7" t="s">
        <v>1502</v>
      </c>
      <c r="C55" s="7" t="s">
        <v>1501</v>
      </c>
      <c r="D55" s="7" t="s">
        <v>1500</v>
      </c>
      <c r="E55" s="7" t="s">
        <v>1499</v>
      </c>
      <c r="F55" s="7" t="s">
        <v>1498</v>
      </c>
      <c r="G55" s="7">
        <v>2019</v>
      </c>
      <c r="H55" s="7">
        <v>43762</v>
      </c>
      <c r="I55" s="7" t="s">
        <v>32</v>
      </c>
      <c r="J55" s="7" t="s">
        <v>32</v>
      </c>
      <c r="K55" s="7" t="s">
        <v>1497</v>
      </c>
      <c r="L55" s="7">
        <v>2</v>
      </c>
      <c r="M55" s="7" t="s">
        <v>32</v>
      </c>
      <c r="N55" s="7" t="s">
        <v>1177</v>
      </c>
      <c r="O55" s="7" t="s">
        <v>190</v>
      </c>
      <c r="P55" s="7" t="s">
        <v>34</v>
      </c>
      <c r="Q55" s="7" t="s">
        <v>34</v>
      </c>
      <c r="R55" s="7" t="s">
        <v>739</v>
      </c>
      <c r="S55" s="7" t="s">
        <v>34</v>
      </c>
      <c r="T55" s="7" t="s">
        <v>34</v>
      </c>
      <c r="U55" s="7" t="s">
        <v>32</v>
      </c>
      <c r="V55" s="7">
        <v>1</v>
      </c>
      <c r="W55" s="7" t="s">
        <v>32</v>
      </c>
      <c r="X55" s="7" t="s">
        <v>32</v>
      </c>
      <c r="Y55" s="7" t="s">
        <v>32</v>
      </c>
      <c r="Z55" s="7" t="s">
        <v>32</v>
      </c>
      <c r="AA55" s="7">
        <v>31642818</v>
      </c>
      <c r="AB55" s="7">
        <v>1</v>
      </c>
      <c r="AD55" s="7">
        <v>4</v>
      </c>
      <c r="AE55" s="24">
        <v>16</v>
      </c>
      <c r="AF55" s="7">
        <v>8</v>
      </c>
      <c r="AG55" s="7">
        <v>8</v>
      </c>
      <c r="AH55" s="7" t="s">
        <v>1642</v>
      </c>
      <c r="AI55" s="7" t="s">
        <v>1642</v>
      </c>
      <c r="AJ55" s="7" t="s">
        <v>1810</v>
      </c>
      <c r="AK55" s="7">
        <v>275</v>
      </c>
      <c r="AM55" s="7" t="s">
        <v>1810</v>
      </c>
      <c r="AN55" s="7">
        <v>275</v>
      </c>
      <c r="AR55" s="7" t="s">
        <v>1675</v>
      </c>
      <c r="AS55" s="21" t="s">
        <v>1667</v>
      </c>
      <c r="AT55" s="7" t="s">
        <v>1729</v>
      </c>
      <c r="AU55" s="7" t="s">
        <v>178</v>
      </c>
      <c r="AV55" s="7" t="s">
        <v>1747</v>
      </c>
      <c r="AW55" s="7" t="s">
        <v>1690</v>
      </c>
      <c r="AX55" s="7" t="s">
        <v>1793</v>
      </c>
      <c r="AY55" s="21" t="s">
        <v>2022</v>
      </c>
      <c r="AZ55" s="7" t="s">
        <v>1650</v>
      </c>
      <c r="BA55" s="7">
        <v>235</v>
      </c>
      <c r="BB55" s="7">
        <v>226</v>
      </c>
      <c r="BC55" s="7" t="s">
        <v>1811</v>
      </c>
      <c r="BD55" s="7">
        <v>-4.4720199999999997</v>
      </c>
      <c r="BE55" s="7">
        <f>6.50411-4.47202</f>
        <v>2.0320900000000002</v>
      </c>
      <c r="BG55" s="7" t="s">
        <v>1812</v>
      </c>
      <c r="BH55" s="7">
        <v>4.4450900000000004</v>
      </c>
      <c r="BI55" s="7">
        <f>5.51471-BH55</f>
        <v>1.0696199999999996</v>
      </c>
      <c r="BK55" s="43" t="s">
        <v>2008</v>
      </c>
    </row>
    <row r="56" spans="1:63" s="21" customFormat="1" x14ac:dyDescent="0.2">
      <c r="A56" s="21">
        <v>18</v>
      </c>
      <c r="B56" s="21" t="s">
        <v>1496</v>
      </c>
      <c r="C56" s="21" t="s">
        <v>1495</v>
      </c>
      <c r="D56" s="21" t="s">
        <v>1494</v>
      </c>
      <c r="E56" s="21" t="s">
        <v>1493</v>
      </c>
      <c r="F56" s="21" t="s">
        <v>185</v>
      </c>
      <c r="G56" s="21">
        <v>2020</v>
      </c>
      <c r="H56" s="21">
        <v>43756</v>
      </c>
      <c r="I56" s="21" t="s">
        <v>32</v>
      </c>
      <c r="J56" s="21" t="s">
        <v>32</v>
      </c>
      <c r="K56" s="21" t="s">
        <v>1492</v>
      </c>
      <c r="L56" s="21">
        <v>2</v>
      </c>
      <c r="M56" s="21" t="s">
        <v>32</v>
      </c>
      <c r="N56" s="21" t="s">
        <v>34</v>
      </c>
      <c r="O56" s="21" t="s">
        <v>190</v>
      </c>
      <c r="P56" s="21" t="s">
        <v>34</v>
      </c>
      <c r="Q56" s="21" t="s">
        <v>34</v>
      </c>
      <c r="R56" s="21" t="s">
        <v>739</v>
      </c>
      <c r="S56" s="21" t="s">
        <v>34</v>
      </c>
      <c r="T56" s="21" t="s">
        <v>34</v>
      </c>
      <c r="U56" s="21" t="s">
        <v>32</v>
      </c>
      <c r="V56" s="21">
        <v>1</v>
      </c>
      <c r="W56" s="21" t="s">
        <v>32</v>
      </c>
      <c r="X56" s="21" t="s">
        <v>32</v>
      </c>
      <c r="Y56" s="21" t="s">
        <v>32</v>
      </c>
      <c r="Z56" s="21" t="s">
        <v>32</v>
      </c>
      <c r="AA56" s="21">
        <v>31622603</v>
      </c>
      <c r="AB56" s="21">
        <v>1</v>
      </c>
      <c r="AD56" s="21">
        <v>4</v>
      </c>
      <c r="AE56" s="23">
        <v>14</v>
      </c>
      <c r="AF56" s="21">
        <v>7</v>
      </c>
      <c r="AG56" s="21">
        <v>7</v>
      </c>
      <c r="AH56" s="21" t="s">
        <v>1642</v>
      </c>
      <c r="AI56" s="21" t="s">
        <v>1642</v>
      </c>
      <c r="AK56" s="21">
        <v>235</v>
      </c>
      <c r="AN56" s="21">
        <v>235</v>
      </c>
      <c r="AP56" s="21">
        <v>1</v>
      </c>
      <c r="AQ56" s="21" t="s">
        <v>1787</v>
      </c>
      <c r="AR56" s="21" t="s">
        <v>1814</v>
      </c>
      <c r="AS56" s="21" t="s">
        <v>1667</v>
      </c>
      <c r="AT56" s="21" t="s">
        <v>1640</v>
      </c>
      <c r="AU56" s="21" t="s">
        <v>178</v>
      </c>
      <c r="AV56" s="21" t="s">
        <v>1816</v>
      </c>
      <c r="AW56" s="21" t="s">
        <v>1678</v>
      </c>
      <c r="AX56" s="21" t="s">
        <v>1813</v>
      </c>
      <c r="AY56" s="21" t="s">
        <v>2023</v>
      </c>
      <c r="AZ56" s="21" t="s">
        <v>1650</v>
      </c>
      <c r="BA56" s="21">
        <v>236</v>
      </c>
      <c r="BB56" s="21">
        <v>227</v>
      </c>
      <c r="BC56" s="21" t="s">
        <v>1823</v>
      </c>
      <c r="BD56" s="21">
        <v>247.77</v>
      </c>
      <c r="BF56" s="21">
        <f>276.207-BD56</f>
        <v>28.436999999999983</v>
      </c>
      <c r="BG56" s="21" t="s">
        <v>1835</v>
      </c>
      <c r="BH56" s="21">
        <v>17.088999999999999</v>
      </c>
      <c r="BJ56" s="21">
        <f>24.6726-BH56</f>
        <v>7.5836000000000006</v>
      </c>
      <c r="BK56" s="40" t="s">
        <v>1822</v>
      </c>
    </row>
    <row r="57" spans="1:63" x14ac:dyDescent="0.2">
      <c r="A57" s="7">
        <v>18</v>
      </c>
      <c r="B57" s="7" t="s">
        <v>1496</v>
      </c>
      <c r="C57" s="7" t="s">
        <v>1495</v>
      </c>
      <c r="D57" s="7" t="s">
        <v>1494</v>
      </c>
      <c r="E57" s="7" t="s">
        <v>1493</v>
      </c>
      <c r="F57" s="7" t="s">
        <v>185</v>
      </c>
      <c r="G57" s="7">
        <v>2020</v>
      </c>
      <c r="H57" s="7">
        <v>43756</v>
      </c>
      <c r="I57" s="7" t="s">
        <v>32</v>
      </c>
      <c r="J57" s="7" t="s">
        <v>32</v>
      </c>
      <c r="K57" s="7" t="s">
        <v>1492</v>
      </c>
      <c r="L57" s="7">
        <v>2</v>
      </c>
      <c r="M57" s="7" t="s">
        <v>32</v>
      </c>
      <c r="N57" s="7" t="s">
        <v>34</v>
      </c>
      <c r="O57" s="7" t="s">
        <v>190</v>
      </c>
      <c r="P57" s="7" t="s">
        <v>34</v>
      </c>
      <c r="Q57" s="7" t="s">
        <v>34</v>
      </c>
      <c r="R57" s="7" t="s">
        <v>739</v>
      </c>
      <c r="S57" s="7" t="s">
        <v>34</v>
      </c>
      <c r="T57" s="7" t="s">
        <v>34</v>
      </c>
      <c r="U57" s="7" t="s">
        <v>32</v>
      </c>
      <c r="V57" s="7">
        <v>1</v>
      </c>
      <c r="W57" s="7" t="s">
        <v>32</v>
      </c>
      <c r="X57" s="7" t="s">
        <v>32</v>
      </c>
      <c r="Y57" s="7" t="s">
        <v>32</v>
      </c>
      <c r="Z57" s="7" t="s">
        <v>32</v>
      </c>
      <c r="AA57" s="7">
        <v>31622603</v>
      </c>
      <c r="AB57" s="7">
        <v>1</v>
      </c>
      <c r="AD57" s="7">
        <v>4</v>
      </c>
      <c r="AE57" s="24">
        <v>14</v>
      </c>
      <c r="AF57" s="7">
        <v>7</v>
      </c>
      <c r="AG57" s="7">
        <v>7</v>
      </c>
      <c r="AH57" s="7" t="s">
        <v>1642</v>
      </c>
      <c r="AI57" s="7" t="s">
        <v>1642</v>
      </c>
      <c r="AK57" s="7">
        <v>235</v>
      </c>
      <c r="AN57" s="7">
        <v>235</v>
      </c>
      <c r="AP57" s="7">
        <v>1</v>
      </c>
      <c r="AQ57" s="7" t="s">
        <v>1787</v>
      </c>
      <c r="AR57" s="7" t="s">
        <v>1814</v>
      </c>
      <c r="AS57" s="7" t="s">
        <v>1667</v>
      </c>
      <c r="AT57" s="7" t="s">
        <v>1640</v>
      </c>
      <c r="AU57" s="7" t="s">
        <v>178</v>
      </c>
      <c r="AV57" s="7" t="s">
        <v>1816</v>
      </c>
      <c r="AW57" s="7" t="s">
        <v>1678</v>
      </c>
      <c r="AX57" s="7" t="s">
        <v>1813</v>
      </c>
      <c r="AY57" s="7" t="s">
        <v>1817</v>
      </c>
      <c r="AZ57" s="7" t="s">
        <v>1650</v>
      </c>
      <c r="BA57" s="7">
        <v>236</v>
      </c>
      <c r="BB57" s="7">
        <v>227</v>
      </c>
      <c r="BC57" s="7" t="s">
        <v>1824</v>
      </c>
      <c r="BD57" s="7">
        <v>224.548</v>
      </c>
      <c r="BF57" s="7">
        <f>257.408-BD57</f>
        <v>32.860000000000014</v>
      </c>
      <c r="BG57" s="7" t="s">
        <v>1836</v>
      </c>
      <c r="BH57" s="7">
        <v>10.923500000000001</v>
      </c>
      <c r="BJ57" s="7">
        <f>19.139-BH57</f>
        <v>8.2154999999999987</v>
      </c>
    </row>
    <row r="58" spans="1:63" x14ac:dyDescent="0.2">
      <c r="A58" s="7">
        <v>18</v>
      </c>
      <c r="B58" s="7" t="s">
        <v>1496</v>
      </c>
      <c r="C58" s="7" t="s">
        <v>1495</v>
      </c>
      <c r="D58" s="7" t="s">
        <v>1494</v>
      </c>
      <c r="E58" s="7" t="s">
        <v>1493</v>
      </c>
      <c r="F58" s="7" t="s">
        <v>185</v>
      </c>
      <c r="G58" s="7">
        <v>2020</v>
      </c>
      <c r="H58" s="7">
        <v>43756</v>
      </c>
      <c r="I58" s="7" t="s">
        <v>32</v>
      </c>
      <c r="J58" s="7" t="s">
        <v>32</v>
      </c>
      <c r="K58" s="7" t="s">
        <v>1492</v>
      </c>
      <c r="L58" s="7">
        <v>2</v>
      </c>
      <c r="M58" s="7" t="s">
        <v>32</v>
      </c>
      <c r="N58" s="7" t="s">
        <v>34</v>
      </c>
      <c r="O58" s="7" t="s">
        <v>190</v>
      </c>
      <c r="P58" s="7" t="s">
        <v>34</v>
      </c>
      <c r="Q58" s="7" t="s">
        <v>34</v>
      </c>
      <c r="R58" s="7" t="s">
        <v>739</v>
      </c>
      <c r="S58" s="7" t="s">
        <v>34</v>
      </c>
      <c r="T58" s="7" t="s">
        <v>34</v>
      </c>
      <c r="U58" s="7" t="s">
        <v>32</v>
      </c>
      <c r="V58" s="7">
        <v>1</v>
      </c>
      <c r="W58" s="7" t="s">
        <v>32</v>
      </c>
      <c r="X58" s="7" t="s">
        <v>32</v>
      </c>
      <c r="Y58" s="7" t="s">
        <v>32</v>
      </c>
      <c r="Z58" s="7" t="s">
        <v>32</v>
      </c>
      <c r="AA58" s="7">
        <v>31622603</v>
      </c>
      <c r="AB58" s="7">
        <v>1</v>
      </c>
      <c r="AD58" s="7">
        <v>4</v>
      </c>
      <c r="AE58" s="24">
        <v>14</v>
      </c>
      <c r="AF58" s="7">
        <v>7</v>
      </c>
      <c r="AG58" s="7">
        <v>7</v>
      </c>
      <c r="AH58" s="7" t="s">
        <v>1642</v>
      </c>
      <c r="AI58" s="7" t="s">
        <v>1642</v>
      </c>
      <c r="AK58" s="7">
        <v>235</v>
      </c>
      <c r="AN58" s="7">
        <v>235</v>
      </c>
      <c r="AP58" s="7">
        <v>1</v>
      </c>
      <c r="AQ58" s="7" t="s">
        <v>1787</v>
      </c>
      <c r="AR58" s="7" t="s">
        <v>1814</v>
      </c>
      <c r="AS58" s="7" t="s">
        <v>1667</v>
      </c>
      <c r="AT58" s="7" t="s">
        <v>1640</v>
      </c>
      <c r="AU58" s="7" t="s">
        <v>178</v>
      </c>
      <c r="AV58" s="7" t="s">
        <v>1816</v>
      </c>
      <c r="AW58" s="7" t="s">
        <v>1678</v>
      </c>
      <c r="AX58" s="7" t="s">
        <v>1813</v>
      </c>
      <c r="AY58" s="7" t="s">
        <v>1817</v>
      </c>
      <c r="AZ58" s="7" t="s">
        <v>1650</v>
      </c>
      <c r="BA58" s="7">
        <v>236</v>
      </c>
      <c r="BB58" s="7">
        <v>227</v>
      </c>
      <c r="BC58" s="7" t="s">
        <v>1825</v>
      </c>
      <c r="BD58" s="7">
        <v>183.63200000000001</v>
      </c>
      <c r="BF58" s="7">
        <f>222.178-BD58</f>
        <v>38.545999999999992</v>
      </c>
      <c r="BG58" s="7" t="s">
        <v>1837</v>
      </c>
      <c r="BH58" s="7">
        <v>9.1907700000000006</v>
      </c>
      <c r="BJ58" s="7">
        <f>16.1411-BH58</f>
        <v>6.950330000000001</v>
      </c>
    </row>
    <row r="59" spans="1:63" x14ac:dyDescent="0.2">
      <c r="A59" s="7">
        <v>18</v>
      </c>
      <c r="B59" s="7" t="s">
        <v>1496</v>
      </c>
      <c r="C59" s="7" t="s">
        <v>1495</v>
      </c>
      <c r="D59" s="7" t="s">
        <v>1494</v>
      </c>
      <c r="E59" s="7" t="s">
        <v>1493</v>
      </c>
      <c r="F59" s="7" t="s">
        <v>185</v>
      </c>
      <c r="G59" s="7">
        <v>2020</v>
      </c>
      <c r="H59" s="7">
        <v>43756</v>
      </c>
      <c r="I59" s="7" t="s">
        <v>32</v>
      </c>
      <c r="J59" s="7" t="s">
        <v>32</v>
      </c>
      <c r="K59" s="7" t="s">
        <v>1492</v>
      </c>
      <c r="L59" s="7">
        <v>2</v>
      </c>
      <c r="M59" s="7" t="s">
        <v>32</v>
      </c>
      <c r="N59" s="7" t="s">
        <v>34</v>
      </c>
      <c r="O59" s="7" t="s">
        <v>190</v>
      </c>
      <c r="P59" s="7" t="s">
        <v>34</v>
      </c>
      <c r="Q59" s="7" t="s">
        <v>34</v>
      </c>
      <c r="R59" s="7" t="s">
        <v>739</v>
      </c>
      <c r="S59" s="7" t="s">
        <v>34</v>
      </c>
      <c r="T59" s="7" t="s">
        <v>34</v>
      </c>
      <c r="U59" s="7" t="s">
        <v>32</v>
      </c>
      <c r="V59" s="7">
        <v>1</v>
      </c>
      <c r="W59" s="7" t="s">
        <v>32</v>
      </c>
      <c r="X59" s="7" t="s">
        <v>32</v>
      </c>
      <c r="Y59" s="7" t="s">
        <v>32</v>
      </c>
      <c r="Z59" s="7" t="s">
        <v>32</v>
      </c>
      <c r="AA59" s="7">
        <v>31622603</v>
      </c>
      <c r="AB59" s="7">
        <v>1</v>
      </c>
      <c r="AD59" s="7">
        <v>4</v>
      </c>
      <c r="AE59" s="24">
        <v>14</v>
      </c>
      <c r="AF59" s="7">
        <v>7</v>
      </c>
      <c r="AG59" s="7">
        <v>7</v>
      </c>
      <c r="AH59" s="7" t="s">
        <v>1642</v>
      </c>
      <c r="AI59" s="7" t="s">
        <v>1642</v>
      </c>
      <c r="AK59" s="7">
        <v>235</v>
      </c>
      <c r="AN59" s="7">
        <v>235</v>
      </c>
      <c r="AP59" s="7">
        <v>1</v>
      </c>
      <c r="AQ59" s="7" t="s">
        <v>1787</v>
      </c>
      <c r="AR59" s="7" t="s">
        <v>1814</v>
      </c>
      <c r="AS59" s="7" t="s">
        <v>1667</v>
      </c>
      <c r="AT59" s="7" t="s">
        <v>1640</v>
      </c>
      <c r="AU59" s="7" t="s">
        <v>178</v>
      </c>
      <c r="AV59" s="7" t="s">
        <v>1816</v>
      </c>
      <c r="AW59" s="7" t="s">
        <v>1678</v>
      </c>
      <c r="AX59" s="7" t="s">
        <v>1813</v>
      </c>
      <c r="AY59" s="7" t="s">
        <v>1817</v>
      </c>
      <c r="AZ59" s="7" t="s">
        <v>1650</v>
      </c>
      <c r="BA59" s="7">
        <v>236</v>
      </c>
      <c r="BB59" s="7">
        <v>227</v>
      </c>
      <c r="BC59" s="7" t="s">
        <v>1826</v>
      </c>
      <c r="BD59" s="7">
        <v>171.78399999999999</v>
      </c>
      <c r="BF59" s="7">
        <f>212.859-BD59</f>
        <v>41.075000000000017</v>
      </c>
      <c r="BG59" s="7" t="s">
        <v>1838</v>
      </c>
      <c r="BH59" s="7">
        <v>6.8194299999999997</v>
      </c>
      <c r="BJ59" s="7">
        <f>13.7698-BH59</f>
        <v>6.9503700000000004</v>
      </c>
    </row>
    <row r="60" spans="1:63" x14ac:dyDescent="0.2">
      <c r="A60" s="7">
        <v>18</v>
      </c>
      <c r="B60" s="7" t="s">
        <v>1496</v>
      </c>
      <c r="C60" s="7" t="s">
        <v>1495</v>
      </c>
      <c r="D60" s="7" t="s">
        <v>1494</v>
      </c>
      <c r="E60" s="7" t="s">
        <v>1493</v>
      </c>
      <c r="F60" s="7" t="s">
        <v>185</v>
      </c>
      <c r="G60" s="7">
        <v>2020</v>
      </c>
      <c r="H60" s="7">
        <v>43756</v>
      </c>
      <c r="I60" s="7" t="s">
        <v>32</v>
      </c>
      <c r="J60" s="7" t="s">
        <v>32</v>
      </c>
      <c r="K60" s="7" t="s">
        <v>1492</v>
      </c>
      <c r="L60" s="7">
        <v>2</v>
      </c>
      <c r="M60" s="7" t="s">
        <v>32</v>
      </c>
      <c r="N60" s="7" t="s">
        <v>34</v>
      </c>
      <c r="O60" s="7" t="s">
        <v>190</v>
      </c>
      <c r="P60" s="7" t="s">
        <v>34</v>
      </c>
      <c r="Q60" s="7" t="s">
        <v>34</v>
      </c>
      <c r="R60" s="7" t="s">
        <v>739</v>
      </c>
      <c r="S60" s="7" t="s">
        <v>34</v>
      </c>
      <c r="T60" s="7" t="s">
        <v>34</v>
      </c>
      <c r="U60" s="7" t="s">
        <v>32</v>
      </c>
      <c r="V60" s="7">
        <v>1</v>
      </c>
      <c r="W60" s="7" t="s">
        <v>32</v>
      </c>
      <c r="X60" s="7" t="s">
        <v>32</v>
      </c>
      <c r="Y60" s="7" t="s">
        <v>32</v>
      </c>
      <c r="Z60" s="7" t="s">
        <v>32</v>
      </c>
      <c r="AA60" s="7">
        <v>31622603</v>
      </c>
      <c r="AB60" s="7">
        <v>1</v>
      </c>
      <c r="AD60" s="7">
        <v>4</v>
      </c>
      <c r="AE60" s="24">
        <v>14</v>
      </c>
      <c r="AF60" s="7">
        <v>7</v>
      </c>
      <c r="AG60" s="7">
        <v>7</v>
      </c>
      <c r="AH60" s="7" t="s">
        <v>1642</v>
      </c>
      <c r="AI60" s="7" t="s">
        <v>1642</v>
      </c>
      <c r="AK60" s="7">
        <v>235</v>
      </c>
      <c r="AN60" s="7">
        <v>235</v>
      </c>
      <c r="AP60" s="7">
        <v>1</v>
      </c>
      <c r="AQ60" s="7" t="s">
        <v>1787</v>
      </c>
      <c r="AR60" s="7" t="s">
        <v>1814</v>
      </c>
      <c r="AS60" s="7" t="s">
        <v>1667</v>
      </c>
      <c r="AT60" s="7" t="s">
        <v>1640</v>
      </c>
      <c r="AU60" s="7" t="s">
        <v>178</v>
      </c>
      <c r="AV60" s="7" t="s">
        <v>1816</v>
      </c>
      <c r="AW60" s="7" t="s">
        <v>1678</v>
      </c>
      <c r="AX60" s="7" t="s">
        <v>1813</v>
      </c>
      <c r="AY60" s="7" t="s">
        <v>1817</v>
      </c>
      <c r="AZ60" s="7" t="s">
        <v>1650</v>
      </c>
      <c r="BA60" s="7">
        <v>236</v>
      </c>
      <c r="BB60" s="7">
        <v>227</v>
      </c>
      <c r="BC60" s="7" t="s">
        <v>1827</v>
      </c>
      <c r="BD60" s="7">
        <v>297.28399999999999</v>
      </c>
      <c r="BF60" s="7">
        <f>307.126-BD60</f>
        <v>9.8419999999999845</v>
      </c>
      <c r="BG60" s="7" t="s">
        <v>1839</v>
      </c>
      <c r="BH60" s="7">
        <v>9.1029300000000006</v>
      </c>
      <c r="BJ60" s="7">
        <f>15.4298-BH60</f>
        <v>6.3268699999999995</v>
      </c>
    </row>
    <row r="61" spans="1:63" x14ac:dyDescent="0.2">
      <c r="A61" s="7">
        <v>18</v>
      </c>
      <c r="B61" s="7" t="s">
        <v>1496</v>
      </c>
      <c r="C61" s="7" t="s">
        <v>1495</v>
      </c>
      <c r="D61" s="7" t="s">
        <v>1494</v>
      </c>
      <c r="E61" s="7" t="s">
        <v>1493</v>
      </c>
      <c r="F61" s="7" t="s">
        <v>185</v>
      </c>
      <c r="G61" s="7">
        <v>2020</v>
      </c>
      <c r="H61" s="7">
        <v>43756</v>
      </c>
      <c r="I61" s="7" t="s">
        <v>32</v>
      </c>
      <c r="J61" s="7" t="s">
        <v>32</v>
      </c>
      <c r="K61" s="7" t="s">
        <v>1492</v>
      </c>
      <c r="L61" s="7">
        <v>2</v>
      </c>
      <c r="M61" s="7" t="s">
        <v>32</v>
      </c>
      <c r="N61" s="7" t="s">
        <v>34</v>
      </c>
      <c r="O61" s="7" t="s">
        <v>190</v>
      </c>
      <c r="P61" s="7" t="s">
        <v>34</v>
      </c>
      <c r="Q61" s="7" t="s">
        <v>34</v>
      </c>
      <c r="R61" s="7" t="s">
        <v>739</v>
      </c>
      <c r="S61" s="7" t="s">
        <v>34</v>
      </c>
      <c r="T61" s="7" t="s">
        <v>34</v>
      </c>
      <c r="U61" s="7" t="s">
        <v>32</v>
      </c>
      <c r="V61" s="7">
        <v>1</v>
      </c>
      <c r="W61" s="7" t="s">
        <v>32</v>
      </c>
      <c r="X61" s="7" t="s">
        <v>32</v>
      </c>
      <c r="Y61" s="7" t="s">
        <v>32</v>
      </c>
      <c r="Z61" s="7" t="s">
        <v>32</v>
      </c>
      <c r="AA61" s="7">
        <v>31622603</v>
      </c>
      <c r="AB61" s="7">
        <v>1</v>
      </c>
      <c r="AD61" s="7">
        <v>4</v>
      </c>
      <c r="AE61" s="24">
        <v>14</v>
      </c>
      <c r="AF61" s="7">
        <v>7</v>
      </c>
      <c r="AG61" s="7">
        <v>7</v>
      </c>
      <c r="AH61" s="7" t="s">
        <v>1642</v>
      </c>
      <c r="AI61" s="7" t="s">
        <v>1642</v>
      </c>
      <c r="AK61" s="7">
        <v>235</v>
      </c>
      <c r="AN61" s="7">
        <v>235</v>
      </c>
      <c r="AP61" s="7">
        <v>1</v>
      </c>
      <c r="AQ61" s="7" t="s">
        <v>1787</v>
      </c>
      <c r="AR61" s="7" t="s">
        <v>1814</v>
      </c>
      <c r="AS61" s="7" t="s">
        <v>1667</v>
      </c>
      <c r="AT61" s="7" t="s">
        <v>1640</v>
      </c>
      <c r="AU61" s="7" t="s">
        <v>178</v>
      </c>
      <c r="AV61" s="7" t="s">
        <v>1816</v>
      </c>
      <c r="AW61" s="7" t="s">
        <v>1678</v>
      </c>
      <c r="AX61" s="7" t="s">
        <v>1813</v>
      </c>
      <c r="AY61" s="7" t="s">
        <v>1817</v>
      </c>
      <c r="AZ61" s="7" t="s">
        <v>1650</v>
      </c>
      <c r="BA61" s="7">
        <v>236</v>
      </c>
      <c r="BB61" s="7">
        <v>227</v>
      </c>
      <c r="BC61" s="7" t="s">
        <v>1828</v>
      </c>
      <c r="BD61" s="7">
        <v>249.28100000000001</v>
      </c>
      <c r="BF61" s="7">
        <f>269.668-BD61</f>
        <v>20.387</v>
      </c>
      <c r="BG61" s="7" t="s">
        <v>1840</v>
      </c>
      <c r="BH61" s="7">
        <v>5.3867399999999996</v>
      </c>
      <c r="BJ61" s="7">
        <f>11.0097-BH61</f>
        <v>5.6229600000000008</v>
      </c>
    </row>
    <row r="62" spans="1:63" x14ac:dyDescent="0.2">
      <c r="A62" s="7">
        <v>18</v>
      </c>
      <c r="B62" s="7" t="s">
        <v>1496</v>
      </c>
      <c r="C62" s="7" t="s">
        <v>1495</v>
      </c>
      <c r="D62" s="7" t="s">
        <v>1494</v>
      </c>
      <c r="E62" s="7" t="s">
        <v>1493</v>
      </c>
      <c r="F62" s="7" t="s">
        <v>185</v>
      </c>
      <c r="G62" s="7">
        <v>2020</v>
      </c>
      <c r="H62" s="7">
        <v>43756</v>
      </c>
      <c r="I62" s="7" t="s">
        <v>32</v>
      </c>
      <c r="J62" s="7" t="s">
        <v>32</v>
      </c>
      <c r="K62" s="7" t="s">
        <v>1492</v>
      </c>
      <c r="L62" s="7">
        <v>2</v>
      </c>
      <c r="M62" s="7" t="s">
        <v>32</v>
      </c>
      <c r="N62" s="7" t="s">
        <v>34</v>
      </c>
      <c r="O62" s="7" t="s">
        <v>190</v>
      </c>
      <c r="P62" s="7" t="s">
        <v>34</v>
      </c>
      <c r="Q62" s="7" t="s">
        <v>34</v>
      </c>
      <c r="R62" s="7" t="s">
        <v>739</v>
      </c>
      <c r="S62" s="7" t="s">
        <v>34</v>
      </c>
      <c r="T62" s="7" t="s">
        <v>34</v>
      </c>
      <c r="U62" s="7" t="s">
        <v>32</v>
      </c>
      <c r="V62" s="7">
        <v>1</v>
      </c>
      <c r="W62" s="7" t="s">
        <v>32</v>
      </c>
      <c r="X62" s="7" t="s">
        <v>32</v>
      </c>
      <c r="Y62" s="7" t="s">
        <v>32</v>
      </c>
      <c r="Z62" s="7" t="s">
        <v>32</v>
      </c>
      <c r="AA62" s="7">
        <v>31622603</v>
      </c>
      <c r="AB62" s="7">
        <v>1</v>
      </c>
      <c r="AD62" s="7">
        <v>4</v>
      </c>
      <c r="AE62" s="24">
        <v>14</v>
      </c>
      <c r="AF62" s="7">
        <v>7</v>
      </c>
      <c r="AG62" s="7">
        <v>7</v>
      </c>
      <c r="AH62" s="7" t="s">
        <v>1642</v>
      </c>
      <c r="AI62" s="7" t="s">
        <v>1642</v>
      </c>
      <c r="AK62" s="7">
        <v>235</v>
      </c>
      <c r="AN62" s="7">
        <v>235</v>
      </c>
      <c r="AP62" s="7">
        <v>1</v>
      </c>
      <c r="AQ62" s="7" t="s">
        <v>1787</v>
      </c>
      <c r="AR62" s="7" t="s">
        <v>1814</v>
      </c>
      <c r="AS62" s="7" t="s">
        <v>1667</v>
      </c>
      <c r="AT62" s="7" t="s">
        <v>1640</v>
      </c>
      <c r="AU62" s="7" t="s">
        <v>178</v>
      </c>
      <c r="AV62" s="7" t="s">
        <v>1816</v>
      </c>
      <c r="AW62" s="7" t="s">
        <v>1678</v>
      </c>
      <c r="AX62" s="7" t="s">
        <v>1813</v>
      </c>
      <c r="AY62" s="7" t="s">
        <v>1817</v>
      </c>
      <c r="AZ62" s="7" t="s">
        <v>1650</v>
      </c>
      <c r="BA62" s="7">
        <v>236</v>
      </c>
      <c r="BB62" s="7">
        <v>227</v>
      </c>
      <c r="BC62" s="7" t="s">
        <v>1829</v>
      </c>
      <c r="BD62" s="7">
        <v>202.68199999999999</v>
      </c>
      <c r="BF62" s="7">
        <f>230.802-BD62</f>
        <v>28.120000000000005</v>
      </c>
      <c r="BG62" s="7" t="s">
        <v>1841</v>
      </c>
      <c r="BH62" s="7">
        <v>3.0755699999999999</v>
      </c>
      <c r="BJ62" s="7">
        <f>8.69947-BH62</f>
        <v>5.6238999999999999</v>
      </c>
    </row>
    <row r="63" spans="1:63" x14ac:dyDescent="0.2">
      <c r="A63" s="7">
        <v>18</v>
      </c>
      <c r="B63" s="7" t="s">
        <v>1496</v>
      </c>
      <c r="C63" s="7" t="s">
        <v>1495</v>
      </c>
      <c r="D63" s="7" t="s">
        <v>1494</v>
      </c>
      <c r="E63" s="7" t="s">
        <v>1493</v>
      </c>
      <c r="F63" s="7" t="s">
        <v>185</v>
      </c>
      <c r="G63" s="7">
        <v>2020</v>
      </c>
      <c r="H63" s="7">
        <v>43756</v>
      </c>
      <c r="I63" s="7" t="s">
        <v>32</v>
      </c>
      <c r="J63" s="7" t="s">
        <v>32</v>
      </c>
      <c r="K63" s="7" t="s">
        <v>1492</v>
      </c>
      <c r="L63" s="7">
        <v>2</v>
      </c>
      <c r="M63" s="7" t="s">
        <v>32</v>
      </c>
      <c r="N63" s="7" t="s">
        <v>34</v>
      </c>
      <c r="O63" s="7" t="s">
        <v>190</v>
      </c>
      <c r="P63" s="7" t="s">
        <v>34</v>
      </c>
      <c r="Q63" s="7" t="s">
        <v>34</v>
      </c>
      <c r="R63" s="7" t="s">
        <v>739</v>
      </c>
      <c r="S63" s="7" t="s">
        <v>34</v>
      </c>
      <c r="T63" s="7" t="s">
        <v>34</v>
      </c>
      <c r="U63" s="7" t="s">
        <v>32</v>
      </c>
      <c r="V63" s="7">
        <v>1</v>
      </c>
      <c r="W63" s="7" t="s">
        <v>32</v>
      </c>
      <c r="X63" s="7" t="s">
        <v>32</v>
      </c>
      <c r="Y63" s="7" t="s">
        <v>32</v>
      </c>
      <c r="Z63" s="7" t="s">
        <v>32</v>
      </c>
      <c r="AA63" s="7">
        <v>31622603</v>
      </c>
      <c r="AB63" s="7">
        <v>1</v>
      </c>
      <c r="AD63" s="7">
        <v>4</v>
      </c>
      <c r="AE63" s="24">
        <v>14</v>
      </c>
      <c r="AF63" s="7">
        <v>7</v>
      </c>
      <c r="AG63" s="7">
        <v>7</v>
      </c>
      <c r="AH63" s="7" t="s">
        <v>1642</v>
      </c>
      <c r="AI63" s="7" t="s">
        <v>1642</v>
      </c>
      <c r="AK63" s="7">
        <v>235</v>
      </c>
      <c r="AN63" s="7">
        <v>235</v>
      </c>
      <c r="AP63" s="7">
        <v>1</v>
      </c>
      <c r="AQ63" s="7" t="s">
        <v>1787</v>
      </c>
      <c r="AR63" s="7" t="s">
        <v>1814</v>
      </c>
      <c r="AS63" s="7" t="s">
        <v>1667</v>
      </c>
      <c r="AT63" s="7" t="s">
        <v>1640</v>
      </c>
      <c r="AU63" s="7" t="s">
        <v>178</v>
      </c>
      <c r="AV63" s="7" t="s">
        <v>1816</v>
      </c>
      <c r="AW63" s="7" t="s">
        <v>1678</v>
      </c>
      <c r="AX63" s="7" t="s">
        <v>1813</v>
      </c>
      <c r="AY63" s="7" t="s">
        <v>1817</v>
      </c>
      <c r="AZ63" s="7" t="s">
        <v>1650</v>
      </c>
      <c r="BA63" s="7">
        <v>236</v>
      </c>
      <c r="BB63" s="7">
        <v>227</v>
      </c>
      <c r="BC63" s="7" t="s">
        <v>1830</v>
      </c>
      <c r="BD63" s="7">
        <v>207.40199999999999</v>
      </c>
      <c r="BF63" s="7">
        <f>236.225-BD63</f>
        <v>28.823000000000008</v>
      </c>
      <c r="BG63" s="7" t="s">
        <v>1842</v>
      </c>
      <c r="BH63" s="7">
        <v>3.5782500000000002</v>
      </c>
      <c r="BJ63" s="7">
        <f>7.09413-BH63</f>
        <v>3.5158799999999997</v>
      </c>
    </row>
    <row r="64" spans="1:63" x14ac:dyDescent="0.2">
      <c r="A64" s="7">
        <v>18</v>
      </c>
      <c r="B64" s="7" t="s">
        <v>1496</v>
      </c>
      <c r="C64" s="7" t="s">
        <v>1495</v>
      </c>
      <c r="D64" s="7" t="s">
        <v>1494</v>
      </c>
      <c r="E64" s="7" t="s">
        <v>1493</v>
      </c>
      <c r="F64" s="7" t="s">
        <v>185</v>
      </c>
      <c r="G64" s="7">
        <v>2020</v>
      </c>
      <c r="H64" s="7">
        <v>43756</v>
      </c>
      <c r="I64" s="7" t="s">
        <v>32</v>
      </c>
      <c r="J64" s="7" t="s">
        <v>32</v>
      </c>
      <c r="K64" s="7" t="s">
        <v>1492</v>
      </c>
      <c r="L64" s="7">
        <v>2</v>
      </c>
      <c r="M64" s="7" t="s">
        <v>32</v>
      </c>
      <c r="N64" s="7" t="s">
        <v>34</v>
      </c>
      <c r="O64" s="7" t="s">
        <v>190</v>
      </c>
      <c r="P64" s="7" t="s">
        <v>34</v>
      </c>
      <c r="Q64" s="7" t="s">
        <v>34</v>
      </c>
      <c r="R64" s="7" t="s">
        <v>739</v>
      </c>
      <c r="S64" s="7" t="s">
        <v>34</v>
      </c>
      <c r="T64" s="7" t="s">
        <v>34</v>
      </c>
      <c r="U64" s="7" t="s">
        <v>32</v>
      </c>
      <c r="V64" s="7">
        <v>1</v>
      </c>
      <c r="W64" s="7" t="s">
        <v>32</v>
      </c>
      <c r="X64" s="7" t="s">
        <v>32</v>
      </c>
      <c r="Y64" s="7" t="s">
        <v>32</v>
      </c>
      <c r="Z64" s="7" t="s">
        <v>32</v>
      </c>
      <c r="AA64" s="7">
        <v>31622603</v>
      </c>
      <c r="AB64" s="7">
        <v>1</v>
      </c>
      <c r="AD64" s="7">
        <v>4</v>
      </c>
      <c r="AE64" s="24">
        <v>14</v>
      </c>
      <c r="AF64" s="7">
        <v>7</v>
      </c>
      <c r="AG64" s="7">
        <v>7</v>
      </c>
      <c r="AH64" s="7" t="s">
        <v>1642</v>
      </c>
      <c r="AI64" s="7" t="s">
        <v>1642</v>
      </c>
      <c r="AK64" s="7">
        <v>235</v>
      </c>
      <c r="AN64" s="7">
        <v>235</v>
      </c>
      <c r="AP64" s="7">
        <v>1</v>
      </c>
      <c r="AQ64" s="7" t="s">
        <v>1787</v>
      </c>
      <c r="AR64" s="7" t="s">
        <v>1814</v>
      </c>
      <c r="AS64" s="7" t="s">
        <v>1667</v>
      </c>
      <c r="AT64" s="7" t="s">
        <v>1640</v>
      </c>
      <c r="AU64" s="7" t="s">
        <v>178</v>
      </c>
      <c r="AV64" s="7" t="s">
        <v>1816</v>
      </c>
      <c r="AW64" s="7" t="s">
        <v>1678</v>
      </c>
      <c r="AX64" s="7" t="s">
        <v>1813</v>
      </c>
      <c r="AY64" s="7" t="s">
        <v>1817</v>
      </c>
      <c r="AZ64" s="7" t="s">
        <v>1650</v>
      </c>
      <c r="BA64" s="7">
        <v>236</v>
      </c>
      <c r="BB64" s="7">
        <v>227</v>
      </c>
      <c r="BC64" s="7" t="s">
        <v>1831</v>
      </c>
      <c r="BD64" s="7">
        <v>258.065</v>
      </c>
      <c r="BF64" s="7">
        <f>278.194-BD64</f>
        <v>20.129000000000019</v>
      </c>
      <c r="BG64" s="7" t="s">
        <v>1843</v>
      </c>
      <c r="BH64" s="7">
        <v>18.4345</v>
      </c>
      <c r="BJ64" s="7">
        <f>22.4828-BH64</f>
        <v>4.0483000000000011</v>
      </c>
    </row>
    <row r="65" spans="1:63" x14ac:dyDescent="0.2">
      <c r="A65" s="7">
        <v>18</v>
      </c>
      <c r="B65" s="7" t="s">
        <v>1496</v>
      </c>
      <c r="C65" s="7" t="s">
        <v>1495</v>
      </c>
      <c r="D65" s="7" t="s">
        <v>1494</v>
      </c>
      <c r="E65" s="7" t="s">
        <v>1493</v>
      </c>
      <c r="F65" s="7" t="s">
        <v>185</v>
      </c>
      <c r="G65" s="7">
        <v>2020</v>
      </c>
      <c r="H65" s="7">
        <v>43756</v>
      </c>
      <c r="I65" s="7" t="s">
        <v>32</v>
      </c>
      <c r="J65" s="7" t="s">
        <v>32</v>
      </c>
      <c r="K65" s="7" t="s">
        <v>1492</v>
      </c>
      <c r="L65" s="7">
        <v>2</v>
      </c>
      <c r="M65" s="7" t="s">
        <v>32</v>
      </c>
      <c r="N65" s="7" t="s">
        <v>34</v>
      </c>
      <c r="O65" s="7" t="s">
        <v>190</v>
      </c>
      <c r="P65" s="7" t="s">
        <v>34</v>
      </c>
      <c r="Q65" s="7" t="s">
        <v>34</v>
      </c>
      <c r="R65" s="7" t="s">
        <v>739</v>
      </c>
      <c r="S65" s="7" t="s">
        <v>34</v>
      </c>
      <c r="T65" s="7" t="s">
        <v>34</v>
      </c>
      <c r="U65" s="7" t="s">
        <v>32</v>
      </c>
      <c r="V65" s="7">
        <v>1</v>
      </c>
      <c r="W65" s="7" t="s">
        <v>32</v>
      </c>
      <c r="X65" s="7" t="s">
        <v>32</v>
      </c>
      <c r="Y65" s="7" t="s">
        <v>32</v>
      </c>
      <c r="Z65" s="7" t="s">
        <v>32</v>
      </c>
      <c r="AA65" s="7">
        <v>31622603</v>
      </c>
      <c r="AB65" s="7">
        <v>1</v>
      </c>
      <c r="AD65" s="7">
        <v>4</v>
      </c>
      <c r="AE65" s="24">
        <v>14</v>
      </c>
      <c r="AF65" s="7">
        <v>7</v>
      </c>
      <c r="AG65" s="7">
        <v>7</v>
      </c>
      <c r="AH65" s="7" t="s">
        <v>1642</v>
      </c>
      <c r="AI65" s="7" t="s">
        <v>1642</v>
      </c>
      <c r="AK65" s="7">
        <v>235</v>
      </c>
      <c r="AN65" s="7">
        <v>235</v>
      </c>
      <c r="AP65" s="7">
        <v>1</v>
      </c>
      <c r="AQ65" s="7" t="s">
        <v>1787</v>
      </c>
      <c r="AR65" s="7" t="s">
        <v>1814</v>
      </c>
      <c r="AS65" s="7" t="s">
        <v>1667</v>
      </c>
      <c r="AT65" s="7" t="s">
        <v>1640</v>
      </c>
      <c r="AU65" s="7" t="s">
        <v>178</v>
      </c>
      <c r="AV65" s="7" t="s">
        <v>1816</v>
      </c>
      <c r="AW65" s="7" t="s">
        <v>1678</v>
      </c>
      <c r="AX65" s="7" t="s">
        <v>1813</v>
      </c>
      <c r="AY65" s="7" t="s">
        <v>1817</v>
      </c>
      <c r="AZ65" s="7" t="s">
        <v>1650</v>
      </c>
      <c r="BA65" s="7">
        <v>236</v>
      </c>
      <c r="BB65" s="7">
        <v>227</v>
      </c>
      <c r="BC65" s="7" t="s">
        <v>1832</v>
      </c>
      <c r="BD65" s="7">
        <v>232.25800000000001</v>
      </c>
      <c r="BF65" s="7">
        <f>267.871-BD65</f>
        <v>35.612999999999971</v>
      </c>
      <c r="BG65" s="7" t="s">
        <v>1844</v>
      </c>
      <c r="BH65" s="7">
        <v>7.5615199999999998</v>
      </c>
      <c r="BJ65" s="7">
        <f>13.0265-BH65</f>
        <v>5.4649800000000006</v>
      </c>
    </row>
    <row r="66" spans="1:63" x14ac:dyDescent="0.2">
      <c r="A66" s="7">
        <v>18</v>
      </c>
      <c r="B66" s="7" t="s">
        <v>1496</v>
      </c>
      <c r="C66" s="7" t="s">
        <v>1495</v>
      </c>
      <c r="D66" s="7" t="s">
        <v>1494</v>
      </c>
      <c r="E66" s="7" t="s">
        <v>1493</v>
      </c>
      <c r="F66" s="7" t="s">
        <v>185</v>
      </c>
      <c r="G66" s="7">
        <v>2020</v>
      </c>
      <c r="H66" s="7">
        <v>43756</v>
      </c>
      <c r="I66" s="7" t="s">
        <v>32</v>
      </c>
      <c r="J66" s="7" t="s">
        <v>32</v>
      </c>
      <c r="K66" s="7" t="s">
        <v>1492</v>
      </c>
      <c r="L66" s="7">
        <v>2</v>
      </c>
      <c r="M66" s="7" t="s">
        <v>32</v>
      </c>
      <c r="N66" s="7" t="s">
        <v>34</v>
      </c>
      <c r="O66" s="7" t="s">
        <v>190</v>
      </c>
      <c r="P66" s="7" t="s">
        <v>34</v>
      </c>
      <c r="Q66" s="7" t="s">
        <v>34</v>
      </c>
      <c r="R66" s="7" t="s">
        <v>739</v>
      </c>
      <c r="S66" s="7" t="s">
        <v>34</v>
      </c>
      <c r="T66" s="7" t="s">
        <v>34</v>
      </c>
      <c r="U66" s="7" t="s">
        <v>32</v>
      </c>
      <c r="V66" s="7">
        <v>1</v>
      </c>
      <c r="W66" s="7" t="s">
        <v>32</v>
      </c>
      <c r="X66" s="7" t="s">
        <v>32</v>
      </c>
      <c r="Y66" s="7" t="s">
        <v>32</v>
      </c>
      <c r="Z66" s="7" t="s">
        <v>32</v>
      </c>
      <c r="AA66" s="7">
        <v>31622603</v>
      </c>
      <c r="AB66" s="7">
        <v>1</v>
      </c>
      <c r="AD66" s="7">
        <v>4</v>
      </c>
      <c r="AE66" s="24">
        <v>14</v>
      </c>
      <c r="AF66" s="7">
        <v>7</v>
      </c>
      <c r="AG66" s="7">
        <v>7</v>
      </c>
      <c r="AH66" s="7" t="s">
        <v>1642</v>
      </c>
      <c r="AI66" s="7" t="s">
        <v>1642</v>
      </c>
      <c r="AK66" s="7">
        <v>235</v>
      </c>
      <c r="AN66" s="7">
        <v>235</v>
      </c>
      <c r="AP66" s="7">
        <v>1</v>
      </c>
      <c r="AQ66" s="7" t="s">
        <v>1787</v>
      </c>
      <c r="AR66" s="7" t="s">
        <v>1814</v>
      </c>
      <c r="AS66" s="7" t="s">
        <v>1667</v>
      </c>
      <c r="AT66" s="7" t="s">
        <v>1640</v>
      </c>
      <c r="AU66" s="7" t="s">
        <v>178</v>
      </c>
      <c r="AV66" s="7" t="s">
        <v>1816</v>
      </c>
      <c r="AW66" s="7" t="s">
        <v>1678</v>
      </c>
      <c r="AX66" s="7" t="s">
        <v>1813</v>
      </c>
      <c r="AY66" s="7" t="s">
        <v>1817</v>
      </c>
      <c r="AZ66" s="7" t="s">
        <v>1650</v>
      </c>
      <c r="BA66" s="7">
        <v>236</v>
      </c>
      <c r="BB66" s="7">
        <v>227</v>
      </c>
      <c r="BC66" s="7" t="s">
        <v>1833</v>
      </c>
      <c r="BD66" s="7">
        <v>172.90299999999999</v>
      </c>
      <c r="BF66" s="7">
        <f>222.452-BD66</f>
        <v>49.549000000000007</v>
      </c>
      <c r="BG66" s="7" t="s">
        <v>1845</v>
      </c>
      <c r="BH66" s="7">
        <v>7.6191000000000004</v>
      </c>
      <c r="BJ66" s="7">
        <f>9.64307</f>
        <v>9.6430699999999998</v>
      </c>
    </row>
    <row r="67" spans="1:63" x14ac:dyDescent="0.2">
      <c r="A67" s="7">
        <v>18</v>
      </c>
      <c r="B67" s="7" t="s">
        <v>1496</v>
      </c>
      <c r="C67" s="7" t="s">
        <v>1495</v>
      </c>
      <c r="D67" s="7" t="s">
        <v>1494</v>
      </c>
      <c r="E67" s="7" t="s">
        <v>1493</v>
      </c>
      <c r="F67" s="7" t="s">
        <v>185</v>
      </c>
      <c r="G67" s="7">
        <v>2020</v>
      </c>
      <c r="H67" s="7">
        <v>43756</v>
      </c>
      <c r="I67" s="7" t="s">
        <v>32</v>
      </c>
      <c r="J67" s="7" t="s">
        <v>32</v>
      </c>
      <c r="K67" s="7" t="s">
        <v>1492</v>
      </c>
      <c r="L67" s="7">
        <v>2</v>
      </c>
      <c r="M67" s="7" t="s">
        <v>32</v>
      </c>
      <c r="N67" s="7" t="s">
        <v>34</v>
      </c>
      <c r="O67" s="7" t="s">
        <v>190</v>
      </c>
      <c r="P67" s="7" t="s">
        <v>34</v>
      </c>
      <c r="Q67" s="7" t="s">
        <v>34</v>
      </c>
      <c r="R67" s="7" t="s">
        <v>739</v>
      </c>
      <c r="S67" s="7" t="s">
        <v>34</v>
      </c>
      <c r="T67" s="7" t="s">
        <v>34</v>
      </c>
      <c r="U67" s="7" t="s">
        <v>32</v>
      </c>
      <c r="V67" s="7">
        <v>1</v>
      </c>
      <c r="W67" s="7" t="s">
        <v>32</v>
      </c>
      <c r="X67" s="7" t="s">
        <v>32</v>
      </c>
      <c r="Y67" s="7" t="s">
        <v>32</v>
      </c>
      <c r="Z67" s="7" t="s">
        <v>32</v>
      </c>
      <c r="AA67" s="7">
        <v>31622603</v>
      </c>
      <c r="AB67" s="7">
        <v>1</v>
      </c>
      <c r="AD67" s="7">
        <v>4</v>
      </c>
      <c r="AE67" s="24">
        <v>14</v>
      </c>
      <c r="AF67" s="7">
        <v>7</v>
      </c>
      <c r="AG67" s="7">
        <v>7</v>
      </c>
      <c r="AH67" s="7" t="s">
        <v>1642</v>
      </c>
      <c r="AI67" s="7" t="s">
        <v>1642</v>
      </c>
      <c r="AK67" s="7">
        <v>235</v>
      </c>
      <c r="AN67" s="7">
        <v>235</v>
      </c>
      <c r="AP67" s="7">
        <v>1</v>
      </c>
      <c r="AQ67" s="7" t="s">
        <v>1787</v>
      </c>
      <c r="AR67" s="7" t="s">
        <v>1814</v>
      </c>
      <c r="AS67" s="7" t="s">
        <v>1667</v>
      </c>
      <c r="AT67" s="7" t="s">
        <v>1640</v>
      </c>
      <c r="AU67" s="7" t="s">
        <v>178</v>
      </c>
      <c r="AV67" s="7" t="s">
        <v>1816</v>
      </c>
      <c r="AW67" s="7" t="s">
        <v>1678</v>
      </c>
      <c r="AX67" s="7" t="s">
        <v>1813</v>
      </c>
      <c r="AY67" s="7" t="s">
        <v>1817</v>
      </c>
      <c r="AZ67" s="7" t="s">
        <v>1650</v>
      </c>
      <c r="BA67" s="7">
        <v>236</v>
      </c>
      <c r="BB67" s="7">
        <v>227</v>
      </c>
      <c r="BC67" s="7" t="s">
        <v>1834</v>
      </c>
      <c r="BD67" s="7">
        <v>164.64500000000001</v>
      </c>
      <c r="BF67" s="7">
        <f>214.71-BD67</f>
        <v>50.064999999999998</v>
      </c>
      <c r="BG67" s="7" t="s">
        <v>1846</v>
      </c>
      <c r="BH67" s="7">
        <v>4.43811</v>
      </c>
      <c r="BJ67" s="7">
        <f>6.46209-BH67</f>
        <v>2.0239799999999999</v>
      </c>
    </row>
    <row r="68" spans="1:63" x14ac:dyDescent="0.2">
      <c r="A68" s="7">
        <v>18</v>
      </c>
      <c r="B68" s="7" t="s">
        <v>1496</v>
      </c>
      <c r="C68" s="7" t="s">
        <v>1495</v>
      </c>
      <c r="D68" s="7" t="s">
        <v>1494</v>
      </c>
      <c r="E68" s="7" t="s">
        <v>1493</v>
      </c>
      <c r="F68" s="7" t="s">
        <v>185</v>
      </c>
      <c r="G68" s="7">
        <v>2020</v>
      </c>
      <c r="H68" s="7">
        <v>43756</v>
      </c>
      <c r="I68" s="7" t="s">
        <v>32</v>
      </c>
      <c r="J68" s="7" t="s">
        <v>32</v>
      </c>
      <c r="K68" s="7" t="s">
        <v>1492</v>
      </c>
      <c r="L68" s="7">
        <v>2</v>
      </c>
      <c r="M68" s="7" t="s">
        <v>32</v>
      </c>
      <c r="N68" s="7" t="s">
        <v>34</v>
      </c>
      <c r="O68" s="7" t="s">
        <v>190</v>
      </c>
      <c r="P68" s="7" t="s">
        <v>34</v>
      </c>
      <c r="Q68" s="7" t="s">
        <v>34</v>
      </c>
      <c r="R68" s="7" t="s">
        <v>739</v>
      </c>
      <c r="S68" s="7" t="s">
        <v>34</v>
      </c>
      <c r="T68" s="7" t="s">
        <v>34</v>
      </c>
      <c r="U68" s="7" t="s">
        <v>32</v>
      </c>
      <c r="V68" s="7">
        <v>1</v>
      </c>
      <c r="W68" s="7" t="s">
        <v>32</v>
      </c>
      <c r="X68" s="7" t="s">
        <v>32</v>
      </c>
      <c r="Y68" s="7" t="s">
        <v>32</v>
      </c>
      <c r="Z68" s="7" t="s">
        <v>32</v>
      </c>
      <c r="AA68" s="7">
        <v>31622603</v>
      </c>
      <c r="AB68" s="7">
        <v>1</v>
      </c>
      <c r="AD68" s="7">
        <v>4</v>
      </c>
      <c r="AE68" s="24">
        <v>14</v>
      </c>
      <c r="AF68" s="7">
        <v>7</v>
      </c>
      <c r="AG68" s="7">
        <v>7</v>
      </c>
      <c r="AH68" s="7" t="s">
        <v>1642</v>
      </c>
      <c r="AI68" s="7" t="s">
        <v>1642</v>
      </c>
      <c r="AK68" s="7">
        <v>235</v>
      </c>
      <c r="AN68" s="7">
        <v>235</v>
      </c>
      <c r="AP68" s="7">
        <v>1</v>
      </c>
      <c r="AQ68" s="7" t="s">
        <v>1787</v>
      </c>
      <c r="AR68" s="7" t="s">
        <v>1814</v>
      </c>
      <c r="AS68" s="7" t="s">
        <v>1667</v>
      </c>
      <c r="AT68" s="7" t="s">
        <v>1640</v>
      </c>
      <c r="AU68" s="7" t="s">
        <v>178</v>
      </c>
      <c r="AV68" s="7" t="s">
        <v>1816</v>
      </c>
      <c r="AW68" s="7" t="s">
        <v>1678</v>
      </c>
      <c r="AX68" s="7" t="s">
        <v>1813</v>
      </c>
      <c r="AY68" s="7" t="s">
        <v>1817</v>
      </c>
      <c r="AZ68" s="7" t="s">
        <v>1650</v>
      </c>
      <c r="BA68" s="7">
        <v>236</v>
      </c>
      <c r="BB68" s="7">
        <v>227</v>
      </c>
      <c r="BC68" s="7" t="s">
        <v>1847</v>
      </c>
      <c r="BD68" s="7">
        <v>231.45599999999999</v>
      </c>
      <c r="BF68" s="7">
        <f>273.398-BD68</f>
        <v>41.942000000000036</v>
      </c>
      <c r="BG68" s="7" t="s">
        <v>1851</v>
      </c>
      <c r="BH68" s="7">
        <v>6.9902899999999999</v>
      </c>
      <c r="BJ68" s="7">
        <f>9.32039-BH68</f>
        <v>2.3300999999999998</v>
      </c>
    </row>
    <row r="69" spans="1:63" x14ac:dyDescent="0.2">
      <c r="A69" s="7">
        <v>18</v>
      </c>
      <c r="B69" s="7" t="s">
        <v>1496</v>
      </c>
      <c r="C69" s="7" t="s">
        <v>1495</v>
      </c>
      <c r="D69" s="7" t="s">
        <v>1494</v>
      </c>
      <c r="E69" s="7" t="s">
        <v>1493</v>
      </c>
      <c r="F69" s="7" t="s">
        <v>185</v>
      </c>
      <c r="G69" s="7">
        <v>2020</v>
      </c>
      <c r="H69" s="7">
        <v>43756</v>
      </c>
      <c r="I69" s="7" t="s">
        <v>32</v>
      </c>
      <c r="J69" s="7" t="s">
        <v>32</v>
      </c>
      <c r="K69" s="7" t="s">
        <v>1492</v>
      </c>
      <c r="L69" s="7">
        <v>2</v>
      </c>
      <c r="M69" s="7" t="s">
        <v>32</v>
      </c>
      <c r="N69" s="7" t="s">
        <v>34</v>
      </c>
      <c r="O69" s="7" t="s">
        <v>190</v>
      </c>
      <c r="P69" s="7" t="s">
        <v>34</v>
      </c>
      <c r="Q69" s="7" t="s">
        <v>34</v>
      </c>
      <c r="R69" s="7" t="s">
        <v>739</v>
      </c>
      <c r="S69" s="7" t="s">
        <v>34</v>
      </c>
      <c r="T69" s="7" t="s">
        <v>34</v>
      </c>
      <c r="U69" s="7" t="s">
        <v>32</v>
      </c>
      <c r="V69" s="7">
        <v>1</v>
      </c>
      <c r="W69" s="7" t="s">
        <v>32</v>
      </c>
      <c r="X69" s="7" t="s">
        <v>32</v>
      </c>
      <c r="Y69" s="7" t="s">
        <v>32</v>
      </c>
      <c r="Z69" s="7" t="s">
        <v>32</v>
      </c>
      <c r="AA69" s="7">
        <v>31622603</v>
      </c>
      <c r="AB69" s="7">
        <v>1</v>
      </c>
      <c r="AD69" s="7">
        <v>4</v>
      </c>
      <c r="AE69" s="24">
        <v>14</v>
      </c>
      <c r="AF69" s="7">
        <v>7</v>
      </c>
      <c r="AG69" s="7">
        <v>7</v>
      </c>
      <c r="AH69" s="7" t="s">
        <v>1642</v>
      </c>
      <c r="AI69" s="7" t="s">
        <v>1642</v>
      </c>
      <c r="AK69" s="7">
        <v>235</v>
      </c>
      <c r="AN69" s="7">
        <v>235</v>
      </c>
      <c r="AP69" s="7">
        <v>1</v>
      </c>
      <c r="AQ69" s="7" t="s">
        <v>1787</v>
      </c>
      <c r="AR69" s="7" t="s">
        <v>1814</v>
      </c>
      <c r="AS69" s="7" t="s">
        <v>1667</v>
      </c>
      <c r="AT69" s="7" t="s">
        <v>1640</v>
      </c>
      <c r="AU69" s="7" t="s">
        <v>178</v>
      </c>
      <c r="AV69" s="7" t="s">
        <v>1816</v>
      </c>
      <c r="AW69" s="7" t="s">
        <v>1678</v>
      </c>
      <c r="AX69" s="7" t="s">
        <v>1813</v>
      </c>
      <c r="AY69" s="7" t="s">
        <v>1817</v>
      </c>
      <c r="AZ69" s="7" t="s">
        <v>1650</v>
      </c>
      <c r="BA69" s="7">
        <v>236</v>
      </c>
      <c r="BB69" s="7">
        <v>227</v>
      </c>
      <c r="BC69" s="7" t="s">
        <v>1848</v>
      </c>
      <c r="BD69" s="7">
        <v>184.078</v>
      </c>
      <c r="BF69" s="7">
        <f>232.233-BD69</f>
        <v>48.155000000000001</v>
      </c>
      <c r="BG69" s="7" t="s">
        <v>1852</v>
      </c>
      <c r="BH69" s="7">
        <v>5.43689</v>
      </c>
      <c r="BJ69" s="7">
        <f>6.99029-BH69</f>
        <v>1.5533999999999999</v>
      </c>
    </row>
    <row r="70" spans="1:63" x14ac:dyDescent="0.2">
      <c r="A70" s="7">
        <v>18</v>
      </c>
      <c r="B70" s="7" t="s">
        <v>1496</v>
      </c>
      <c r="C70" s="7" t="s">
        <v>1495</v>
      </c>
      <c r="D70" s="7" t="s">
        <v>1494</v>
      </c>
      <c r="E70" s="7" t="s">
        <v>1493</v>
      </c>
      <c r="F70" s="7" t="s">
        <v>185</v>
      </c>
      <c r="G70" s="7">
        <v>2020</v>
      </c>
      <c r="H70" s="7">
        <v>43756</v>
      </c>
      <c r="I70" s="7" t="s">
        <v>32</v>
      </c>
      <c r="J70" s="7" t="s">
        <v>32</v>
      </c>
      <c r="K70" s="7" t="s">
        <v>1492</v>
      </c>
      <c r="L70" s="7">
        <v>2</v>
      </c>
      <c r="M70" s="7" t="s">
        <v>32</v>
      </c>
      <c r="N70" s="7" t="s">
        <v>34</v>
      </c>
      <c r="O70" s="7" t="s">
        <v>190</v>
      </c>
      <c r="P70" s="7" t="s">
        <v>34</v>
      </c>
      <c r="Q70" s="7" t="s">
        <v>34</v>
      </c>
      <c r="R70" s="7" t="s">
        <v>739</v>
      </c>
      <c r="S70" s="7" t="s">
        <v>34</v>
      </c>
      <c r="T70" s="7" t="s">
        <v>34</v>
      </c>
      <c r="U70" s="7" t="s">
        <v>32</v>
      </c>
      <c r="V70" s="7">
        <v>1</v>
      </c>
      <c r="W70" s="7" t="s">
        <v>32</v>
      </c>
      <c r="X70" s="7" t="s">
        <v>32</v>
      </c>
      <c r="Y70" s="7" t="s">
        <v>32</v>
      </c>
      <c r="Z70" s="7" t="s">
        <v>32</v>
      </c>
      <c r="AA70" s="7">
        <v>31622603</v>
      </c>
      <c r="AB70" s="7">
        <v>1</v>
      </c>
      <c r="AD70" s="7">
        <v>4</v>
      </c>
      <c r="AE70" s="24">
        <v>14</v>
      </c>
      <c r="AF70" s="7">
        <v>7</v>
      </c>
      <c r="AG70" s="7">
        <v>7</v>
      </c>
      <c r="AH70" s="7" t="s">
        <v>1642</v>
      </c>
      <c r="AI70" s="7" t="s">
        <v>1642</v>
      </c>
      <c r="AK70" s="7">
        <v>235</v>
      </c>
      <c r="AN70" s="7">
        <v>235</v>
      </c>
      <c r="AP70" s="7">
        <v>1</v>
      </c>
      <c r="AQ70" s="7" t="s">
        <v>1787</v>
      </c>
      <c r="AR70" s="7" t="s">
        <v>1814</v>
      </c>
      <c r="AS70" s="7" t="s">
        <v>1667</v>
      </c>
      <c r="AT70" s="7" t="s">
        <v>1640</v>
      </c>
      <c r="AU70" s="7" t="s">
        <v>178</v>
      </c>
      <c r="AV70" s="7" t="s">
        <v>1816</v>
      </c>
      <c r="AW70" s="7" t="s">
        <v>1678</v>
      </c>
      <c r="AX70" s="7" t="s">
        <v>1813</v>
      </c>
      <c r="AY70" s="7" t="s">
        <v>1817</v>
      </c>
      <c r="AZ70" s="7" t="s">
        <v>1650</v>
      </c>
      <c r="BA70" s="7">
        <v>236</v>
      </c>
      <c r="BB70" s="7">
        <v>227</v>
      </c>
      <c r="BC70" s="7" t="s">
        <v>1849</v>
      </c>
      <c r="BD70" s="7">
        <v>128.155</v>
      </c>
      <c r="BF70" s="7">
        <f>163.107-BD70</f>
        <v>34.951999999999998</v>
      </c>
      <c r="BG70" s="7" t="s">
        <v>1853</v>
      </c>
      <c r="BH70" s="7">
        <v>3.1067999999999998</v>
      </c>
      <c r="BJ70" s="7">
        <f>5.43689-BH70</f>
        <v>2.3300900000000002</v>
      </c>
    </row>
    <row r="71" spans="1:63" x14ac:dyDescent="0.2">
      <c r="A71" s="7">
        <v>18</v>
      </c>
      <c r="B71" s="7" t="s">
        <v>1496</v>
      </c>
      <c r="C71" s="7" t="s">
        <v>1495</v>
      </c>
      <c r="D71" s="7" t="s">
        <v>1494</v>
      </c>
      <c r="E71" s="7" t="s">
        <v>1493</v>
      </c>
      <c r="F71" s="7" t="s">
        <v>185</v>
      </c>
      <c r="G71" s="7">
        <v>2020</v>
      </c>
      <c r="H71" s="7">
        <v>43756</v>
      </c>
      <c r="I71" s="7" t="s">
        <v>32</v>
      </c>
      <c r="J71" s="7" t="s">
        <v>32</v>
      </c>
      <c r="K71" s="7" t="s">
        <v>1492</v>
      </c>
      <c r="L71" s="7">
        <v>2</v>
      </c>
      <c r="M71" s="7" t="s">
        <v>32</v>
      </c>
      <c r="N71" s="7" t="s">
        <v>34</v>
      </c>
      <c r="O71" s="7" t="s">
        <v>190</v>
      </c>
      <c r="P71" s="7" t="s">
        <v>34</v>
      </c>
      <c r="Q71" s="7" t="s">
        <v>34</v>
      </c>
      <c r="R71" s="7" t="s">
        <v>739</v>
      </c>
      <c r="S71" s="7" t="s">
        <v>34</v>
      </c>
      <c r="T71" s="7" t="s">
        <v>34</v>
      </c>
      <c r="U71" s="7" t="s">
        <v>32</v>
      </c>
      <c r="V71" s="7">
        <v>1</v>
      </c>
      <c r="W71" s="7" t="s">
        <v>32</v>
      </c>
      <c r="X71" s="7" t="s">
        <v>32</v>
      </c>
      <c r="Y71" s="7" t="s">
        <v>32</v>
      </c>
      <c r="Z71" s="7" t="s">
        <v>32</v>
      </c>
      <c r="AA71" s="7">
        <v>31622603</v>
      </c>
      <c r="AB71" s="7">
        <v>1</v>
      </c>
      <c r="AD71" s="7">
        <v>4</v>
      </c>
      <c r="AE71" s="24">
        <v>14</v>
      </c>
      <c r="AF71" s="7">
        <v>7</v>
      </c>
      <c r="AG71" s="7">
        <v>7</v>
      </c>
      <c r="AH71" s="7" t="s">
        <v>1642</v>
      </c>
      <c r="AI71" s="7" t="s">
        <v>1642</v>
      </c>
      <c r="AK71" s="7">
        <v>235</v>
      </c>
      <c r="AN71" s="7">
        <v>235</v>
      </c>
      <c r="AP71" s="7">
        <v>1</v>
      </c>
      <c r="AQ71" s="7" t="s">
        <v>1787</v>
      </c>
      <c r="AR71" s="7" t="s">
        <v>1814</v>
      </c>
      <c r="AS71" s="7" t="s">
        <v>1667</v>
      </c>
      <c r="AT71" s="7" t="s">
        <v>1640</v>
      </c>
      <c r="AU71" s="7" t="s">
        <v>178</v>
      </c>
      <c r="AV71" s="7" t="s">
        <v>1816</v>
      </c>
      <c r="AW71" s="7" t="s">
        <v>1678</v>
      </c>
      <c r="AX71" s="7" t="s">
        <v>1813</v>
      </c>
      <c r="AY71" s="7" t="s">
        <v>1817</v>
      </c>
      <c r="AZ71" s="7" t="s">
        <v>1650</v>
      </c>
      <c r="BA71" s="7">
        <v>236</v>
      </c>
      <c r="BB71" s="7">
        <v>227</v>
      </c>
      <c r="BC71" s="7" t="s">
        <v>1850</v>
      </c>
      <c r="BD71" s="7">
        <v>112.621</v>
      </c>
      <c r="BF71" s="7">
        <f>151.456-BD71</f>
        <v>38.834999999999994</v>
      </c>
      <c r="BG71" s="7" t="s">
        <v>1854</v>
      </c>
      <c r="BH71" s="7">
        <v>2.3300999999999998</v>
      </c>
      <c r="BJ71" s="7">
        <f>4.66019-BH71</f>
        <v>2.3300900000000002</v>
      </c>
    </row>
    <row r="72" spans="1:63" s="20" customFormat="1" x14ac:dyDescent="0.2">
      <c r="A72" s="20">
        <v>19</v>
      </c>
      <c r="B72" s="20" t="s">
        <v>1491</v>
      </c>
      <c r="C72" s="20" t="s">
        <v>1490</v>
      </c>
      <c r="D72" s="20" t="s">
        <v>1489</v>
      </c>
      <c r="E72" s="20" t="s">
        <v>1488</v>
      </c>
      <c r="F72" s="20" t="s">
        <v>862</v>
      </c>
      <c r="G72" s="20">
        <v>2019</v>
      </c>
      <c r="H72" s="20">
        <v>43727</v>
      </c>
      <c r="I72" s="20" t="s">
        <v>1487</v>
      </c>
      <c r="J72" s="20" t="s">
        <v>32</v>
      </c>
      <c r="K72" s="20" t="s">
        <v>1486</v>
      </c>
      <c r="L72" s="20">
        <v>2</v>
      </c>
      <c r="M72" s="20" t="s">
        <v>32</v>
      </c>
      <c r="N72" s="20" t="s">
        <v>34</v>
      </c>
      <c r="O72" s="20" t="s">
        <v>34</v>
      </c>
      <c r="P72" s="20" t="s">
        <v>34</v>
      </c>
      <c r="Q72" s="20" t="s">
        <v>34</v>
      </c>
      <c r="R72" s="20" t="s">
        <v>34</v>
      </c>
      <c r="S72" s="20" t="s">
        <v>34</v>
      </c>
      <c r="T72" s="20" t="s">
        <v>34</v>
      </c>
      <c r="U72" s="20" t="s">
        <v>32</v>
      </c>
      <c r="V72" s="20">
        <v>1</v>
      </c>
      <c r="W72" s="20" t="s">
        <v>32</v>
      </c>
      <c r="X72" s="20" t="s">
        <v>32</v>
      </c>
      <c r="Y72" s="20" t="s">
        <v>32</v>
      </c>
      <c r="Z72" s="20" t="s">
        <v>32</v>
      </c>
      <c r="AA72" s="20">
        <v>31527186</v>
      </c>
      <c r="AB72" s="20">
        <v>0</v>
      </c>
      <c r="AC72" s="20" t="s">
        <v>1855</v>
      </c>
      <c r="AE72" s="26"/>
      <c r="BK72" s="41"/>
    </row>
    <row r="73" spans="1:63" s="20" customFormat="1" x14ac:dyDescent="0.2">
      <c r="A73" s="20">
        <v>20</v>
      </c>
      <c r="B73" s="20" t="s">
        <v>1485</v>
      </c>
      <c r="C73" s="20" t="s">
        <v>1484</v>
      </c>
      <c r="D73" s="20" t="s">
        <v>1483</v>
      </c>
      <c r="E73" s="20" t="s">
        <v>1482</v>
      </c>
      <c r="F73" s="20" t="s">
        <v>1481</v>
      </c>
      <c r="G73" s="20">
        <v>2020</v>
      </c>
      <c r="H73" s="20">
        <v>43702</v>
      </c>
      <c r="I73" s="20" t="s">
        <v>1480</v>
      </c>
      <c r="J73" s="20" t="s">
        <v>32</v>
      </c>
      <c r="K73" s="20" t="s">
        <v>1479</v>
      </c>
      <c r="L73" s="20">
        <v>2</v>
      </c>
      <c r="M73" s="20" t="s">
        <v>1478</v>
      </c>
      <c r="N73" s="20" t="s">
        <v>34</v>
      </c>
      <c r="O73" s="20" t="s">
        <v>34</v>
      </c>
      <c r="P73" s="20" t="s">
        <v>34</v>
      </c>
      <c r="Q73" s="20" t="s">
        <v>34</v>
      </c>
      <c r="R73" s="20" t="s">
        <v>34</v>
      </c>
      <c r="S73" s="20" t="s">
        <v>34</v>
      </c>
      <c r="T73" s="20" t="s">
        <v>34</v>
      </c>
      <c r="U73" s="20" t="s">
        <v>34</v>
      </c>
      <c r="V73" s="20">
        <v>1</v>
      </c>
      <c r="W73" s="20" t="s">
        <v>178</v>
      </c>
      <c r="X73" s="20">
        <v>1</v>
      </c>
      <c r="Y73" s="20" t="s">
        <v>1471</v>
      </c>
      <c r="Z73" s="20" t="s">
        <v>1477</v>
      </c>
      <c r="AA73" s="20">
        <v>31444653</v>
      </c>
      <c r="AB73" s="20">
        <v>0</v>
      </c>
      <c r="AC73" s="20" t="s">
        <v>1858</v>
      </c>
      <c r="AD73" s="20">
        <v>5</v>
      </c>
      <c r="AE73" s="26"/>
      <c r="AJ73" s="20" t="s">
        <v>1685</v>
      </c>
      <c r="AK73" s="20">
        <v>22.5</v>
      </c>
      <c r="AN73" s="20">
        <v>22.5</v>
      </c>
      <c r="AT73" s="20" t="s">
        <v>1856</v>
      </c>
      <c r="AX73" s="20" t="s">
        <v>1857</v>
      </c>
      <c r="BK73" s="41"/>
    </row>
    <row r="74" spans="1:63" s="20" customFormat="1" x14ac:dyDescent="0.2">
      <c r="A74" s="20">
        <v>21</v>
      </c>
      <c r="B74" s="20" t="s">
        <v>1476</v>
      </c>
      <c r="C74" s="20" t="s">
        <v>1475</v>
      </c>
      <c r="D74" s="20" t="s">
        <v>1474</v>
      </c>
      <c r="E74" s="20" t="s">
        <v>1473</v>
      </c>
      <c r="F74" s="20" t="s">
        <v>167</v>
      </c>
      <c r="G74" s="20">
        <v>2019</v>
      </c>
      <c r="H74" s="20">
        <v>43699</v>
      </c>
      <c r="I74" s="20" t="s">
        <v>32</v>
      </c>
      <c r="J74" s="20" t="s">
        <v>32</v>
      </c>
      <c r="K74" s="20" t="s">
        <v>1472</v>
      </c>
      <c r="L74" s="20">
        <v>2</v>
      </c>
      <c r="M74" s="20" t="s">
        <v>32</v>
      </c>
      <c r="N74" s="20" t="s">
        <v>34</v>
      </c>
      <c r="O74" s="20" t="s">
        <v>34</v>
      </c>
      <c r="P74" s="20" t="s">
        <v>34</v>
      </c>
      <c r="Q74" s="20" t="s">
        <v>34</v>
      </c>
      <c r="R74" s="20" t="s">
        <v>34</v>
      </c>
      <c r="S74" s="20" t="s">
        <v>34</v>
      </c>
      <c r="T74" s="20" t="s">
        <v>34</v>
      </c>
      <c r="U74" s="20" t="s">
        <v>34</v>
      </c>
      <c r="V74" s="20">
        <v>1</v>
      </c>
      <c r="W74" s="20" t="s">
        <v>178</v>
      </c>
      <c r="X74" s="20">
        <v>1</v>
      </c>
      <c r="Y74" s="20" t="s">
        <v>1471</v>
      </c>
      <c r="Z74" s="20" t="s">
        <v>1470</v>
      </c>
      <c r="AA74" s="20">
        <v>31434003</v>
      </c>
      <c r="AB74" s="20">
        <v>0</v>
      </c>
      <c r="AC74" s="20" t="s">
        <v>1858</v>
      </c>
      <c r="AD74" s="20">
        <v>4</v>
      </c>
      <c r="AE74" s="26"/>
      <c r="AH74" s="20" t="s">
        <v>1642</v>
      </c>
      <c r="AI74" s="20" t="s">
        <v>1642</v>
      </c>
      <c r="AK74" s="20">
        <v>187.5</v>
      </c>
      <c r="AN74" s="20">
        <v>187.5</v>
      </c>
      <c r="AT74" s="20" t="s">
        <v>1640</v>
      </c>
      <c r="AX74" s="20" t="s">
        <v>1859</v>
      </c>
      <c r="BK74" s="41"/>
    </row>
    <row r="75" spans="1:63" x14ac:dyDescent="0.2">
      <c r="A75" s="7">
        <v>22</v>
      </c>
      <c r="B75" s="7" t="s">
        <v>1469</v>
      </c>
      <c r="C75" s="7" t="s">
        <v>1468</v>
      </c>
      <c r="D75" s="7" t="s">
        <v>1467</v>
      </c>
      <c r="E75" s="7" t="s">
        <v>1297</v>
      </c>
      <c r="F75" s="7" t="s">
        <v>1466</v>
      </c>
      <c r="G75" s="7">
        <v>2019</v>
      </c>
      <c r="H75" s="7">
        <v>43637</v>
      </c>
      <c r="I75" s="7" t="s">
        <v>32</v>
      </c>
      <c r="J75" s="7" t="s">
        <v>32</v>
      </c>
      <c r="K75" s="7" t="s">
        <v>1465</v>
      </c>
      <c r="L75" s="7">
        <v>2</v>
      </c>
      <c r="M75" s="7" t="s">
        <v>32</v>
      </c>
      <c r="N75" s="7" t="s">
        <v>34</v>
      </c>
      <c r="O75" s="7" t="s">
        <v>34</v>
      </c>
      <c r="P75" s="7" t="s">
        <v>34</v>
      </c>
      <c r="Q75" s="7" t="s">
        <v>34</v>
      </c>
      <c r="R75" s="7" t="s">
        <v>34</v>
      </c>
      <c r="S75" s="7" t="s">
        <v>34</v>
      </c>
      <c r="T75" s="7" t="s">
        <v>34</v>
      </c>
      <c r="U75" s="7" t="s">
        <v>32</v>
      </c>
      <c r="V75" s="7">
        <v>1</v>
      </c>
      <c r="W75" s="7" t="s">
        <v>32</v>
      </c>
      <c r="X75" s="7" t="s">
        <v>32</v>
      </c>
      <c r="Y75" s="7" t="s">
        <v>32</v>
      </c>
      <c r="Z75" s="7" t="s">
        <v>32</v>
      </c>
      <c r="AA75" s="7">
        <v>31218539</v>
      </c>
      <c r="AB75" s="7">
        <v>1</v>
      </c>
      <c r="AD75" s="7">
        <v>4</v>
      </c>
      <c r="AE75" s="24">
        <v>24</v>
      </c>
      <c r="AF75" s="7">
        <v>12</v>
      </c>
      <c r="AG75" s="7">
        <v>12</v>
      </c>
      <c r="AH75" s="7" t="s">
        <v>1642</v>
      </c>
      <c r="AI75" s="7" t="s">
        <v>1642</v>
      </c>
      <c r="AK75" s="7">
        <v>200</v>
      </c>
      <c r="AN75" s="7">
        <v>200</v>
      </c>
      <c r="AR75" s="7" t="s">
        <v>1637</v>
      </c>
      <c r="AS75" s="7" t="s">
        <v>1638</v>
      </c>
      <c r="AT75" s="7" t="s">
        <v>1729</v>
      </c>
      <c r="AU75" s="7" t="s">
        <v>178</v>
      </c>
      <c r="AV75" s="7" t="s">
        <v>1689</v>
      </c>
      <c r="AW75" s="7" t="s">
        <v>1794</v>
      </c>
      <c r="AX75" s="7" t="s">
        <v>1860</v>
      </c>
      <c r="AY75" s="7" t="s">
        <v>1795</v>
      </c>
      <c r="AZ75" s="7" t="s">
        <v>1650</v>
      </c>
      <c r="BA75" s="7">
        <v>237</v>
      </c>
      <c r="BB75" s="7">
        <v>228</v>
      </c>
      <c r="BC75" s="7" t="s">
        <v>1796</v>
      </c>
      <c r="BD75" s="7">
        <v>3.9249800000000001</v>
      </c>
      <c r="BF75" s="7">
        <f>4.53491-BD75</f>
        <v>0.60992999999999986</v>
      </c>
      <c r="BG75" s="7" t="s">
        <v>1799</v>
      </c>
      <c r="BH75" s="7">
        <v>4.1497000000000002</v>
      </c>
      <c r="BJ75" s="7">
        <f>4.53493-BH75</f>
        <v>0.38522999999999996</v>
      </c>
    </row>
    <row r="76" spans="1:63" x14ac:dyDescent="0.2">
      <c r="A76" s="7">
        <v>22</v>
      </c>
      <c r="B76" s="7" t="s">
        <v>1469</v>
      </c>
      <c r="C76" s="7" t="s">
        <v>1468</v>
      </c>
      <c r="D76" s="7" t="s">
        <v>1467</v>
      </c>
      <c r="E76" s="7" t="s">
        <v>1297</v>
      </c>
      <c r="F76" s="7" t="s">
        <v>1466</v>
      </c>
      <c r="G76" s="7">
        <v>2019</v>
      </c>
      <c r="H76" s="7">
        <v>43637</v>
      </c>
      <c r="I76" s="7" t="s">
        <v>32</v>
      </c>
      <c r="J76" s="7" t="s">
        <v>32</v>
      </c>
      <c r="K76" s="7" t="s">
        <v>1465</v>
      </c>
      <c r="L76" s="7">
        <v>2</v>
      </c>
      <c r="M76" s="7" t="s">
        <v>32</v>
      </c>
      <c r="N76" s="7" t="s">
        <v>34</v>
      </c>
      <c r="O76" s="7" t="s">
        <v>34</v>
      </c>
      <c r="P76" s="7" t="s">
        <v>34</v>
      </c>
      <c r="Q76" s="7" t="s">
        <v>34</v>
      </c>
      <c r="R76" s="7" t="s">
        <v>34</v>
      </c>
      <c r="S76" s="7" t="s">
        <v>34</v>
      </c>
      <c r="T76" s="7" t="s">
        <v>34</v>
      </c>
      <c r="U76" s="7" t="s">
        <v>32</v>
      </c>
      <c r="V76" s="7">
        <v>1</v>
      </c>
      <c r="W76" s="7" t="s">
        <v>32</v>
      </c>
      <c r="X76" s="7" t="s">
        <v>32</v>
      </c>
      <c r="Y76" s="7" t="s">
        <v>32</v>
      </c>
      <c r="Z76" s="7" t="s">
        <v>32</v>
      </c>
      <c r="AA76" s="7">
        <v>31218539</v>
      </c>
      <c r="AB76" s="7">
        <v>1</v>
      </c>
      <c r="AD76" s="7">
        <v>4</v>
      </c>
      <c r="AE76" s="24">
        <v>24</v>
      </c>
      <c r="AF76" s="7">
        <v>12</v>
      </c>
      <c r="AG76" s="7">
        <v>12</v>
      </c>
      <c r="AH76" s="7" t="s">
        <v>1642</v>
      </c>
      <c r="AI76" s="7" t="s">
        <v>1642</v>
      </c>
      <c r="AK76" s="7">
        <v>200</v>
      </c>
      <c r="AN76" s="7">
        <v>200</v>
      </c>
      <c r="AR76" s="7" t="s">
        <v>1637</v>
      </c>
      <c r="AS76" s="7" t="s">
        <v>1638</v>
      </c>
      <c r="AT76" s="7" t="s">
        <v>1729</v>
      </c>
      <c r="AU76" s="7" t="s">
        <v>178</v>
      </c>
      <c r="AV76" s="7" t="s">
        <v>1689</v>
      </c>
      <c r="AW76" s="7" t="s">
        <v>1794</v>
      </c>
      <c r="AX76" s="7" t="s">
        <v>1860</v>
      </c>
      <c r="AY76" s="7" t="s">
        <v>1795</v>
      </c>
      <c r="AZ76" s="7" t="s">
        <v>1650</v>
      </c>
      <c r="BA76" s="7">
        <v>237</v>
      </c>
      <c r="BB76" s="7">
        <v>228</v>
      </c>
      <c r="BC76" s="7" t="s">
        <v>1797</v>
      </c>
      <c r="BD76" s="7">
        <v>1.61571</v>
      </c>
      <c r="BF76" s="7">
        <f>2.025-BD76</f>
        <v>0.40928999999999993</v>
      </c>
      <c r="BG76" s="7" t="s">
        <v>1800</v>
      </c>
      <c r="BH76" s="7">
        <v>2.0731700000000002</v>
      </c>
      <c r="BJ76" s="7">
        <f>2.87574-BH76</f>
        <v>0.80256999999999978</v>
      </c>
    </row>
    <row r="77" spans="1:63" x14ac:dyDescent="0.2">
      <c r="A77" s="7">
        <v>22</v>
      </c>
      <c r="B77" s="7" t="s">
        <v>1469</v>
      </c>
      <c r="C77" s="7" t="s">
        <v>1468</v>
      </c>
      <c r="D77" s="7" t="s">
        <v>1467</v>
      </c>
      <c r="E77" s="7" t="s">
        <v>1297</v>
      </c>
      <c r="F77" s="7" t="s">
        <v>1466</v>
      </c>
      <c r="G77" s="7">
        <v>2019</v>
      </c>
      <c r="H77" s="7">
        <v>43637</v>
      </c>
      <c r="I77" s="7" t="s">
        <v>32</v>
      </c>
      <c r="J77" s="7" t="s">
        <v>32</v>
      </c>
      <c r="K77" s="7" t="s">
        <v>1465</v>
      </c>
      <c r="L77" s="7">
        <v>2</v>
      </c>
      <c r="M77" s="7" t="s">
        <v>32</v>
      </c>
      <c r="N77" s="7" t="s">
        <v>34</v>
      </c>
      <c r="O77" s="7" t="s">
        <v>34</v>
      </c>
      <c r="P77" s="7" t="s">
        <v>34</v>
      </c>
      <c r="Q77" s="7" t="s">
        <v>34</v>
      </c>
      <c r="R77" s="7" t="s">
        <v>34</v>
      </c>
      <c r="S77" s="7" t="s">
        <v>34</v>
      </c>
      <c r="T77" s="7" t="s">
        <v>34</v>
      </c>
      <c r="U77" s="7" t="s">
        <v>32</v>
      </c>
      <c r="V77" s="7">
        <v>1</v>
      </c>
      <c r="W77" s="7" t="s">
        <v>32</v>
      </c>
      <c r="X77" s="7" t="s">
        <v>32</v>
      </c>
      <c r="Y77" s="7" t="s">
        <v>32</v>
      </c>
      <c r="Z77" s="7" t="s">
        <v>32</v>
      </c>
      <c r="AA77" s="7">
        <v>31218539</v>
      </c>
      <c r="AB77" s="7">
        <v>1</v>
      </c>
      <c r="AD77" s="7">
        <v>4</v>
      </c>
      <c r="AE77" s="24">
        <v>24</v>
      </c>
      <c r="AF77" s="7">
        <v>12</v>
      </c>
      <c r="AG77" s="7">
        <v>12</v>
      </c>
      <c r="AH77" s="7" t="s">
        <v>1642</v>
      </c>
      <c r="AI77" s="7" t="s">
        <v>1642</v>
      </c>
      <c r="AK77" s="7">
        <v>200</v>
      </c>
      <c r="AN77" s="7">
        <v>200</v>
      </c>
      <c r="AR77" s="7" t="s">
        <v>1637</v>
      </c>
      <c r="AS77" s="7" t="s">
        <v>1638</v>
      </c>
      <c r="AT77" s="7" t="s">
        <v>1729</v>
      </c>
      <c r="AU77" s="7" t="s">
        <v>178</v>
      </c>
      <c r="AV77" s="7" t="s">
        <v>1689</v>
      </c>
      <c r="AW77" s="7" t="s">
        <v>1794</v>
      </c>
      <c r="AX77" s="7" t="s">
        <v>1860</v>
      </c>
      <c r="AY77" s="7" t="s">
        <v>1795</v>
      </c>
      <c r="AZ77" s="7" t="s">
        <v>1650</v>
      </c>
      <c r="BA77" s="7">
        <v>237</v>
      </c>
      <c r="BB77" s="7">
        <v>228</v>
      </c>
      <c r="BC77" s="7" t="s">
        <v>1798</v>
      </c>
      <c r="BD77" s="7">
        <v>1.0805100000000001</v>
      </c>
      <c r="BF77" s="7">
        <f>1.61823-BD77</f>
        <v>0.53771999999999998</v>
      </c>
      <c r="BG77" s="7" t="s">
        <v>1801</v>
      </c>
      <c r="BH77" s="7">
        <v>0.90394799999999997</v>
      </c>
      <c r="BJ77" s="7">
        <f>1.37747-BH77</f>
        <v>0.473522</v>
      </c>
    </row>
    <row r="78" spans="1:63" x14ac:dyDescent="0.2">
      <c r="A78" s="7">
        <v>22</v>
      </c>
      <c r="B78" s="7" t="s">
        <v>1469</v>
      </c>
      <c r="C78" s="7" t="s">
        <v>1468</v>
      </c>
      <c r="D78" s="7" t="s">
        <v>1467</v>
      </c>
      <c r="E78" s="7" t="s">
        <v>1297</v>
      </c>
      <c r="F78" s="7" t="s">
        <v>1466</v>
      </c>
      <c r="G78" s="7">
        <v>2019</v>
      </c>
      <c r="H78" s="7">
        <v>43637</v>
      </c>
      <c r="I78" s="7" t="s">
        <v>32</v>
      </c>
      <c r="J78" s="7" t="s">
        <v>32</v>
      </c>
      <c r="K78" s="7" t="s">
        <v>1465</v>
      </c>
      <c r="L78" s="7">
        <v>2</v>
      </c>
      <c r="M78" s="7" t="s">
        <v>32</v>
      </c>
      <c r="N78" s="7" t="s">
        <v>34</v>
      </c>
      <c r="O78" s="7" t="s">
        <v>34</v>
      </c>
      <c r="P78" s="7" t="s">
        <v>34</v>
      </c>
      <c r="Q78" s="7" t="s">
        <v>34</v>
      </c>
      <c r="R78" s="7" t="s">
        <v>34</v>
      </c>
      <c r="S78" s="7" t="s">
        <v>34</v>
      </c>
      <c r="T78" s="7" t="s">
        <v>34</v>
      </c>
      <c r="U78" s="7" t="s">
        <v>32</v>
      </c>
      <c r="V78" s="7">
        <v>1</v>
      </c>
      <c r="W78" s="7" t="s">
        <v>32</v>
      </c>
      <c r="X78" s="7" t="s">
        <v>32</v>
      </c>
      <c r="Y78" s="7" t="s">
        <v>32</v>
      </c>
      <c r="Z78" s="7" t="s">
        <v>32</v>
      </c>
      <c r="AA78" s="7">
        <v>31218539</v>
      </c>
      <c r="AB78" s="7">
        <v>1</v>
      </c>
      <c r="AD78" s="7">
        <v>4</v>
      </c>
      <c r="AE78" s="24">
        <v>24</v>
      </c>
      <c r="AF78" s="7">
        <v>12</v>
      </c>
      <c r="AG78" s="7">
        <v>12</v>
      </c>
      <c r="AH78" s="7" t="s">
        <v>1642</v>
      </c>
      <c r="AI78" s="7" t="s">
        <v>1642</v>
      </c>
      <c r="AK78" s="7">
        <v>200</v>
      </c>
      <c r="AN78" s="7">
        <v>200</v>
      </c>
      <c r="AR78" s="7" t="s">
        <v>1637</v>
      </c>
      <c r="AS78" s="7" t="s">
        <v>1638</v>
      </c>
      <c r="AT78" s="7" t="s">
        <v>1729</v>
      </c>
      <c r="AU78" s="7" t="s">
        <v>178</v>
      </c>
      <c r="AV78" s="7" t="s">
        <v>1689</v>
      </c>
      <c r="AW78" s="7" t="s">
        <v>1794</v>
      </c>
      <c r="AX78" s="7" t="s">
        <v>1860</v>
      </c>
      <c r="AY78" s="7" t="s">
        <v>1808</v>
      </c>
      <c r="AZ78" s="7" t="s">
        <v>1650</v>
      </c>
      <c r="BA78" s="7">
        <v>237</v>
      </c>
      <c r="BB78" s="7">
        <v>228</v>
      </c>
      <c r="BC78" s="7" t="s">
        <v>1802</v>
      </c>
      <c r="BD78" s="7">
        <v>2.3092899999999998</v>
      </c>
      <c r="BF78" s="7">
        <f>2.92727-BD78</f>
        <v>0.6179800000000002</v>
      </c>
      <c r="BG78" s="7" t="s">
        <v>1803</v>
      </c>
      <c r="BH78" s="7">
        <v>0.55167200000000005</v>
      </c>
      <c r="BJ78" s="7">
        <f>0.70416-BH78</f>
        <v>0.15248799999999996</v>
      </c>
    </row>
    <row r="79" spans="1:63" x14ac:dyDescent="0.2">
      <c r="A79" s="7">
        <v>22</v>
      </c>
      <c r="B79" s="7" t="s">
        <v>1469</v>
      </c>
      <c r="C79" s="7" t="s">
        <v>1468</v>
      </c>
      <c r="D79" s="7" t="s">
        <v>1467</v>
      </c>
      <c r="E79" s="7" t="s">
        <v>1297</v>
      </c>
      <c r="F79" s="7" t="s">
        <v>1466</v>
      </c>
      <c r="G79" s="7">
        <v>2019</v>
      </c>
      <c r="H79" s="7">
        <v>43637</v>
      </c>
      <c r="I79" s="7" t="s">
        <v>32</v>
      </c>
      <c r="J79" s="7" t="s">
        <v>32</v>
      </c>
      <c r="K79" s="7" t="s">
        <v>1465</v>
      </c>
      <c r="L79" s="7">
        <v>2</v>
      </c>
      <c r="M79" s="7" t="s">
        <v>32</v>
      </c>
      <c r="N79" s="7" t="s">
        <v>34</v>
      </c>
      <c r="O79" s="7" t="s">
        <v>34</v>
      </c>
      <c r="P79" s="7" t="s">
        <v>34</v>
      </c>
      <c r="Q79" s="7" t="s">
        <v>34</v>
      </c>
      <c r="R79" s="7" t="s">
        <v>34</v>
      </c>
      <c r="S79" s="7" t="s">
        <v>34</v>
      </c>
      <c r="T79" s="7" t="s">
        <v>34</v>
      </c>
      <c r="U79" s="7" t="s">
        <v>32</v>
      </c>
      <c r="V79" s="7">
        <v>1</v>
      </c>
      <c r="W79" s="7" t="s">
        <v>32</v>
      </c>
      <c r="X79" s="7" t="s">
        <v>32</v>
      </c>
      <c r="Y79" s="7" t="s">
        <v>32</v>
      </c>
      <c r="Z79" s="7" t="s">
        <v>32</v>
      </c>
      <c r="AA79" s="7">
        <v>31218539</v>
      </c>
      <c r="AB79" s="7">
        <v>1</v>
      </c>
      <c r="AD79" s="7">
        <v>4</v>
      </c>
      <c r="AE79" s="24">
        <v>24</v>
      </c>
      <c r="AF79" s="7">
        <v>12</v>
      </c>
      <c r="AG79" s="7">
        <v>12</v>
      </c>
      <c r="AH79" s="7" t="s">
        <v>1642</v>
      </c>
      <c r="AI79" s="7" t="s">
        <v>1642</v>
      </c>
      <c r="AK79" s="7">
        <v>200</v>
      </c>
      <c r="AN79" s="7">
        <v>200</v>
      </c>
      <c r="AR79" s="7" t="s">
        <v>1637</v>
      </c>
      <c r="AS79" s="7" t="s">
        <v>1638</v>
      </c>
      <c r="AT79" s="7" t="s">
        <v>1729</v>
      </c>
      <c r="AU79" s="7" t="s">
        <v>178</v>
      </c>
      <c r="AV79" s="7" t="s">
        <v>1689</v>
      </c>
      <c r="AW79" s="7" t="s">
        <v>1794</v>
      </c>
      <c r="AX79" s="7" t="s">
        <v>1860</v>
      </c>
      <c r="AY79" s="7" t="s">
        <v>1809</v>
      </c>
      <c r="AZ79" s="7" t="s">
        <v>1650</v>
      </c>
      <c r="BA79" s="7">
        <v>237</v>
      </c>
      <c r="BB79" s="7">
        <v>228</v>
      </c>
      <c r="BC79" s="7" t="s">
        <v>1804</v>
      </c>
      <c r="BD79" s="7">
        <v>2.6472199999999999</v>
      </c>
      <c r="BF79" s="7">
        <f>3.40162</f>
        <v>3.4016199999999999</v>
      </c>
      <c r="BG79" s="7" t="s">
        <v>1805</v>
      </c>
      <c r="BH79" s="7">
        <v>0.73710399999999998</v>
      </c>
      <c r="BJ79" s="7">
        <f>1.12234-BH79</f>
        <v>0.38523599999999991</v>
      </c>
    </row>
    <row r="80" spans="1:63" x14ac:dyDescent="0.2">
      <c r="A80" s="7">
        <v>22</v>
      </c>
      <c r="B80" s="7" t="s">
        <v>1469</v>
      </c>
      <c r="C80" s="7" t="s">
        <v>1468</v>
      </c>
      <c r="D80" s="7" t="s">
        <v>1467</v>
      </c>
      <c r="E80" s="7" t="s">
        <v>1297</v>
      </c>
      <c r="F80" s="7" t="s">
        <v>1466</v>
      </c>
      <c r="G80" s="7">
        <v>2019</v>
      </c>
      <c r="H80" s="7">
        <v>43637</v>
      </c>
      <c r="I80" s="7" t="s">
        <v>32</v>
      </c>
      <c r="J80" s="7" t="s">
        <v>32</v>
      </c>
      <c r="K80" s="7" t="s">
        <v>1465</v>
      </c>
      <c r="L80" s="7">
        <v>2</v>
      </c>
      <c r="M80" s="7" t="s">
        <v>32</v>
      </c>
      <c r="N80" s="7" t="s">
        <v>34</v>
      </c>
      <c r="O80" s="7" t="s">
        <v>34</v>
      </c>
      <c r="P80" s="7" t="s">
        <v>34</v>
      </c>
      <c r="Q80" s="7" t="s">
        <v>34</v>
      </c>
      <c r="R80" s="7" t="s">
        <v>34</v>
      </c>
      <c r="S80" s="7" t="s">
        <v>34</v>
      </c>
      <c r="T80" s="7" t="s">
        <v>34</v>
      </c>
      <c r="U80" s="7" t="s">
        <v>32</v>
      </c>
      <c r="V80" s="7">
        <v>1</v>
      </c>
      <c r="W80" s="7" t="s">
        <v>32</v>
      </c>
      <c r="X80" s="7" t="s">
        <v>32</v>
      </c>
      <c r="Y80" s="7" t="s">
        <v>32</v>
      </c>
      <c r="Z80" s="7" t="s">
        <v>32</v>
      </c>
      <c r="AA80" s="7">
        <v>31218539</v>
      </c>
      <c r="AB80" s="7">
        <v>1</v>
      </c>
      <c r="AD80" s="7">
        <v>4</v>
      </c>
      <c r="AE80" s="24">
        <v>24</v>
      </c>
      <c r="AF80" s="7">
        <v>12</v>
      </c>
      <c r="AG80" s="7">
        <v>12</v>
      </c>
      <c r="AH80" s="7" t="s">
        <v>1642</v>
      </c>
      <c r="AI80" s="7" t="s">
        <v>1642</v>
      </c>
      <c r="AK80" s="7">
        <v>200</v>
      </c>
      <c r="AN80" s="7">
        <v>200</v>
      </c>
      <c r="AR80" s="7" t="s">
        <v>1637</v>
      </c>
      <c r="AS80" s="7" t="s">
        <v>1638</v>
      </c>
      <c r="AT80" s="7" t="s">
        <v>1729</v>
      </c>
      <c r="AU80" s="7" t="s">
        <v>178</v>
      </c>
      <c r="AV80" s="7" t="s">
        <v>1689</v>
      </c>
      <c r="AW80" s="7" t="s">
        <v>1794</v>
      </c>
      <c r="AX80" s="7" t="s">
        <v>1860</v>
      </c>
      <c r="AY80" s="7" t="s">
        <v>1809</v>
      </c>
      <c r="AZ80" s="7" t="s">
        <v>1650</v>
      </c>
      <c r="BA80" s="7">
        <v>237</v>
      </c>
      <c r="BB80" s="7">
        <v>228</v>
      </c>
      <c r="BC80" s="7" t="s">
        <v>1806</v>
      </c>
      <c r="BD80" s="7">
        <v>2.9129</v>
      </c>
      <c r="BF80" s="7">
        <f>3.59509-BD80</f>
        <v>0.68218999999999985</v>
      </c>
      <c r="BG80" s="7" t="s">
        <v>1807</v>
      </c>
      <c r="BH80" s="7">
        <v>1.1151599999999999</v>
      </c>
      <c r="BJ80" s="7">
        <f>1.38803-BH80</f>
        <v>0.27287000000000017</v>
      </c>
    </row>
    <row r="81" spans="1:63" s="21" customFormat="1" x14ac:dyDescent="0.2">
      <c r="A81" s="21">
        <v>23</v>
      </c>
      <c r="B81" s="21" t="s">
        <v>1464</v>
      </c>
      <c r="C81" s="21" t="s">
        <v>1463</v>
      </c>
      <c r="D81" s="21" t="s">
        <v>1462</v>
      </c>
      <c r="E81" s="21" t="s">
        <v>1461</v>
      </c>
      <c r="F81" s="21" t="s">
        <v>1460</v>
      </c>
      <c r="G81" s="21">
        <v>2019</v>
      </c>
      <c r="H81" s="21">
        <v>43628</v>
      </c>
      <c r="I81" s="21" t="s">
        <v>1459</v>
      </c>
      <c r="J81" s="21" t="s">
        <v>32</v>
      </c>
      <c r="K81" s="21" t="s">
        <v>1458</v>
      </c>
      <c r="L81" s="21">
        <v>2</v>
      </c>
      <c r="M81" s="21" t="s">
        <v>32</v>
      </c>
      <c r="N81" s="21" t="s">
        <v>1457</v>
      </c>
      <c r="O81" s="21" t="s">
        <v>34</v>
      </c>
      <c r="P81" s="21" t="s">
        <v>34</v>
      </c>
      <c r="Q81" s="21" t="s">
        <v>34</v>
      </c>
      <c r="R81" s="21" t="s">
        <v>34</v>
      </c>
      <c r="S81" s="21" t="s">
        <v>34</v>
      </c>
      <c r="T81" s="21" t="s">
        <v>34</v>
      </c>
      <c r="U81" s="21" t="s">
        <v>34</v>
      </c>
      <c r="V81" s="21">
        <v>1</v>
      </c>
      <c r="W81" s="21" t="s">
        <v>178</v>
      </c>
      <c r="X81" s="21">
        <v>1</v>
      </c>
      <c r="Y81" s="21" t="s">
        <v>1456</v>
      </c>
      <c r="Z81" s="21" t="s">
        <v>1455</v>
      </c>
      <c r="AA81" s="21">
        <v>31182594</v>
      </c>
      <c r="AB81" s="21">
        <v>1</v>
      </c>
      <c r="AD81" s="21">
        <v>5</v>
      </c>
      <c r="AE81" s="23"/>
      <c r="AH81" s="21" t="s">
        <v>1642</v>
      </c>
      <c r="AI81" s="21" t="s">
        <v>1642</v>
      </c>
      <c r="AR81" s="21" t="s">
        <v>1637</v>
      </c>
      <c r="AS81" s="21" t="s">
        <v>1638</v>
      </c>
      <c r="AT81" s="21" t="s">
        <v>1861</v>
      </c>
      <c r="AU81" s="21" t="s">
        <v>178</v>
      </c>
      <c r="AV81" s="21" t="s">
        <v>1641</v>
      </c>
      <c r="AW81" s="21" t="s">
        <v>1639</v>
      </c>
      <c r="AX81" s="56" t="s">
        <v>1862</v>
      </c>
      <c r="AZ81" s="21" t="s">
        <v>1650</v>
      </c>
      <c r="BA81" s="21">
        <v>238</v>
      </c>
      <c r="BB81" s="21">
        <v>229</v>
      </c>
      <c r="BC81" s="21" t="s">
        <v>1863</v>
      </c>
      <c r="BD81" s="21">
        <v>50.896900000000002</v>
      </c>
      <c r="BF81" s="21">
        <f>55.5999-BD81</f>
        <v>4.7029999999999959</v>
      </c>
      <c r="BG81" s="21" t="s">
        <v>1865</v>
      </c>
      <c r="BH81" s="21">
        <v>24.287800000000001</v>
      </c>
      <c r="BJ81" s="21">
        <f>28.7433-BH81</f>
        <v>4.4555000000000007</v>
      </c>
      <c r="BK81" s="40" t="s">
        <v>1873</v>
      </c>
    </row>
    <row r="82" spans="1:63" s="21" customFormat="1" x14ac:dyDescent="0.2">
      <c r="A82" s="21">
        <v>23</v>
      </c>
      <c r="B82" s="21" t="s">
        <v>1464</v>
      </c>
      <c r="C82" s="21" t="s">
        <v>1463</v>
      </c>
      <c r="D82" s="21" t="s">
        <v>1462</v>
      </c>
      <c r="E82" s="21" t="s">
        <v>1461</v>
      </c>
      <c r="F82" s="21" t="s">
        <v>1460</v>
      </c>
      <c r="G82" s="21">
        <v>2019</v>
      </c>
      <c r="H82" s="21">
        <v>43628</v>
      </c>
      <c r="I82" s="21" t="s">
        <v>1459</v>
      </c>
      <c r="J82" s="21" t="s">
        <v>32</v>
      </c>
      <c r="K82" s="21" t="s">
        <v>1458</v>
      </c>
      <c r="L82" s="21">
        <v>2</v>
      </c>
      <c r="M82" s="21" t="s">
        <v>32</v>
      </c>
      <c r="N82" s="21" t="s">
        <v>1457</v>
      </c>
      <c r="O82" s="21" t="s">
        <v>34</v>
      </c>
      <c r="P82" s="21" t="s">
        <v>34</v>
      </c>
      <c r="Q82" s="21" t="s">
        <v>34</v>
      </c>
      <c r="R82" s="21" t="s">
        <v>34</v>
      </c>
      <c r="S82" s="21" t="s">
        <v>34</v>
      </c>
      <c r="T82" s="21" t="s">
        <v>34</v>
      </c>
      <c r="U82" s="21" t="s">
        <v>34</v>
      </c>
      <c r="V82" s="21">
        <v>1</v>
      </c>
      <c r="W82" s="21" t="s">
        <v>178</v>
      </c>
      <c r="X82" s="21">
        <v>1</v>
      </c>
      <c r="Y82" s="21" t="s">
        <v>1456</v>
      </c>
      <c r="Z82" s="21" t="s">
        <v>1455</v>
      </c>
      <c r="AA82" s="21">
        <v>31182594</v>
      </c>
      <c r="AB82" s="21">
        <v>1</v>
      </c>
      <c r="AD82" s="21">
        <v>5</v>
      </c>
      <c r="AE82" s="23"/>
      <c r="AH82" s="21" t="s">
        <v>1642</v>
      </c>
      <c r="AI82" s="21" t="s">
        <v>1642</v>
      </c>
      <c r="AR82" s="21" t="s">
        <v>1637</v>
      </c>
      <c r="AS82" s="21" t="s">
        <v>1638</v>
      </c>
      <c r="AT82" s="21" t="s">
        <v>1861</v>
      </c>
      <c r="AU82" s="21" t="s">
        <v>178</v>
      </c>
      <c r="AV82" s="21" t="s">
        <v>1641</v>
      </c>
      <c r="AW82" s="21" t="s">
        <v>1639</v>
      </c>
      <c r="AX82" s="56" t="s">
        <v>1862</v>
      </c>
      <c r="AZ82" s="21" t="s">
        <v>1650</v>
      </c>
      <c r="BA82" s="21">
        <v>238</v>
      </c>
      <c r="BB82" s="21">
        <v>229</v>
      </c>
      <c r="BC82" s="21" t="s">
        <v>1864</v>
      </c>
      <c r="BD82" s="21">
        <v>87.345200000000006</v>
      </c>
      <c r="BF82" s="21">
        <f>91.8015-BD82</f>
        <v>4.4562999999999988</v>
      </c>
      <c r="BG82" s="21" t="s">
        <v>1866</v>
      </c>
      <c r="BH82" s="21">
        <v>77.073599999999999</v>
      </c>
      <c r="BJ82" s="21">
        <f>82.2717-BH82</f>
        <v>5.1980999999999966</v>
      </c>
      <c r="BK82" s="40"/>
    </row>
    <row r="83" spans="1:63" x14ac:dyDescent="0.2">
      <c r="A83" s="7">
        <v>24</v>
      </c>
      <c r="B83" s="7" t="s">
        <v>1454</v>
      </c>
      <c r="C83" s="7" t="s">
        <v>1453</v>
      </c>
      <c r="D83" s="7" t="s">
        <v>1452</v>
      </c>
      <c r="E83" s="7" t="s">
        <v>1451</v>
      </c>
      <c r="F83" s="7" t="s">
        <v>1450</v>
      </c>
      <c r="G83" s="7">
        <v>2019</v>
      </c>
      <c r="H83" s="7">
        <v>43620</v>
      </c>
      <c r="I83" s="7" t="s">
        <v>32</v>
      </c>
      <c r="J83" s="7" t="s">
        <v>32</v>
      </c>
      <c r="K83" s="7" t="s">
        <v>1449</v>
      </c>
      <c r="L83" s="7">
        <v>2</v>
      </c>
      <c r="M83" s="7" t="s">
        <v>32</v>
      </c>
      <c r="N83" s="7" t="s">
        <v>34</v>
      </c>
      <c r="O83" s="7" t="s">
        <v>190</v>
      </c>
      <c r="P83" s="7" t="s">
        <v>34</v>
      </c>
      <c r="Q83" s="7" t="s">
        <v>34</v>
      </c>
      <c r="R83" s="7" t="s">
        <v>34</v>
      </c>
      <c r="S83" s="7" t="s">
        <v>34</v>
      </c>
      <c r="T83" s="7" t="s">
        <v>34</v>
      </c>
      <c r="U83" s="7" t="s">
        <v>32</v>
      </c>
      <c r="V83" s="7">
        <v>1</v>
      </c>
      <c r="W83" s="7" t="s">
        <v>32</v>
      </c>
      <c r="X83" s="7" t="s">
        <v>32</v>
      </c>
      <c r="Y83" s="7" t="s">
        <v>32</v>
      </c>
      <c r="Z83" s="7" t="s">
        <v>32</v>
      </c>
      <c r="AA83" s="7">
        <v>31158497</v>
      </c>
      <c r="AB83" s="7">
        <v>1</v>
      </c>
      <c r="AD83" s="7">
        <v>5</v>
      </c>
      <c r="AE83" s="24">
        <v>36</v>
      </c>
      <c r="AF83" s="7">
        <v>18</v>
      </c>
      <c r="AG83" s="7">
        <v>18</v>
      </c>
      <c r="AH83" s="7" t="s">
        <v>1642</v>
      </c>
      <c r="AI83" s="7" t="s">
        <v>1642</v>
      </c>
      <c r="AJ83" s="7" t="s">
        <v>1867</v>
      </c>
      <c r="AM83" s="7" t="s">
        <v>1867</v>
      </c>
      <c r="AP83" s="7">
        <v>1</v>
      </c>
      <c r="AQ83" s="7" t="s">
        <v>1787</v>
      </c>
      <c r="AR83" s="7" t="s">
        <v>1814</v>
      </c>
      <c r="AS83" s="7" t="s">
        <v>1667</v>
      </c>
      <c r="AT83" s="7" t="s">
        <v>1868</v>
      </c>
      <c r="AU83" s="7" t="s">
        <v>178</v>
      </c>
      <c r="AV83" s="7" t="s">
        <v>1870</v>
      </c>
      <c r="AW83" s="7" t="s">
        <v>1678</v>
      </c>
      <c r="AX83" s="7" t="s">
        <v>1869</v>
      </c>
      <c r="AY83" s="7" t="s">
        <v>1750</v>
      </c>
      <c r="AZ83" s="7" t="s">
        <v>1650</v>
      </c>
      <c r="BA83" s="7">
        <v>239</v>
      </c>
      <c r="BB83" s="7">
        <v>230</v>
      </c>
      <c r="BC83" s="7" t="s">
        <v>1872</v>
      </c>
      <c r="BD83" s="7">
        <v>32.0764</v>
      </c>
      <c r="BF83" s="7">
        <f>36.0206-BD83</f>
        <v>3.9442000000000021</v>
      </c>
      <c r="BG83" s="7" t="s">
        <v>1871</v>
      </c>
      <c r="BH83" s="7">
        <v>7.6535599999999997</v>
      </c>
      <c r="BJ83" s="7">
        <f>8.92114-BH83</f>
        <v>1.2675799999999997</v>
      </c>
    </row>
    <row r="84" spans="1:63" s="20" customFormat="1" x14ac:dyDescent="0.2">
      <c r="A84" s="20">
        <v>25</v>
      </c>
      <c r="B84" s="20" t="s">
        <v>1448</v>
      </c>
      <c r="C84" s="20" t="s">
        <v>1447</v>
      </c>
      <c r="D84" s="20" t="s">
        <v>1446</v>
      </c>
      <c r="E84" s="20" t="s">
        <v>1445</v>
      </c>
      <c r="F84" s="20" t="s">
        <v>1444</v>
      </c>
      <c r="G84" s="20">
        <v>2019</v>
      </c>
      <c r="H84" s="20">
        <v>43617</v>
      </c>
      <c r="I84" s="20" t="s">
        <v>1443</v>
      </c>
      <c r="J84" s="20" t="s">
        <v>32</v>
      </c>
      <c r="K84" s="20" t="s">
        <v>1442</v>
      </c>
      <c r="L84" s="20">
        <v>2</v>
      </c>
      <c r="M84" s="20" t="s">
        <v>1441</v>
      </c>
      <c r="N84" s="20" t="s">
        <v>34</v>
      </c>
      <c r="O84" s="20" t="s">
        <v>190</v>
      </c>
      <c r="P84" s="20" t="s">
        <v>34</v>
      </c>
      <c r="Q84" s="20" t="s">
        <v>34</v>
      </c>
      <c r="R84" s="20" t="s">
        <v>34</v>
      </c>
      <c r="S84" s="20" t="s">
        <v>34</v>
      </c>
      <c r="T84" s="20" t="s">
        <v>34</v>
      </c>
      <c r="U84" s="20" t="s">
        <v>32</v>
      </c>
      <c r="V84" s="20">
        <v>1</v>
      </c>
      <c r="W84" s="20" t="s">
        <v>32</v>
      </c>
      <c r="X84" s="20" t="s">
        <v>32</v>
      </c>
      <c r="Y84" s="20" t="s">
        <v>32</v>
      </c>
      <c r="Z84" s="20" t="s">
        <v>32</v>
      </c>
      <c r="AA84" s="20">
        <v>31147546</v>
      </c>
      <c r="AB84" s="20">
        <v>0</v>
      </c>
      <c r="AC84" s="20" t="s">
        <v>1874</v>
      </c>
      <c r="AE84" s="26"/>
      <c r="BK84" s="41"/>
    </row>
    <row r="85" spans="1:63" s="21" customFormat="1" x14ac:dyDescent="0.2">
      <c r="A85" s="21">
        <v>26</v>
      </c>
      <c r="B85" s="21" t="s">
        <v>1440</v>
      </c>
      <c r="C85" s="21" t="s">
        <v>1439</v>
      </c>
      <c r="D85" s="21" t="s">
        <v>1438</v>
      </c>
      <c r="E85" s="21" t="s">
        <v>1437</v>
      </c>
      <c r="F85" s="21" t="s">
        <v>415</v>
      </c>
      <c r="G85" s="21">
        <v>2019</v>
      </c>
      <c r="H85" s="21">
        <v>43605</v>
      </c>
      <c r="I85" s="21" t="s">
        <v>32</v>
      </c>
      <c r="J85" s="21" t="s">
        <v>32</v>
      </c>
      <c r="K85" s="21" t="s">
        <v>1436</v>
      </c>
      <c r="L85" s="21">
        <v>2</v>
      </c>
      <c r="M85" s="21" t="s">
        <v>32</v>
      </c>
      <c r="N85" s="21" t="s">
        <v>34</v>
      </c>
      <c r="O85" s="21" t="s">
        <v>190</v>
      </c>
      <c r="P85" s="21" t="s">
        <v>34</v>
      </c>
      <c r="Q85" s="21" t="s">
        <v>34</v>
      </c>
      <c r="R85" s="21" t="s">
        <v>34</v>
      </c>
      <c r="S85" s="21" t="s">
        <v>34</v>
      </c>
      <c r="T85" s="21" t="s">
        <v>34</v>
      </c>
      <c r="U85" s="21" t="s">
        <v>32</v>
      </c>
      <c r="V85" s="21">
        <v>1</v>
      </c>
      <c r="W85" s="21" t="s">
        <v>32</v>
      </c>
      <c r="X85" s="21" t="s">
        <v>32</v>
      </c>
      <c r="Y85" s="21" t="s">
        <v>32</v>
      </c>
      <c r="Z85" s="21" t="s">
        <v>32</v>
      </c>
      <c r="AA85" s="21">
        <v>31103345</v>
      </c>
      <c r="AB85" s="21">
        <v>1</v>
      </c>
      <c r="AD85" s="21">
        <v>4</v>
      </c>
      <c r="AE85" s="23">
        <v>20</v>
      </c>
      <c r="AF85" s="21">
        <v>10</v>
      </c>
      <c r="AG85" s="21">
        <v>10</v>
      </c>
      <c r="AH85" s="21" t="s">
        <v>1646</v>
      </c>
      <c r="AI85" s="21" t="s">
        <v>1646</v>
      </c>
      <c r="AK85" s="21">
        <v>190</v>
      </c>
      <c r="AN85" s="21">
        <v>190</v>
      </c>
      <c r="AP85" s="21">
        <v>1</v>
      </c>
      <c r="AQ85" s="21" t="s">
        <v>1877</v>
      </c>
      <c r="AR85" s="21" t="s">
        <v>1637</v>
      </c>
      <c r="AS85" s="21" t="s">
        <v>1878</v>
      </c>
      <c r="AT85" s="21" t="s">
        <v>1640</v>
      </c>
      <c r="AU85" s="21" t="s">
        <v>178</v>
      </c>
      <c r="AV85" s="21" t="s">
        <v>1876</v>
      </c>
      <c r="AW85" s="21" t="s">
        <v>1639</v>
      </c>
      <c r="AX85" s="21" t="s">
        <v>1875</v>
      </c>
      <c r="AY85" s="21" t="s">
        <v>1881</v>
      </c>
      <c r="AZ85" s="21" t="s">
        <v>1650</v>
      </c>
      <c r="BA85" s="21">
        <v>240</v>
      </c>
      <c r="BB85" s="21">
        <v>231</v>
      </c>
      <c r="BC85" s="21" t="s">
        <v>1879</v>
      </c>
      <c r="BD85" s="21">
        <v>44.0396</v>
      </c>
      <c r="BF85" s="21">
        <f>46.6171-BD85</f>
        <v>2.5775000000000006</v>
      </c>
      <c r="BG85" s="21" t="s">
        <v>1880</v>
      </c>
      <c r="BH85" s="21">
        <v>23.829499999999999</v>
      </c>
      <c r="BJ85" s="21">
        <f>26.0203-BH85</f>
        <v>2.1907999999999994</v>
      </c>
      <c r="BK85" s="40"/>
    </row>
    <row r="86" spans="1:63" s="21" customFormat="1" x14ac:dyDescent="0.2">
      <c r="A86" s="21">
        <v>27</v>
      </c>
      <c r="B86" s="21" t="s">
        <v>1435</v>
      </c>
      <c r="C86" s="21" t="s">
        <v>1434</v>
      </c>
      <c r="D86" s="21" t="s">
        <v>1433</v>
      </c>
      <c r="E86" s="21" t="s">
        <v>1432</v>
      </c>
      <c r="F86" s="21" t="s">
        <v>185</v>
      </c>
      <c r="G86" s="21">
        <v>2019</v>
      </c>
      <c r="H86" s="21">
        <v>43601</v>
      </c>
      <c r="I86" s="21" t="s">
        <v>32</v>
      </c>
      <c r="J86" s="21" t="s">
        <v>32</v>
      </c>
      <c r="K86" s="21" t="s">
        <v>1431</v>
      </c>
      <c r="L86" s="21">
        <v>2</v>
      </c>
      <c r="M86" s="21" t="s">
        <v>32</v>
      </c>
      <c r="N86" s="21" t="s">
        <v>34</v>
      </c>
      <c r="O86" s="21" t="s">
        <v>190</v>
      </c>
      <c r="P86" s="21" t="s">
        <v>34</v>
      </c>
      <c r="Q86" s="21" t="s">
        <v>34</v>
      </c>
      <c r="R86" s="21" t="s">
        <v>34</v>
      </c>
      <c r="S86" s="21" t="s">
        <v>34</v>
      </c>
      <c r="T86" s="21" t="s">
        <v>34</v>
      </c>
      <c r="U86" s="21" t="s">
        <v>32</v>
      </c>
      <c r="V86" s="21">
        <v>1</v>
      </c>
      <c r="W86" s="21" t="s">
        <v>32</v>
      </c>
      <c r="X86" s="21" t="s">
        <v>32</v>
      </c>
      <c r="Y86" s="21" t="s">
        <v>32</v>
      </c>
      <c r="Z86" s="21" t="s">
        <v>32</v>
      </c>
      <c r="AA86" s="21">
        <v>31085186</v>
      </c>
      <c r="AB86" s="21">
        <v>1</v>
      </c>
      <c r="AD86" s="21">
        <v>5</v>
      </c>
      <c r="AE86" s="23">
        <v>16</v>
      </c>
      <c r="AF86" s="21">
        <v>8</v>
      </c>
      <c r="AG86" s="21">
        <v>8</v>
      </c>
      <c r="AH86" s="21" t="s">
        <v>1642</v>
      </c>
      <c r="AI86" s="21" t="s">
        <v>1642</v>
      </c>
      <c r="AK86" s="21">
        <v>20</v>
      </c>
      <c r="AN86" s="21">
        <v>20</v>
      </c>
      <c r="AP86" s="21">
        <v>5</v>
      </c>
      <c r="AQ86" s="21" t="s">
        <v>1877</v>
      </c>
      <c r="AR86" s="21" t="s">
        <v>1637</v>
      </c>
      <c r="AS86" s="21" t="s">
        <v>1878</v>
      </c>
      <c r="AT86" s="21" t="s">
        <v>1883</v>
      </c>
      <c r="AU86" s="21" t="s">
        <v>178</v>
      </c>
      <c r="AV86" s="21" t="s">
        <v>1689</v>
      </c>
      <c r="AW86" s="21" t="s">
        <v>1639</v>
      </c>
      <c r="AX86" s="21" t="s">
        <v>1882</v>
      </c>
      <c r="AY86" s="21" t="s">
        <v>1881</v>
      </c>
      <c r="AZ86" s="21" t="s">
        <v>1650</v>
      </c>
      <c r="BA86" s="21">
        <v>241</v>
      </c>
      <c r="BB86" s="21">
        <v>232</v>
      </c>
      <c r="BC86" s="21" t="s">
        <v>1879</v>
      </c>
      <c r="BD86" s="21">
        <v>46.748600000000003</v>
      </c>
      <c r="BF86" s="21">
        <f>54.0459-BD86</f>
        <v>7.2972999999999999</v>
      </c>
      <c r="BG86" s="21" t="s">
        <v>1880</v>
      </c>
      <c r="BH86" s="21">
        <v>18.773900000000001</v>
      </c>
      <c r="BJ86" s="21">
        <f>21.7855-BH86</f>
        <v>3.0115999999999978</v>
      </c>
      <c r="BK86" s="40"/>
    </row>
    <row r="87" spans="1:63" s="20" customFormat="1" x14ac:dyDescent="0.2">
      <c r="A87" s="20">
        <v>28</v>
      </c>
      <c r="B87" s="20" t="s">
        <v>1430</v>
      </c>
      <c r="C87" s="20" t="s">
        <v>1429</v>
      </c>
      <c r="D87" s="20" t="s">
        <v>1428</v>
      </c>
      <c r="E87" s="20" t="s">
        <v>1427</v>
      </c>
      <c r="F87" s="20" t="s">
        <v>343</v>
      </c>
      <c r="G87" s="20">
        <v>2019</v>
      </c>
      <c r="H87" s="20">
        <v>43579</v>
      </c>
      <c r="I87" s="20" t="s">
        <v>32</v>
      </c>
      <c r="J87" s="20" t="s">
        <v>32</v>
      </c>
      <c r="K87" s="20" t="s">
        <v>1426</v>
      </c>
      <c r="L87" s="20">
        <v>2</v>
      </c>
      <c r="M87" s="20" t="s">
        <v>32</v>
      </c>
      <c r="N87" s="20" t="s">
        <v>34</v>
      </c>
      <c r="O87" s="20" t="s">
        <v>190</v>
      </c>
      <c r="P87" s="20" t="s">
        <v>34</v>
      </c>
      <c r="Q87" s="20" t="s">
        <v>34</v>
      </c>
      <c r="R87" s="20" t="s">
        <v>34</v>
      </c>
      <c r="S87" s="20" t="s">
        <v>34</v>
      </c>
      <c r="T87" s="20" t="s">
        <v>34</v>
      </c>
      <c r="U87" s="20" t="s">
        <v>32</v>
      </c>
      <c r="V87" s="20">
        <v>1</v>
      </c>
      <c r="W87" s="20" t="s">
        <v>32</v>
      </c>
      <c r="X87" s="20" t="s">
        <v>32</v>
      </c>
      <c r="Y87" s="20" t="s">
        <v>32</v>
      </c>
      <c r="Z87" s="20" t="s">
        <v>32</v>
      </c>
      <c r="AA87" s="20">
        <v>31010369</v>
      </c>
      <c r="AB87" s="20">
        <v>0</v>
      </c>
      <c r="AC87" s="20" t="s">
        <v>1887</v>
      </c>
      <c r="AD87" s="20">
        <v>4</v>
      </c>
      <c r="AE87" s="26">
        <v>14</v>
      </c>
      <c r="AF87" s="20">
        <v>9</v>
      </c>
      <c r="AG87" s="20">
        <v>5</v>
      </c>
      <c r="AH87" s="20" t="s">
        <v>1642</v>
      </c>
      <c r="AI87" s="20" t="s">
        <v>1642</v>
      </c>
      <c r="AJ87" s="20" t="s">
        <v>1884</v>
      </c>
      <c r="AK87" s="20">
        <v>265</v>
      </c>
      <c r="AM87" s="20" t="s">
        <v>1884</v>
      </c>
      <c r="AN87" s="20">
        <v>265</v>
      </c>
      <c r="AQ87" s="20" t="s">
        <v>1886</v>
      </c>
      <c r="AR87" s="20" t="s">
        <v>1637</v>
      </c>
      <c r="AS87" s="20" t="s">
        <v>1638</v>
      </c>
      <c r="AT87" s="20" t="s">
        <v>1640</v>
      </c>
      <c r="AU87" s="20" t="s">
        <v>178</v>
      </c>
      <c r="AX87" s="20" t="s">
        <v>1885</v>
      </c>
      <c r="BK87" s="41" t="s">
        <v>2009</v>
      </c>
    </row>
    <row r="88" spans="1:63" x14ac:dyDescent="0.2">
      <c r="A88" s="7">
        <v>29</v>
      </c>
      <c r="B88" s="7" t="s">
        <v>1425</v>
      </c>
      <c r="C88" s="7" t="s">
        <v>1424</v>
      </c>
      <c r="D88" s="7" t="s">
        <v>1423</v>
      </c>
      <c r="E88" s="7" t="s">
        <v>1422</v>
      </c>
      <c r="F88" s="7" t="s">
        <v>167</v>
      </c>
      <c r="G88" s="7">
        <v>2019</v>
      </c>
      <c r="H88" s="7">
        <v>43571</v>
      </c>
      <c r="I88" s="7" t="s">
        <v>32</v>
      </c>
      <c r="J88" s="7" t="s">
        <v>32</v>
      </c>
      <c r="K88" s="7" t="s">
        <v>1421</v>
      </c>
      <c r="L88" s="7">
        <v>2</v>
      </c>
      <c r="M88" s="7" t="s">
        <v>32</v>
      </c>
      <c r="N88" s="7" t="s">
        <v>34</v>
      </c>
      <c r="O88" s="7" t="s">
        <v>190</v>
      </c>
      <c r="P88" s="7" t="s">
        <v>34</v>
      </c>
      <c r="Q88" s="7" t="s">
        <v>34</v>
      </c>
      <c r="R88" s="7" t="s">
        <v>34</v>
      </c>
      <c r="S88" s="7" t="s">
        <v>34</v>
      </c>
      <c r="T88" s="7" t="s">
        <v>34</v>
      </c>
      <c r="U88" s="7" t="s">
        <v>32</v>
      </c>
      <c r="V88" s="7">
        <v>1</v>
      </c>
      <c r="W88" s="7" t="s">
        <v>32</v>
      </c>
      <c r="X88" s="7" t="s">
        <v>32</v>
      </c>
      <c r="Y88" s="7" t="s">
        <v>32</v>
      </c>
      <c r="Z88" s="7" t="s">
        <v>32</v>
      </c>
      <c r="AA88" s="7">
        <v>30986492</v>
      </c>
      <c r="AB88" s="7">
        <v>1</v>
      </c>
      <c r="AD88" s="7">
        <v>5</v>
      </c>
      <c r="AE88" s="24">
        <v>72</v>
      </c>
      <c r="AF88" s="7">
        <v>36</v>
      </c>
      <c r="AG88" s="7">
        <v>36</v>
      </c>
      <c r="AH88" s="7" t="s">
        <v>1769</v>
      </c>
      <c r="AI88" s="7" t="s">
        <v>1769</v>
      </c>
      <c r="AJ88" s="7" t="s">
        <v>1719</v>
      </c>
      <c r="AM88" s="7" t="s">
        <v>1719</v>
      </c>
      <c r="AQ88" s="7" t="s">
        <v>1787</v>
      </c>
      <c r="AR88" s="7" t="s">
        <v>1814</v>
      </c>
      <c r="AS88" s="7" t="s">
        <v>1667</v>
      </c>
      <c r="AT88" s="7" t="s">
        <v>1889</v>
      </c>
      <c r="AU88" s="7" t="s">
        <v>178</v>
      </c>
      <c r="AV88" s="7" t="s">
        <v>1888</v>
      </c>
      <c r="AW88" s="7" t="s">
        <v>1678</v>
      </c>
      <c r="AX88" s="7" t="s">
        <v>1890</v>
      </c>
      <c r="AY88" s="7" t="s">
        <v>1750</v>
      </c>
      <c r="AZ88" s="7" t="s">
        <v>1650</v>
      </c>
      <c r="BA88" s="7">
        <v>242</v>
      </c>
      <c r="BB88" s="7">
        <v>233</v>
      </c>
      <c r="BC88" s="7" t="s">
        <v>1891</v>
      </c>
      <c r="BD88" s="7">
        <v>41.068800000000003</v>
      </c>
      <c r="BF88" s="7">
        <f>43.3268-BD88</f>
        <v>2.2579999999999956</v>
      </c>
      <c r="BG88" s="7" t="s">
        <v>1892</v>
      </c>
      <c r="BH88" s="7">
        <v>28.127700000000001</v>
      </c>
      <c r="BJ88" s="7">
        <f>30.3858-BH88</f>
        <v>2.2580999999999989</v>
      </c>
    </row>
    <row r="89" spans="1:63" x14ac:dyDescent="0.2">
      <c r="A89" s="7">
        <v>29</v>
      </c>
      <c r="B89" s="7" t="s">
        <v>1425</v>
      </c>
      <c r="C89" s="7" t="s">
        <v>1424</v>
      </c>
      <c r="D89" s="7" t="s">
        <v>1423</v>
      </c>
      <c r="E89" s="7" t="s">
        <v>1422</v>
      </c>
      <c r="F89" s="7" t="s">
        <v>167</v>
      </c>
      <c r="G89" s="7">
        <v>2019</v>
      </c>
      <c r="H89" s="7">
        <v>43571</v>
      </c>
      <c r="I89" s="7" t="s">
        <v>32</v>
      </c>
      <c r="J89" s="7" t="s">
        <v>32</v>
      </c>
      <c r="K89" s="7" t="s">
        <v>1421</v>
      </c>
      <c r="L89" s="7">
        <v>2</v>
      </c>
      <c r="M89" s="7" t="s">
        <v>32</v>
      </c>
      <c r="N89" s="7" t="s">
        <v>34</v>
      </c>
      <c r="O89" s="7" t="s">
        <v>190</v>
      </c>
      <c r="P89" s="7" t="s">
        <v>34</v>
      </c>
      <c r="Q89" s="7" t="s">
        <v>34</v>
      </c>
      <c r="R89" s="7" t="s">
        <v>34</v>
      </c>
      <c r="S89" s="7" t="s">
        <v>34</v>
      </c>
      <c r="T89" s="7" t="s">
        <v>34</v>
      </c>
      <c r="U89" s="7" t="s">
        <v>32</v>
      </c>
      <c r="V89" s="7">
        <v>1</v>
      </c>
      <c r="W89" s="7" t="s">
        <v>32</v>
      </c>
      <c r="X89" s="7" t="s">
        <v>32</v>
      </c>
      <c r="Y89" s="7" t="s">
        <v>32</v>
      </c>
      <c r="Z89" s="7" t="s">
        <v>32</v>
      </c>
      <c r="AA89" s="7">
        <v>30986492</v>
      </c>
      <c r="AB89" s="7">
        <v>1</v>
      </c>
      <c r="AD89" s="7">
        <v>5</v>
      </c>
      <c r="AE89" s="24">
        <v>24</v>
      </c>
      <c r="AF89" s="7">
        <v>12</v>
      </c>
      <c r="AG89" s="7">
        <v>12</v>
      </c>
      <c r="AH89" s="7" t="s">
        <v>1769</v>
      </c>
      <c r="AI89" s="7" t="s">
        <v>1769</v>
      </c>
      <c r="AJ89" s="7" t="s">
        <v>1719</v>
      </c>
      <c r="AM89" s="7" t="s">
        <v>1719</v>
      </c>
      <c r="AQ89" s="7" t="s">
        <v>1787</v>
      </c>
      <c r="AR89" s="7" t="s">
        <v>1814</v>
      </c>
      <c r="AS89" s="7" t="s">
        <v>1667</v>
      </c>
      <c r="AT89" s="7" t="s">
        <v>1889</v>
      </c>
      <c r="AU89" s="7" t="s">
        <v>178</v>
      </c>
      <c r="AV89" s="7" t="s">
        <v>1888</v>
      </c>
      <c r="AW89" s="7" t="s">
        <v>1678</v>
      </c>
      <c r="AX89" s="7" t="s">
        <v>1890</v>
      </c>
      <c r="AY89" s="7" t="s">
        <v>1750</v>
      </c>
      <c r="AZ89" s="7" t="s">
        <v>1650</v>
      </c>
      <c r="BA89" s="7">
        <v>243</v>
      </c>
      <c r="BB89" s="7">
        <v>234</v>
      </c>
      <c r="BC89" s="7" t="s">
        <v>1894</v>
      </c>
      <c r="BD89" s="7">
        <f>33.3384</f>
        <v>33.3384</v>
      </c>
      <c r="BF89" s="7">
        <f>37.1975-BD89</f>
        <v>3.859099999999998</v>
      </c>
      <c r="BG89" s="7" t="s">
        <v>1893</v>
      </c>
      <c r="BH89" s="7">
        <v>18.6524</v>
      </c>
      <c r="BJ89" s="7">
        <f>20.9035-BH89</f>
        <v>2.251100000000001</v>
      </c>
    </row>
    <row r="90" spans="1:63" x14ac:dyDescent="0.2">
      <c r="A90" s="7">
        <v>30</v>
      </c>
      <c r="B90" s="7" t="s">
        <v>1420</v>
      </c>
      <c r="C90" s="7" t="s">
        <v>1419</v>
      </c>
      <c r="D90" s="7" t="s">
        <v>1418</v>
      </c>
      <c r="E90" s="7" t="s">
        <v>1417</v>
      </c>
      <c r="F90" s="7" t="s">
        <v>1153</v>
      </c>
      <c r="G90" s="7">
        <v>2019</v>
      </c>
      <c r="H90" s="7">
        <v>43554</v>
      </c>
      <c r="I90" s="7" t="s">
        <v>1416</v>
      </c>
      <c r="J90" s="7" t="s">
        <v>32</v>
      </c>
      <c r="K90" s="7" t="s">
        <v>1415</v>
      </c>
      <c r="L90" s="7">
        <v>2</v>
      </c>
      <c r="M90" s="7" t="s">
        <v>32</v>
      </c>
      <c r="N90" s="7" t="s">
        <v>34</v>
      </c>
      <c r="O90" s="7" t="s">
        <v>34</v>
      </c>
      <c r="P90" s="7" t="s">
        <v>34</v>
      </c>
      <c r="Q90" s="7" t="s">
        <v>34</v>
      </c>
      <c r="R90" s="7" t="s">
        <v>34</v>
      </c>
      <c r="S90" s="7" t="s">
        <v>34</v>
      </c>
      <c r="T90" s="7" t="s">
        <v>34</v>
      </c>
      <c r="U90" s="7" t="s">
        <v>34</v>
      </c>
      <c r="V90" s="7">
        <v>1</v>
      </c>
      <c r="W90" s="7" t="s">
        <v>178</v>
      </c>
      <c r="X90" s="7">
        <v>1</v>
      </c>
      <c r="Y90" s="7" t="s">
        <v>1414</v>
      </c>
      <c r="Z90" s="7" t="s">
        <v>1413</v>
      </c>
      <c r="AA90" s="7">
        <v>30922409</v>
      </c>
      <c r="AB90" s="7">
        <v>1</v>
      </c>
      <c r="AD90" s="7">
        <v>5</v>
      </c>
      <c r="AE90" s="24">
        <v>28</v>
      </c>
      <c r="AF90" s="7">
        <v>14</v>
      </c>
      <c r="AG90" s="7">
        <v>14</v>
      </c>
      <c r="AH90" s="7" t="s">
        <v>1642</v>
      </c>
      <c r="AI90" s="7" t="s">
        <v>1642</v>
      </c>
      <c r="AJ90" s="7" t="s">
        <v>1896</v>
      </c>
      <c r="AM90" s="7" t="s">
        <v>1896</v>
      </c>
      <c r="AP90" s="7">
        <v>8</v>
      </c>
      <c r="AQ90" s="7" t="s">
        <v>1787</v>
      </c>
      <c r="AR90" s="7" t="s">
        <v>1814</v>
      </c>
      <c r="AS90" s="7" t="s">
        <v>1667</v>
      </c>
      <c r="AT90" s="7" t="s">
        <v>1895</v>
      </c>
      <c r="AU90" s="7" t="s">
        <v>178</v>
      </c>
      <c r="AV90" s="7" t="s">
        <v>1641</v>
      </c>
      <c r="AW90" s="7" t="s">
        <v>1678</v>
      </c>
      <c r="AX90" s="7" t="s">
        <v>1897</v>
      </c>
      <c r="AY90" s="7" t="s">
        <v>1900</v>
      </c>
      <c r="AZ90" s="7" t="s">
        <v>1650</v>
      </c>
      <c r="BA90" s="7">
        <v>244</v>
      </c>
      <c r="BB90" s="7">
        <v>235</v>
      </c>
      <c r="BC90" s="7" t="s">
        <v>1901</v>
      </c>
      <c r="BD90" s="28">
        <v>59.831899999999997</v>
      </c>
      <c r="BF90" s="7">
        <f>74.958-BD90</f>
        <v>15.126100000000001</v>
      </c>
      <c r="BG90" s="7" t="s">
        <v>1906</v>
      </c>
      <c r="BH90" s="7">
        <v>18.487400000000001</v>
      </c>
      <c r="BJ90" s="7">
        <f>27.2269-BH90</f>
        <v>8.7394999999999996</v>
      </c>
    </row>
    <row r="91" spans="1:63" x14ac:dyDescent="0.2">
      <c r="A91" s="7">
        <v>30</v>
      </c>
      <c r="B91" s="7" t="s">
        <v>1420</v>
      </c>
      <c r="C91" s="7" t="s">
        <v>1419</v>
      </c>
      <c r="D91" s="7" t="s">
        <v>1418</v>
      </c>
      <c r="E91" s="7" t="s">
        <v>1417</v>
      </c>
      <c r="F91" s="7" t="s">
        <v>1153</v>
      </c>
      <c r="G91" s="7">
        <v>2019</v>
      </c>
      <c r="H91" s="7">
        <v>43554</v>
      </c>
      <c r="I91" s="7" t="s">
        <v>1416</v>
      </c>
      <c r="J91" s="7" t="s">
        <v>32</v>
      </c>
      <c r="K91" s="7" t="s">
        <v>1415</v>
      </c>
      <c r="L91" s="7">
        <v>2</v>
      </c>
      <c r="M91" s="7" t="s">
        <v>32</v>
      </c>
      <c r="N91" s="7" t="s">
        <v>34</v>
      </c>
      <c r="O91" s="7" t="s">
        <v>34</v>
      </c>
      <c r="P91" s="7" t="s">
        <v>34</v>
      </c>
      <c r="Q91" s="7" t="s">
        <v>34</v>
      </c>
      <c r="R91" s="7" t="s">
        <v>34</v>
      </c>
      <c r="S91" s="7" t="s">
        <v>34</v>
      </c>
      <c r="T91" s="7" t="s">
        <v>34</v>
      </c>
      <c r="U91" s="7" t="s">
        <v>34</v>
      </c>
      <c r="V91" s="7">
        <v>1</v>
      </c>
      <c r="W91" s="7" t="s">
        <v>178</v>
      </c>
      <c r="X91" s="7">
        <v>1</v>
      </c>
      <c r="Y91" s="7" t="s">
        <v>1414</v>
      </c>
      <c r="Z91" s="7" t="s">
        <v>1413</v>
      </c>
      <c r="AA91" s="7">
        <v>30922409</v>
      </c>
      <c r="AB91" s="7">
        <v>1</v>
      </c>
      <c r="AD91" s="7">
        <v>5</v>
      </c>
      <c r="AE91" s="24">
        <v>28</v>
      </c>
      <c r="AF91" s="7">
        <v>14</v>
      </c>
      <c r="AG91" s="7">
        <v>14</v>
      </c>
      <c r="AH91" s="7" t="s">
        <v>1642</v>
      </c>
      <c r="AI91" s="7" t="s">
        <v>1642</v>
      </c>
      <c r="AJ91" s="7" t="s">
        <v>1896</v>
      </c>
      <c r="AM91" s="7" t="s">
        <v>1896</v>
      </c>
      <c r="AP91" s="7">
        <v>8</v>
      </c>
      <c r="AQ91" s="7" t="s">
        <v>1787</v>
      </c>
      <c r="AR91" s="7" t="s">
        <v>1814</v>
      </c>
      <c r="AS91" s="7" t="s">
        <v>1667</v>
      </c>
      <c r="AT91" s="7" t="s">
        <v>1895</v>
      </c>
      <c r="AU91" s="7" t="s">
        <v>178</v>
      </c>
      <c r="AV91" s="7" t="s">
        <v>1689</v>
      </c>
      <c r="AW91" s="7" t="s">
        <v>1678</v>
      </c>
      <c r="AX91" s="7" t="s">
        <v>1897</v>
      </c>
      <c r="AY91" s="7" t="s">
        <v>1900</v>
      </c>
      <c r="AZ91" s="7" t="s">
        <v>1650</v>
      </c>
      <c r="BA91" s="7">
        <v>244</v>
      </c>
      <c r="BB91" s="7">
        <v>235</v>
      </c>
      <c r="BC91" s="7" t="s">
        <v>1902</v>
      </c>
      <c r="BD91" s="7">
        <v>101.51300000000001</v>
      </c>
      <c r="BF91" s="7">
        <f>110.942-BD91</f>
        <v>9.4289999999999878</v>
      </c>
      <c r="BG91" s="7" t="s">
        <v>1907</v>
      </c>
      <c r="BH91" s="7">
        <v>44.369700000000002</v>
      </c>
      <c r="BJ91" s="7">
        <f>57.1429-BH91</f>
        <v>12.773199999999996</v>
      </c>
    </row>
    <row r="92" spans="1:63" x14ac:dyDescent="0.2">
      <c r="A92" s="7">
        <v>30</v>
      </c>
      <c r="B92" s="7" t="s">
        <v>1420</v>
      </c>
      <c r="C92" s="7" t="s">
        <v>1419</v>
      </c>
      <c r="D92" s="7" t="s">
        <v>1418</v>
      </c>
      <c r="E92" s="7" t="s">
        <v>1417</v>
      </c>
      <c r="F92" s="7" t="s">
        <v>1153</v>
      </c>
      <c r="G92" s="7">
        <v>2019</v>
      </c>
      <c r="H92" s="7">
        <v>43554</v>
      </c>
      <c r="I92" s="7" t="s">
        <v>1416</v>
      </c>
      <c r="J92" s="7" t="s">
        <v>32</v>
      </c>
      <c r="K92" s="7" t="s">
        <v>1415</v>
      </c>
      <c r="L92" s="7">
        <v>2</v>
      </c>
      <c r="M92" s="7" t="s">
        <v>32</v>
      </c>
      <c r="N92" s="7" t="s">
        <v>34</v>
      </c>
      <c r="O92" s="7" t="s">
        <v>34</v>
      </c>
      <c r="P92" s="7" t="s">
        <v>34</v>
      </c>
      <c r="Q92" s="7" t="s">
        <v>34</v>
      </c>
      <c r="R92" s="7" t="s">
        <v>34</v>
      </c>
      <c r="S92" s="7" t="s">
        <v>34</v>
      </c>
      <c r="T92" s="7" t="s">
        <v>34</v>
      </c>
      <c r="U92" s="7" t="s">
        <v>34</v>
      </c>
      <c r="V92" s="7">
        <v>1</v>
      </c>
      <c r="W92" s="7" t="s">
        <v>178</v>
      </c>
      <c r="X92" s="7">
        <v>1</v>
      </c>
      <c r="Y92" s="7" t="s">
        <v>1414</v>
      </c>
      <c r="Z92" s="7" t="s">
        <v>1413</v>
      </c>
      <c r="AA92" s="7">
        <v>30922409</v>
      </c>
      <c r="AB92" s="7">
        <v>1</v>
      </c>
      <c r="AD92" s="7">
        <v>5</v>
      </c>
      <c r="AE92" s="24">
        <v>28</v>
      </c>
      <c r="AF92" s="7">
        <v>14</v>
      </c>
      <c r="AG92" s="7">
        <v>14</v>
      </c>
      <c r="AH92" s="7" t="s">
        <v>1642</v>
      </c>
      <c r="AI92" s="7" t="s">
        <v>1642</v>
      </c>
      <c r="AJ92" s="7" t="s">
        <v>1896</v>
      </c>
      <c r="AM92" s="7" t="s">
        <v>1896</v>
      </c>
      <c r="AP92" s="7">
        <v>8</v>
      </c>
      <c r="AQ92" s="7" t="s">
        <v>1787</v>
      </c>
      <c r="AR92" s="7" t="s">
        <v>1814</v>
      </c>
      <c r="AS92" s="7" t="s">
        <v>1667</v>
      </c>
      <c r="AT92" s="7" t="s">
        <v>1895</v>
      </c>
      <c r="AU92" s="7" t="s">
        <v>178</v>
      </c>
      <c r="AV92" s="7" t="s">
        <v>1898</v>
      </c>
      <c r="AW92" s="7" t="s">
        <v>1678</v>
      </c>
      <c r="AX92" s="7" t="s">
        <v>1897</v>
      </c>
      <c r="AY92" s="7" t="s">
        <v>1900</v>
      </c>
      <c r="AZ92" s="7" t="s">
        <v>1650</v>
      </c>
      <c r="BA92" s="7">
        <v>244</v>
      </c>
      <c r="BB92" s="7">
        <v>235</v>
      </c>
      <c r="BC92" s="7" t="s">
        <v>1903</v>
      </c>
      <c r="BD92" s="7">
        <v>98.151300000000006</v>
      </c>
      <c r="BF92" s="7">
        <f>109.916-BD92</f>
        <v>11.764699999999991</v>
      </c>
      <c r="BG92" s="7" t="s">
        <v>1908</v>
      </c>
      <c r="BH92" s="7">
        <v>52.773099999999999</v>
      </c>
      <c r="BJ92" s="7">
        <f>67.8992-BH92</f>
        <v>15.126099999999994</v>
      </c>
    </row>
    <row r="93" spans="1:63" x14ac:dyDescent="0.2">
      <c r="A93" s="7">
        <v>30</v>
      </c>
      <c r="B93" s="7" t="s">
        <v>1420</v>
      </c>
      <c r="C93" s="7" t="s">
        <v>1419</v>
      </c>
      <c r="D93" s="7" t="s">
        <v>1418</v>
      </c>
      <c r="E93" s="7" t="s">
        <v>1417</v>
      </c>
      <c r="F93" s="7" t="s">
        <v>1153</v>
      </c>
      <c r="G93" s="7">
        <v>2019</v>
      </c>
      <c r="H93" s="7">
        <v>43554</v>
      </c>
      <c r="I93" s="7" t="s">
        <v>1416</v>
      </c>
      <c r="J93" s="7" t="s">
        <v>32</v>
      </c>
      <c r="K93" s="7" t="s">
        <v>1415</v>
      </c>
      <c r="L93" s="7">
        <v>2</v>
      </c>
      <c r="M93" s="7" t="s">
        <v>32</v>
      </c>
      <c r="N93" s="7" t="s">
        <v>34</v>
      </c>
      <c r="O93" s="7" t="s">
        <v>34</v>
      </c>
      <c r="P93" s="7" t="s">
        <v>34</v>
      </c>
      <c r="Q93" s="7" t="s">
        <v>34</v>
      </c>
      <c r="R93" s="7" t="s">
        <v>34</v>
      </c>
      <c r="S93" s="7" t="s">
        <v>34</v>
      </c>
      <c r="T93" s="7" t="s">
        <v>34</v>
      </c>
      <c r="U93" s="7" t="s">
        <v>34</v>
      </c>
      <c r="V93" s="7">
        <v>1</v>
      </c>
      <c r="W93" s="7" t="s">
        <v>178</v>
      </c>
      <c r="X93" s="7">
        <v>1</v>
      </c>
      <c r="Y93" s="7" t="s">
        <v>1414</v>
      </c>
      <c r="Z93" s="7" t="s">
        <v>1413</v>
      </c>
      <c r="AA93" s="7">
        <v>30922409</v>
      </c>
      <c r="AB93" s="7">
        <v>1</v>
      </c>
      <c r="AD93" s="7">
        <v>5</v>
      </c>
      <c r="AE93" s="24">
        <v>28</v>
      </c>
      <c r="AF93" s="7">
        <v>14</v>
      </c>
      <c r="AG93" s="7">
        <v>14</v>
      </c>
      <c r="AH93" s="7" t="s">
        <v>1642</v>
      </c>
      <c r="AI93" s="7" t="s">
        <v>1642</v>
      </c>
      <c r="AJ93" s="7" t="s">
        <v>1896</v>
      </c>
      <c r="AM93" s="7" t="s">
        <v>1896</v>
      </c>
      <c r="AP93" s="7">
        <v>8</v>
      </c>
      <c r="AQ93" s="7" t="s">
        <v>1787</v>
      </c>
      <c r="AR93" s="7" t="s">
        <v>1814</v>
      </c>
      <c r="AS93" s="7" t="s">
        <v>1667</v>
      </c>
      <c r="AT93" s="7" t="s">
        <v>1895</v>
      </c>
      <c r="AU93" s="7" t="s">
        <v>178</v>
      </c>
      <c r="AV93" s="7" t="s">
        <v>1870</v>
      </c>
      <c r="AW93" s="7" t="s">
        <v>1678</v>
      </c>
      <c r="AX93" s="7" t="s">
        <v>1897</v>
      </c>
      <c r="AY93" s="7" t="s">
        <v>1900</v>
      </c>
      <c r="AZ93" s="7" t="s">
        <v>1650</v>
      </c>
      <c r="BA93" s="7">
        <v>244</v>
      </c>
      <c r="BB93" s="7">
        <v>235</v>
      </c>
      <c r="BC93" s="7" t="s">
        <v>1904</v>
      </c>
      <c r="BD93" s="7">
        <v>115.294</v>
      </c>
      <c r="BF93" s="7">
        <f>121.345-BD93</f>
        <v>6.0510000000000019</v>
      </c>
      <c r="BG93" s="7" t="s">
        <v>1909</v>
      </c>
      <c r="BH93" s="7">
        <v>48.0672</v>
      </c>
      <c r="BJ93" s="7">
        <f>61.5126-BH93</f>
        <v>13.445399999999999</v>
      </c>
    </row>
    <row r="94" spans="1:63" x14ac:dyDescent="0.2">
      <c r="A94" s="7">
        <v>30</v>
      </c>
      <c r="B94" s="7" t="s">
        <v>1420</v>
      </c>
      <c r="C94" s="7" t="s">
        <v>1419</v>
      </c>
      <c r="D94" s="7" t="s">
        <v>1418</v>
      </c>
      <c r="E94" s="7" t="s">
        <v>1417</v>
      </c>
      <c r="F94" s="7" t="s">
        <v>1153</v>
      </c>
      <c r="G94" s="7">
        <v>2019</v>
      </c>
      <c r="H94" s="7">
        <v>43554</v>
      </c>
      <c r="I94" s="7" t="s">
        <v>1416</v>
      </c>
      <c r="J94" s="7" t="s">
        <v>32</v>
      </c>
      <c r="K94" s="7" t="s">
        <v>1415</v>
      </c>
      <c r="L94" s="7">
        <v>2</v>
      </c>
      <c r="M94" s="7" t="s">
        <v>32</v>
      </c>
      <c r="N94" s="7" t="s">
        <v>34</v>
      </c>
      <c r="O94" s="7" t="s">
        <v>34</v>
      </c>
      <c r="P94" s="7" t="s">
        <v>34</v>
      </c>
      <c r="Q94" s="7" t="s">
        <v>34</v>
      </c>
      <c r="R94" s="7" t="s">
        <v>34</v>
      </c>
      <c r="S94" s="7" t="s">
        <v>34</v>
      </c>
      <c r="T94" s="7" t="s">
        <v>34</v>
      </c>
      <c r="U94" s="7" t="s">
        <v>34</v>
      </c>
      <c r="V94" s="7">
        <v>1</v>
      </c>
      <c r="W94" s="7" t="s">
        <v>178</v>
      </c>
      <c r="X94" s="7">
        <v>1</v>
      </c>
      <c r="Y94" s="7" t="s">
        <v>1414</v>
      </c>
      <c r="Z94" s="7" t="s">
        <v>1413</v>
      </c>
      <c r="AA94" s="7">
        <v>30922409</v>
      </c>
      <c r="AB94" s="7">
        <v>1</v>
      </c>
      <c r="AD94" s="7">
        <v>5</v>
      </c>
      <c r="AE94" s="24">
        <v>28</v>
      </c>
      <c r="AF94" s="7">
        <v>14</v>
      </c>
      <c r="AG94" s="7">
        <v>14</v>
      </c>
      <c r="AH94" s="7" t="s">
        <v>1642</v>
      </c>
      <c r="AI94" s="7" t="s">
        <v>1642</v>
      </c>
      <c r="AJ94" s="7" t="s">
        <v>1896</v>
      </c>
      <c r="AM94" s="7" t="s">
        <v>1896</v>
      </c>
      <c r="AP94" s="7">
        <v>8</v>
      </c>
      <c r="AQ94" s="7" t="s">
        <v>1787</v>
      </c>
      <c r="AR94" s="7" t="s">
        <v>1814</v>
      </c>
      <c r="AS94" s="7" t="s">
        <v>1667</v>
      </c>
      <c r="AT94" s="7" t="s">
        <v>1895</v>
      </c>
      <c r="AU94" s="7" t="s">
        <v>178</v>
      </c>
      <c r="AV94" s="7" t="s">
        <v>1899</v>
      </c>
      <c r="AW94" s="7" t="s">
        <v>1678</v>
      </c>
      <c r="AX94" s="7" t="s">
        <v>1897</v>
      </c>
      <c r="AY94" s="7" t="s">
        <v>1750</v>
      </c>
      <c r="AZ94" s="7" t="s">
        <v>1650</v>
      </c>
      <c r="BA94" s="7">
        <v>244</v>
      </c>
      <c r="BB94" s="7">
        <v>235</v>
      </c>
      <c r="BC94" s="7" t="s">
        <v>1905</v>
      </c>
      <c r="BD94" s="7">
        <v>21.024000000000001</v>
      </c>
      <c r="BF94" s="7">
        <f>23.1767-BD94</f>
        <v>2.1526999999999994</v>
      </c>
      <c r="BG94" s="7" t="s">
        <v>1910</v>
      </c>
      <c r="BH94" s="7">
        <v>12.798400000000001</v>
      </c>
      <c r="BJ94" s="7">
        <f>14.6734-BH94</f>
        <v>1.875</v>
      </c>
    </row>
    <row r="95" spans="1:63" x14ac:dyDescent="0.2">
      <c r="A95" s="7">
        <v>31</v>
      </c>
      <c r="B95" s="7" t="s">
        <v>1412</v>
      </c>
      <c r="C95" s="7" t="s">
        <v>1411</v>
      </c>
      <c r="D95" s="7" t="s">
        <v>1410</v>
      </c>
      <c r="E95" s="7" t="s">
        <v>1409</v>
      </c>
      <c r="F95" s="7" t="s">
        <v>1408</v>
      </c>
      <c r="G95" s="7">
        <v>2019</v>
      </c>
      <c r="H95" s="7">
        <v>43540</v>
      </c>
      <c r="I95" s="7" t="s">
        <v>1407</v>
      </c>
      <c r="J95" s="7" t="s">
        <v>32</v>
      </c>
      <c r="K95" s="7" t="s">
        <v>1406</v>
      </c>
      <c r="L95" s="7">
        <v>2</v>
      </c>
      <c r="M95" s="7" t="s">
        <v>32</v>
      </c>
      <c r="N95" s="7" t="s">
        <v>34</v>
      </c>
      <c r="O95" s="7" t="s">
        <v>190</v>
      </c>
      <c r="P95" s="7" t="s">
        <v>34</v>
      </c>
      <c r="Q95" s="7" t="s">
        <v>34</v>
      </c>
      <c r="R95" s="7" t="s">
        <v>34</v>
      </c>
      <c r="S95" s="7" t="s">
        <v>34</v>
      </c>
      <c r="T95" s="7" t="s">
        <v>34</v>
      </c>
      <c r="U95" s="7" t="s">
        <v>32</v>
      </c>
      <c r="V95" s="7">
        <v>1</v>
      </c>
      <c r="W95" s="7" t="s">
        <v>32</v>
      </c>
      <c r="X95" s="7" t="s">
        <v>32</v>
      </c>
      <c r="Y95" s="7" t="s">
        <v>32</v>
      </c>
      <c r="Z95" s="7" t="s">
        <v>32</v>
      </c>
      <c r="AA95" s="7">
        <v>30871113</v>
      </c>
      <c r="AB95" s="7">
        <v>1</v>
      </c>
      <c r="AD95" s="7">
        <v>4</v>
      </c>
      <c r="AE95" s="24">
        <v>30</v>
      </c>
      <c r="AF95" s="7">
        <v>15</v>
      </c>
      <c r="AG95" s="7">
        <v>15</v>
      </c>
      <c r="AH95" s="7" t="s">
        <v>1642</v>
      </c>
      <c r="AI95" s="7" t="s">
        <v>1642</v>
      </c>
      <c r="AJ95" s="7" t="s">
        <v>1896</v>
      </c>
      <c r="AK95" s="7">
        <v>175</v>
      </c>
      <c r="AL95" s="29"/>
      <c r="AM95" s="7" t="s">
        <v>1896</v>
      </c>
      <c r="AN95" s="7">
        <v>175</v>
      </c>
      <c r="AR95" s="7" t="s">
        <v>1637</v>
      </c>
      <c r="AS95" s="7" t="s">
        <v>1638</v>
      </c>
      <c r="AT95" s="7" t="s">
        <v>1729</v>
      </c>
      <c r="AU95" s="7" t="s">
        <v>178</v>
      </c>
      <c r="AV95" s="7" t="s">
        <v>1870</v>
      </c>
      <c r="AW95" s="7" t="s">
        <v>1794</v>
      </c>
      <c r="AX95" s="7" t="s">
        <v>1917</v>
      </c>
      <c r="AY95" s="7" t="s">
        <v>1795</v>
      </c>
      <c r="AZ95" s="7" t="s">
        <v>1650</v>
      </c>
      <c r="BA95" s="7">
        <v>245</v>
      </c>
      <c r="BB95" s="7">
        <v>236</v>
      </c>
      <c r="BC95" s="7" t="s">
        <v>1796</v>
      </c>
      <c r="BD95" s="7">
        <v>4.0061200000000001</v>
      </c>
      <c r="BF95" s="7">
        <f>4.70183-BD95</f>
        <v>0.69571000000000005</v>
      </c>
      <c r="BG95" s="7" t="s">
        <v>1799</v>
      </c>
      <c r="BH95" s="7">
        <v>3.3104</v>
      </c>
      <c r="BJ95" s="7">
        <f>BH95-2.62232</f>
        <v>0.6880799999999998</v>
      </c>
    </row>
    <row r="96" spans="1:63" x14ac:dyDescent="0.2">
      <c r="A96" s="7">
        <v>31</v>
      </c>
      <c r="B96" s="7" t="s">
        <v>1412</v>
      </c>
      <c r="C96" s="7" t="s">
        <v>1411</v>
      </c>
      <c r="D96" s="7" t="s">
        <v>1410</v>
      </c>
      <c r="E96" s="7" t="s">
        <v>1409</v>
      </c>
      <c r="F96" s="7" t="s">
        <v>1408</v>
      </c>
      <c r="G96" s="7">
        <v>2019</v>
      </c>
      <c r="H96" s="7">
        <v>43540</v>
      </c>
      <c r="I96" s="7" t="s">
        <v>1407</v>
      </c>
      <c r="J96" s="7" t="s">
        <v>32</v>
      </c>
      <c r="K96" s="7" t="s">
        <v>1406</v>
      </c>
      <c r="L96" s="7">
        <v>2</v>
      </c>
      <c r="M96" s="7" t="s">
        <v>32</v>
      </c>
      <c r="N96" s="7" t="s">
        <v>34</v>
      </c>
      <c r="O96" s="7" t="s">
        <v>190</v>
      </c>
      <c r="P96" s="7" t="s">
        <v>34</v>
      </c>
      <c r="Q96" s="7" t="s">
        <v>34</v>
      </c>
      <c r="R96" s="7" t="s">
        <v>34</v>
      </c>
      <c r="S96" s="7" t="s">
        <v>34</v>
      </c>
      <c r="T96" s="7" t="s">
        <v>34</v>
      </c>
      <c r="U96" s="7" t="s">
        <v>32</v>
      </c>
      <c r="V96" s="7">
        <v>1</v>
      </c>
      <c r="W96" s="7" t="s">
        <v>32</v>
      </c>
      <c r="X96" s="7" t="s">
        <v>32</v>
      </c>
      <c r="Y96" s="7" t="s">
        <v>32</v>
      </c>
      <c r="Z96" s="7" t="s">
        <v>32</v>
      </c>
      <c r="AA96" s="7">
        <v>30871113</v>
      </c>
      <c r="AB96" s="7">
        <v>1</v>
      </c>
      <c r="AD96" s="7">
        <v>4</v>
      </c>
      <c r="AE96" s="24">
        <v>30</v>
      </c>
      <c r="AF96" s="7">
        <v>15</v>
      </c>
      <c r="AG96" s="7">
        <v>15</v>
      </c>
      <c r="AH96" s="7" t="s">
        <v>1642</v>
      </c>
      <c r="AI96" s="7" t="s">
        <v>1642</v>
      </c>
      <c r="AJ96" s="7" t="s">
        <v>1896</v>
      </c>
      <c r="AK96" s="7">
        <v>175</v>
      </c>
      <c r="AL96" s="29"/>
      <c r="AM96" s="7" t="s">
        <v>1896</v>
      </c>
      <c r="AN96" s="7">
        <v>175</v>
      </c>
      <c r="AR96" s="7" t="s">
        <v>1637</v>
      </c>
      <c r="AS96" s="7" t="s">
        <v>1638</v>
      </c>
      <c r="AT96" s="7" t="s">
        <v>1729</v>
      </c>
      <c r="AU96" s="7" t="s">
        <v>178</v>
      </c>
      <c r="AV96" s="7" t="s">
        <v>1870</v>
      </c>
      <c r="AW96" s="7" t="s">
        <v>1794</v>
      </c>
      <c r="AX96" s="7" t="s">
        <v>1917</v>
      </c>
      <c r="AY96" s="7" t="s">
        <v>1795</v>
      </c>
      <c r="AZ96" s="7" t="s">
        <v>1650</v>
      </c>
      <c r="BA96" s="7">
        <v>245</v>
      </c>
      <c r="BB96" s="7">
        <v>236</v>
      </c>
      <c r="BC96" s="7" t="s">
        <v>1797</v>
      </c>
      <c r="BD96" s="7">
        <v>2.53823</v>
      </c>
      <c r="BF96" s="7">
        <f>3.03517-BD96</f>
        <v>0.49693999999999994</v>
      </c>
      <c r="BG96" s="7" t="s">
        <v>1800</v>
      </c>
      <c r="BH96" s="7">
        <v>1.5266999999999999</v>
      </c>
      <c r="BJ96" s="7">
        <f>BH96-1.01682</f>
        <v>0.50987999999999989</v>
      </c>
    </row>
    <row r="97" spans="1:63" x14ac:dyDescent="0.2">
      <c r="A97" s="7">
        <v>31</v>
      </c>
      <c r="B97" s="7" t="s">
        <v>1412</v>
      </c>
      <c r="C97" s="7" t="s">
        <v>1411</v>
      </c>
      <c r="D97" s="7" t="s">
        <v>1410</v>
      </c>
      <c r="E97" s="7" t="s">
        <v>1409</v>
      </c>
      <c r="F97" s="7" t="s">
        <v>1408</v>
      </c>
      <c r="G97" s="7">
        <v>2019</v>
      </c>
      <c r="H97" s="7">
        <v>43540</v>
      </c>
      <c r="I97" s="7" t="s">
        <v>1407</v>
      </c>
      <c r="J97" s="7" t="s">
        <v>32</v>
      </c>
      <c r="K97" s="7" t="s">
        <v>1406</v>
      </c>
      <c r="L97" s="7">
        <v>2</v>
      </c>
      <c r="M97" s="7" t="s">
        <v>32</v>
      </c>
      <c r="N97" s="7" t="s">
        <v>34</v>
      </c>
      <c r="O97" s="7" t="s">
        <v>190</v>
      </c>
      <c r="P97" s="7" t="s">
        <v>34</v>
      </c>
      <c r="Q97" s="7" t="s">
        <v>34</v>
      </c>
      <c r="R97" s="7" t="s">
        <v>34</v>
      </c>
      <c r="S97" s="7" t="s">
        <v>34</v>
      </c>
      <c r="T97" s="7" t="s">
        <v>34</v>
      </c>
      <c r="U97" s="7" t="s">
        <v>32</v>
      </c>
      <c r="V97" s="7">
        <v>1</v>
      </c>
      <c r="W97" s="7" t="s">
        <v>32</v>
      </c>
      <c r="X97" s="7" t="s">
        <v>32</v>
      </c>
      <c r="Y97" s="7" t="s">
        <v>32</v>
      </c>
      <c r="Z97" s="7" t="s">
        <v>32</v>
      </c>
      <c r="AA97" s="7">
        <v>30871113</v>
      </c>
      <c r="AB97" s="7">
        <v>1</v>
      </c>
      <c r="AD97" s="7">
        <v>4</v>
      </c>
      <c r="AE97" s="24">
        <v>30</v>
      </c>
      <c r="AF97" s="7">
        <v>15</v>
      </c>
      <c r="AG97" s="7">
        <v>15</v>
      </c>
      <c r="AH97" s="7" t="s">
        <v>1642</v>
      </c>
      <c r="AI97" s="7" t="s">
        <v>1642</v>
      </c>
      <c r="AJ97" s="7" t="s">
        <v>1896</v>
      </c>
      <c r="AK97" s="7">
        <v>175</v>
      </c>
      <c r="AL97" s="29"/>
      <c r="AM97" s="7" t="s">
        <v>1896</v>
      </c>
      <c r="AN97" s="7">
        <v>175</v>
      </c>
      <c r="AR97" s="7" t="s">
        <v>1637</v>
      </c>
      <c r="AS97" s="7" t="s">
        <v>1638</v>
      </c>
      <c r="AT97" s="7" t="s">
        <v>1729</v>
      </c>
      <c r="AU97" s="7" t="s">
        <v>178</v>
      </c>
      <c r="AV97" s="7" t="s">
        <v>1870</v>
      </c>
      <c r="AW97" s="7" t="s">
        <v>1794</v>
      </c>
      <c r="AX97" s="7" t="s">
        <v>1917</v>
      </c>
      <c r="AY97" s="7" t="s">
        <v>1795</v>
      </c>
      <c r="AZ97" s="7" t="s">
        <v>1650</v>
      </c>
      <c r="BA97" s="7">
        <v>245</v>
      </c>
      <c r="BB97" s="7">
        <v>236</v>
      </c>
      <c r="BC97" s="7" t="s">
        <v>1798</v>
      </c>
      <c r="BD97" s="7">
        <v>1.7787999999999999</v>
      </c>
      <c r="BF97" s="7">
        <f>2.21713-BD97</f>
        <v>0.43833000000000011</v>
      </c>
      <c r="BG97" s="7" t="s">
        <v>1801</v>
      </c>
      <c r="BH97" s="7">
        <v>0.67788000000000004</v>
      </c>
      <c r="BJ97" s="7">
        <f>BH97-0.331295</f>
        <v>0.34658500000000003</v>
      </c>
    </row>
    <row r="98" spans="1:63" x14ac:dyDescent="0.2">
      <c r="A98" s="7">
        <v>31</v>
      </c>
      <c r="B98" s="7" t="s">
        <v>1412</v>
      </c>
      <c r="C98" s="7" t="s">
        <v>1411</v>
      </c>
      <c r="D98" s="7" t="s">
        <v>1410</v>
      </c>
      <c r="E98" s="7" t="s">
        <v>1409</v>
      </c>
      <c r="F98" s="7" t="s">
        <v>1408</v>
      </c>
      <c r="G98" s="7">
        <v>2019</v>
      </c>
      <c r="H98" s="7">
        <v>43540</v>
      </c>
      <c r="I98" s="7" t="s">
        <v>1407</v>
      </c>
      <c r="J98" s="7" t="s">
        <v>32</v>
      </c>
      <c r="K98" s="7" t="s">
        <v>1406</v>
      </c>
      <c r="L98" s="7">
        <v>2</v>
      </c>
      <c r="M98" s="7" t="s">
        <v>32</v>
      </c>
      <c r="N98" s="7" t="s">
        <v>34</v>
      </c>
      <c r="O98" s="7" t="s">
        <v>190</v>
      </c>
      <c r="P98" s="7" t="s">
        <v>34</v>
      </c>
      <c r="Q98" s="7" t="s">
        <v>34</v>
      </c>
      <c r="R98" s="7" t="s">
        <v>34</v>
      </c>
      <c r="S98" s="7" t="s">
        <v>34</v>
      </c>
      <c r="T98" s="7" t="s">
        <v>34</v>
      </c>
      <c r="U98" s="7" t="s">
        <v>32</v>
      </c>
      <c r="V98" s="7">
        <v>1</v>
      </c>
      <c r="W98" s="7" t="s">
        <v>32</v>
      </c>
      <c r="X98" s="7" t="s">
        <v>32</v>
      </c>
      <c r="Y98" s="7" t="s">
        <v>32</v>
      </c>
      <c r="Z98" s="7" t="s">
        <v>32</v>
      </c>
      <c r="AA98" s="7">
        <v>30871113</v>
      </c>
      <c r="AB98" s="7">
        <v>1</v>
      </c>
      <c r="AD98" s="7">
        <v>4</v>
      </c>
      <c r="AE98" s="24">
        <v>30</v>
      </c>
      <c r="AF98" s="7">
        <v>15</v>
      </c>
      <c r="AG98" s="7">
        <v>15</v>
      </c>
      <c r="AH98" s="7" t="s">
        <v>1642</v>
      </c>
      <c r="AI98" s="7" t="s">
        <v>1642</v>
      </c>
      <c r="AJ98" s="7" t="s">
        <v>1896</v>
      </c>
      <c r="AK98" s="7">
        <v>175</v>
      </c>
      <c r="AL98" s="29"/>
      <c r="AM98" s="7" t="s">
        <v>1896</v>
      </c>
      <c r="AN98" s="7">
        <v>175</v>
      </c>
      <c r="AR98" s="7" t="s">
        <v>1637</v>
      </c>
      <c r="AS98" s="7" t="s">
        <v>1638</v>
      </c>
      <c r="AT98" s="7" t="s">
        <v>1729</v>
      </c>
      <c r="AU98" s="7" t="s">
        <v>178</v>
      </c>
      <c r="AV98" s="7" t="s">
        <v>1870</v>
      </c>
      <c r="AW98" s="7" t="s">
        <v>1794</v>
      </c>
      <c r="AX98" s="7" t="s">
        <v>1917</v>
      </c>
      <c r="AY98" s="7" t="s">
        <v>1808</v>
      </c>
      <c r="AZ98" s="7" t="s">
        <v>1650</v>
      </c>
      <c r="BA98" s="7">
        <v>245</v>
      </c>
      <c r="BB98" s="7">
        <v>236</v>
      </c>
      <c r="BC98" s="7" t="s">
        <v>1802</v>
      </c>
      <c r="BD98" s="7">
        <v>2.8727</v>
      </c>
      <c r="BF98" s="7">
        <f>3.31826-BD98</f>
        <v>0.44555999999999996</v>
      </c>
      <c r="BG98" s="7" t="s">
        <v>1803</v>
      </c>
      <c r="BH98" s="7">
        <v>0.57453900000000002</v>
      </c>
      <c r="BJ98" s="7">
        <f>0.715243-BH98</f>
        <v>0.14070399999999994</v>
      </c>
    </row>
    <row r="99" spans="1:63" x14ac:dyDescent="0.2">
      <c r="A99" s="7">
        <v>31</v>
      </c>
      <c r="B99" s="7" t="s">
        <v>1412</v>
      </c>
      <c r="C99" s="7" t="s">
        <v>1411</v>
      </c>
      <c r="D99" s="7" t="s">
        <v>1410</v>
      </c>
      <c r="E99" s="7" t="s">
        <v>1409</v>
      </c>
      <c r="F99" s="7" t="s">
        <v>1408</v>
      </c>
      <c r="G99" s="7">
        <v>2019</v>
      </c>
      <c r="H99" s="7">
        <v>43540</v>
      </c>
      <c r="I99" s="7" t="s">
        <v>1407</v>
      </c>
      <c r="J99" s="7" t="s">
        <v>32</v>
      </c>
      <c r="K99" s="7" t="s">
        <v>1406</v>
      </c>
      <c r="L99" s="7">
        <v>2</v>
      </c>
      <c r="M99" s="7" t="s">
        <v>32</v>
      </c>
      <c r="N99" s="7" t="s">
        <v>34</v>
      </c>
      <c r="O99" s="7" t="s">
        <v>190</v>
      </c>
      <c r="P99" s="7" t="s">
        <v>34</v>
      </c>
      <c r="Q99" s="7" t="s">
        <v>34</v>
      </c>
      <c r="R99" s="7" t="s">
        <v>34</v>
      </c>
      <c r="S99" s="7" t="s">
        <v>34</v>
      </c>
      <c r="T99" s="7" t="s">
        <v>34</v>
      </c>
      <c r="U99" s="7" t="s">
        <v>32</v>
      </c>
      <c r="V99" s="7">
        <v>1</v>
      </c>
      <c r="W99" s="7" t="s">
        <v>32</v>
      </c>
      <c r="X99" s="7" t="s">
        <v>32</v>
      </c>
      <c r="Y99" s="7" t="s">
        <v>32</v>
      </c>
      <c r="Z99" s="7" t="s">
        <v>32</v>
      </c>
      <c r="AA99" s="7">
        <v>30871113</v>
      </c>
      <c r="AB99" s="7">
        <v>1</v>
      </c>
      <c r="AD99" s="7">
        <v>4</v>
      </c>
      <c r="AE99" s="24">
        <v>30</v>
      </c>
      <c r="AF99" s="7">
        <v>15</v>
      </c>
      <c r="AG99" s="7">
        <v>15</v>
      </c>
      <c r="AH99" s="7" t="s">
        <v>1642</v>
      </c>
      <c r="AI99" s="7" t="s">
        <v>1642</v>
      </c>
      <c r="AJ99" s="7" t="s">
        <v>1896</v>
      </c>
      <c r="AK99" s="7">
        <v>175</v>
      </c>
      <c r="AL99" s="29"/>
      <c r="AM99" s="7" t="s">
        <v>1896</v>
      </c>
      <c r="AN99" s="7">
        <v>175</v>
      </c>
      <c r="AR99" s="7" t="s">
        <v>1637</v>
      </c>
      <c r="AS99" s="7" t="s">
        <v>1638</v>
      </c>
      <c r="AT99" s="7" t="s">
        <v>1729</v>
      </c>
      <c r="AU99" s="7" t="s">
        <v>178</v>
      </c>
      <c r="AV99" s="7" t="s">
        <v>1870</v>
      </c>
      <c r="AW99" s="7" t="s">
        <v>1794</v>
      </c>
      <c r="AX99" s="7" t="s">
        <v>1917</v>
      </c>
      <c r="AY99" s="7" t="s">
        <v>1809</v>
      </c>
      <c r="AZ99" s="7" t="s">
        <v>1650</v>
      </c>
      <c r="BA99" s="7">
        <v>245</v>
      </c>
      <c r="BB99" s="7">
        <v>236</v>
      </c>
      <c r="BC99" s="7" t="s">
        <v>1804</v>
      </c>
      <c r="BD99" s="7">
        <v>3.1823899999999998</v>
      </c>
      <c r="BF99" s="7">
        <f>3.53459-BD99</f>
        <v>0.35220000000000029</v>
      </c>
      <c r="BG99" s="7" t="s">
        <v>1805</v>
      </c>
      <c r="BH99" s="7">
        <v>0.57861600000000002</v>
      </c>
      <c r="BJ99" s="7">
        <f>0.72956-BH99</f>
        <v>0.15094399999999997</v>
      </c>
    </row>
    <row r="100" spans="1:63" x14ac:dyDescent="0.2">
      <c r="A100" s="7">
        <v>31</v>
      </c>
      <c r="B100" s="7" t="s">
        <v>1412</v>
      </c>
      <c r="C100" s="7" t="s">
        <v>1411</v>
      </c>
      <c r="D100" s="7" t="s">
        <v>1410</v>
      </c>
      <c r="E100" s="7" t="s">
        <v>1409</v>
      </c>
      <c r="F100" s="7" t="s">
        <v>1408</v>
      </c>
      <c r="G100" s="7">
        <v>2019</v>
      </c>
      <c r="H100" s="7">
        <v>43540</v>
      </c>
      <c r="I100" s="7" t="s">
        <v>1407</v>
      </c>
      <c r="J100" s="7" t="s">
        <v>32</v>
      </c>
      <c r="K100" s="7" t="s">
        <v>1406</v>
      </c>
      <c r="L100" s="7">
        <v>2</v>
      </c>
      <c r="M100" s="7" t="s">
        <v>32</v>
      </c>
      <c r="N100" s="7" t="s">
        <v>34</v>
      </c>
      <c r="O100" s="7" t="s">
        <v>190</v>
      </c>
      <c r="P100" s="7" t="s">
        <v>34</v>
      </c>
      <c r="Q100" s="7" t="s">
        <v>34</v>
      </c>
      <c r="R100" s="7" t="s">
        <v>34</v>
      </c>
      <c r="S100" s="7" t="s">
        <v>34</v>
      </c>
      <c r="T100" s="7" t="s">
        <v>34</v>
      </c>
      <c r="U100" s="7" t="s">
        <v>32</v>
      </c>
      <c r="V100" s="7">
        <v>1</v>
      </c>
      <c r="W100" s="7" t="s">
        <v>32</v>
      </c>
      <c r="X100" s="7" t="s">
        <v>32</v>
      </c>
      <c r="Y100" s="7" t="s">
        <v>32</v>
      </c>
      <c r="Z100" s="7" t="s">
        <v>32</v>
      </c>
      <c r="AA100" s="7">
        <v>30871113</v>
      </c>
      <c r="AB100" s="7">
        <v>1</v>
      </c>
      <c r="AD100" s="7">
        <v>4</v>
      </c>
      <c r="AE100" s="24">
        <v>30</v>
      </c>
      <c r="AF100" s="7">
        <v>15</v>
      </c>
      <c r="AG100" s="7">
        <v>15</v>
      </c>
      <c r="AH100" s="7" t="s">
        <v>1642</v>
      </c>
      <c r="AI100" s="7" t="s">
        <v>1642</v>
      </c>
      <c r="AJ100" s="7" t="s">
        <v>1896</v>
      </c>
      <c r="AK100" s="7">
        <v>175</v>
      </c>
      <c r="AL100" s="29"/>
      <c r="AM100" s="7" t="s">
        <v>1896</v>
      </c>
      <c r="AN100" s="7">
        <v>175</v>
      </c>
      <c r="AR100" s="7" t="s">
        <v>1637</v>
      </c>
      <c r="AS100" s="7" t="s">
        <v>1638</v>
      </c>
      <c r="AT100" s="7" t="s">
        <v>1729</v>
      </c>
      <c r="AU100" s="7" t="s">
        <v>178</v>
      </c>
      <c r="AV100" s="7" t="s">
        <v>1888</v>
      </c>
      <c r="AW100" s="7" t="s">
        <v>1794</v>
      </c>
      <c r="AX100" s="7" t="s">
        <v>1917</v>
      </c>
      <c r="AY100" s="7" t="s">
        <v>1809</v>
      </c>
      <c r="AZ100" s="7" t="s">
        <v>1650</v>
      </c>
      <c r="BA100" s="7">
        <v>245</v>
      </c>
      <c r="BB100" s="7">
        <v>236</v>
      </c>
      <c r="BC100" s="7" t="s">
        <v>1806</v>
      </c>
      <c r="BD100" s="7">
        <v>3.3105699999999998</v>
      </c>
      <c r="BF100" s="7">
        <f>3.69213-BD100</f>
        <v>0.38156000000000034</v>
      </c>
      <c r="BG100" s="7" t="s">
        <v>1807</v>
      </c>
      <c r="BH100" s="7">
        <v>0.800543</v>
      </c>
      <c r="BJ100" s="7">
        <f>0.94528-BH100</f>
        <v>0.144737</v>
      </c>
    </row>
    <row r="101" spans="1:63" x14ac:dyDescent="0.2">
      <c r="A101" s="7">
        <v>32</v>
      </c>
      <c r="B101" s="7" t="s">
        <v>1405</v>
      </c>
      <c r="C101" s="7" t="s">
        <v>1404</v>
      </c>
      <c r="D101" s="7" t="s">
        <v>1403</v>
      </c>
      <c r="E101" s="7" t="s">
        <v>1297</v>
      </c>
      <c r="F101" s="7" t="s">
        <v>1262</v>
      </c>
      <c r="G101" s="7">
        <v>2019</v>
      </c>
      <c r="H101" s="7">
        <v>43529</v>
      </c>
      <c r="I101" s="7" t="s">
        <v>32</v>
      </c>
      <c r="J101" s="7" t="s">
        <v>32</v>
      </c>
      <c r="K101" s="7" t="s">
        <v>1402</v>
      </c>
      <c r="L101" s="7">
        <v>2</v>
      </c>
      <c r="M101" s="7" t="s">
        <v>32</v>
      </c>
      <c r="N101" s="7" t="s">
        <v>34</v>
      </c>
      <c r="O101" s="7" t="s">
        <v>190</v>
      </c>
      <c r="P101" s="7" t="s">
        <v>34</v>
      </c>
      <c r="Q101" s="7" t="s">
        <v>34</v>
      </c>
      <c r="R101" s="7" t="s">
        <v>34</v>
      </c>
      <c r="S101" s="7" t="s">
        <v>34</v>
      </c>
      <c r="T101" s="7" t="s">
        <v>34</v>
      </c>
      <c r="U101" s="7" t="s">
        <v>32</v>
      </c>
      <c r="V101" s="7">
        <v>1</v>
      </c>
      <c r="W101" s="7" t="s">
        <v>32</v>
      </c>
      <c r="X101" s="7" t="s">
        <v>32</v>
      </c>
      <c r="Y101" s="7" t="s">
        <v>32</v>
      </c>
      <c r="Z101" s="7" t="s">
        <v>32</v>
      </c>
      <c r="AA101" s="7">
        <v>30829662</v>
      </c>
      <c r="AB101" s="7">
        <v>1</v>
      </c>
      <c r="AD101" s="7">
        <v>4</v>
      </c>
      <c r="AE101" s="24">
        <v>30</v>
      </c>
      <c r="AF101" s="7">
        <v>15</v>
      </c>
      <c r="AG101" s="7">
        <v>15</v>
      </c>
      <c r="AH101" s="7" t="s">
        <v>1642</v>
      </c>
      <c r="AI101" s="7" t="s">
        <v>1642</v>
      </c>
      <c r="AK101" s="7">
        <v>175</v>
      </c>
      <c r="AN101" s="7">
        <v>175</v>
      </c>
      <c r="AR101" s="7" t="s">
        <v>1637</v>
      </c>
      <c r="AS101" s="7" t="s">
        <v>1638</v>
      </c>
      <c r="AT101" s="7" t="s">
        <v>1919</v>
      </c>
      <c r="AU101" s="7" t="s">
        <v>178</v>
      </c>
      <c r="AV101" s="7" t="s">
        <v>1700</v>
      </c>
      <c r="AW101" s="7" t="s">
        <v>1794</v>
      </c>
      <c r="AX101" s="7" t="s">
        <v>1918</v>
      </c>
      <c r="AY101" s="7" t="s">
        <v>1795</v>
      </c>
      <c r="AZ101" s="7" t="s">
        <v>1650</v>
      </c>
      <c r="BA101" s="7">
        <v>246</v>
      </c>
      <c r="BB101" s="7">
        <v>237</v>
      </c>
      <c r="BC101" s="7" t="s">
        <v>1796</v>
      </c>
      <c r="BD101" s="7">
        <v>3.26234</v>
      </c>
      <c r="BF101" s="7">
        <f>BD101-2.70635</f>
        <v>0.55598999999999998</v>
      </c>
      <c r="BG101" s="7" t="s">
        <v>1799</v>
      </c>
      <c r="BH101" s="7">
        <v>2.8956400000000002</v>
      </c>
      <c r="BJ101" s="7">
        <f>BH101-2.25686</f>
        <v>0.63878000000000013</v>
      </c>
    </row>
    <row r="102" spans="1:63" x14ac:dyDescent="0.2">
      <c r="A102" s="7">
        <v>32</v>
      </c>
      <c r="B102" s="7" t="s">
        <v>1405</v>
      </c>
      <c r="C102" s="7" t="s">
        <v>1404</v>
      </c>
      <c r="D102" s="7" t="s">
        <v>1403</v>
      </c>
      <c r="E102" s="7" t="s">
        <v>1297</v>
      </c>
      <c r="F102" s="7" t="s">
        <v>1262</v>
      </c>
      <c r="G102" s="7">
        <v>2019</v>
      </c>
      <c r="H102" s="7">
        <v>43529</v>
      </c>
      <c r="I102" s="7" t="s">
        <v>32</v>
      </c>
      <c r="J102" s="7" t="s">
        <v>32</v>
      </c>
      <c r="K102" s="7" t="s">
        <v>1402</v>
      </c>
      <c r="L102" s="7">
        <v>2</v>
      </c>
      <c r="M102" s="7" t="s">
        <v>32</v>
      </c>
      <c r="N102" s="7" t="s">
        <v>34</v>
      </c>
      <c r="O102" s="7" t="s">
        <v>190</v>
      </c>
      <c r="P102" s="7" t="s">
        <v>34</v>
      </c>
      <c r="Q102" s="7" t="s">
        <v>34</v>
      </c>
      <c r="R102" s="7" t="s">
        <v>34</v>
      </c>
      <c r="S102" s="7" t="s">
        <v>34</v>
      </c>
      <c r="T102" s="7" t="s">
        <v>34</v>
      </c>
      <c r="U102" s="7" t="s">
        <v>32</v>
      </c>
      <c r="V102" s="7">
        <v>1</v>
      </c>
      <c r="W102" s="7" t="s">
        <v>32</v>
      </c>
      <c r="X102" s="7" t="s">
        <v>32</v>
      </c>
      <c r="Y102" s="7" t="s">
        <v>32</v>
      </c>
      <c r="Z102" s="7" t="s">
        <v>32</v>
      </c>
      <c r="AA102" s="7">
        <v>30829662</v>
      </c>
      <c r="AB102" s="7">
        <v>1</v>
      </c>
      <c r="AD102" s="7">
        <v>4</v>
      </c>
      <c r="AE102" s="24">
        <v>30</v>
      </c>
      <c r="AF102" s="7">
        <v>15</v>
      </c>
      <c r="AG102" s="7">
        <v>15</v>
      </c>
      <c r="AH102" s="7" t="s">
        <v>1642</v>
      </c>
      <c r="AI102" s="7" t="s">
        <v>1642</v>
      </c>
      <c r="AK102" s="7">
        <v>175</v>
      </c>
      <c r="AN102" s="7">
        <v>175</v>
      </c>
      <c r="AR102" s="7" t="s">
        <v>1637</v>
      </c>
      <c r="AS102" s="7" t="s">
        <v>1638</v>
      </c>
      <c r="AT102" s="7" t="s">
        <v>1919</v>
      </c>
      <c r="AU102" s="7" t="s">
        <v>178</v>
      </c>
      <c r="AV102" s="7" t="s">
        <v>1700</v>
      </c>
      <c r="AW102" s="7" t="s">
        <v>1794</v>
      </c>
      <c r="AX102" s="7" t="s">
        <v>1918</v>
      </c>
      <c r="AY102" s="7" t="s">
        <v>1795</v>
      </c>
      <c r="AZ102" s="7" t="s">
        <v>1650</v>
      </c>
      <c r="BA102" s="7">
        <v>246</v>
      </c>
      <c r="BB102" s="7">
        <v>237</v>
      </c>
      <c r="BC102" s="7" t="s">
        <v>1797</v>
      </c>
      <c r="BD102" s="7">
        <v>1.9321600000000001</v>
      </c>
      <c r="BF102" s="7">
        <f>BD102-1.58912</f>
        <v>0.34304000000000001</v>
      </c>
      <c r="BG102" s="7" t="s">
        <v>1800</v>
      </c>
      <c r="BH102" s="7">
        <v>1.29338</v>
      </c>
      <c r="BJ102" s="7">
        <f>BH102-0.938486</f>
        <v>0.35489399999999993</v>
      </c>
    </row>
    <row r="103" spans="1:63" x14ac:dyDescent="0.2">
      <c r="A103" s="7">
        <v>32</v>
      </c>
      <c r="B103" s="7" t="s">
        <v>1405</v>
      </c>
      <c r="C103" s="7" t="s">
        <v>1404</v>
      </c>
      <c r="D103" s="7" t="s">
        <v>1403</v>
      </c>
      <c r="E103" s="7" t="s">
        <v>1297</v>
      </c>
      <c r="F103" s="7" t="s">
        <v>1262</v>
      </c>
      <c r="G103" s="7">
        <v>2019</v>
      </c>
      <c r="H103" s="7">
        <v>43529</v>
      </c>
      <c r="I103" s="7" t="s">
        <v>32</v>
      </c>
      <c r="J103" s="7" t="s">
        <v>32</v>
      </c>
      <c r="K103" s="7" t="s">
        <v>1402</v>
      </c>
      <c r="L103" s="7">
        <v>2</v>
      </c>
      <c r="M103" s="7" t="s">
        <v>32</v>
      </c>
      <c r="N103" s="7" t="s">
        <v>34</v>
      </c>
      <c r="O103" s="7" t="s">
        <v>190</v>
      </c>
      <c r="P103" s="7" t="s">
        <v>34</v>
      </c>
      <c r="Q103" s="7" t="s">
        <v>34</v>
      </c>
      <c r="R103" s="7" t="s">
        <v>34</v>
      </c>
      <c r="S103" s="7" t="s">
        <v>34</v>
      </c>
      <c r="T103" s="7" t="s">
        <v>34</v>
      </c>
      <c r="U103" s="7" t="s">
        <v>32</v>
      </c>
      <c r="V103" s="7">
        <v>1</v>
      </c>
      <c r="W103" s="7" t="s">
        <v>32</v>
      </c>
      <c r="X103" s="7" t="s">
        <v>32</v>
      </c>
      <c r="Y103" s="7" t="s">
        <v>32</v>
      </c>
      <c r="Z103" s="7" t="s">
        <v>32</v>
      </c>
      <c r="AA103" s="7">
        <v>30829662</v>
      </c>
      <c r="AB103" s="7">
        <v>1</v>
      </c>
      <c r="AD103" s="7">
        <v>4</v>
      </c>
      <c r="AE103" s="24">
        <v>30</v>
      </c>
      <c r="AF103" s="7">
        <v>15</v>
      </c>
      <c r="AG103" s="7">
        <v>15</v>
      </c>
      <c r="AH103" s="7" t="s">
        <v>1642</v>
      </c>
      <c r="AI103" s="7" t="s">
        <v>1642</v>
      </c>
      <c r="AK103" s="7">
        <v>175</v>
      </c>
      <c r="AN103" s="7">
        <v>175</v>
      </c>
      <c r="AR103" s="7" t="s">
        <v>1637</v>
      </c>
      <c r="AS103" s="7" t="s">
        <v>1638</v>
      </c>
      <c r="AT103" s="7" t="s">
        <v>1919</v>
      </c>
      <c r="AU103" s="7" t="s">
        <v>178</v>
      </c>
      <c r="AV103" s="7" t="s">
        <v>1700</v>
      </c>
      <c r="AW103" s="7" t="s">
        <v>1794</v>
      </c>
      <c r="AX103" s="7" t="s">
        <v>1918</v>
      </c>
      <c r="AY103" s="7" t="s">
        <v>1795</v>
      </c>
      <c r="AZ103" s="7" t="s">
        <v>1650</v>
      </c>
      <c r="BA103" s="7">
        <v>246</v>
      </c>
      <c r="BB103" s="7">
        <v>237</v>
      </c>
      <c r="BC103" s="7" t="s">
        <v>1798</v>
      </c>
      <c r="BD103" s="7">
        <v>1.6561399999999999</v>
      </c>
      <c r="BF103" s="7">
        <f>BD103-1.21844</f>
        <v>0.43769999999999998</v>
      </c>
      <c r="BG103" s="7" t="s">
        <v>1801</v>
      </c>
      <c r="BH103" s="7">
        <v>1.28942</v>
      </c>
      <c r="BJ103" s="7">
        <f>BH103-0.875383</f>
        <v>0.41403699999999999</v>
      </c>
    </row>
    <row r="104" spans="1:63" x14ac:dyDescent="0.2">
      <c r="A104" s="7">
        <v>32</v>
      </c>
      <c r="B104" s="7" t="s">
        <v>1405</v>
      </c>
      <c r="C104" s="7" t="s">
        <v>1404</v>
      </c>
      <c r="D104" s="7" t="s">
        <v>1403</v>
      </c>
      <c r="E104" s="7" t="s">
        <v>1297</v>
      </c>
      <c r="F104" s="7" t="s">
        <v>1262</v>
      </c>
      <c r="G104" s="7">
        <v>2019</v>
      </c>
      <c r="H104" s="7">
        <v>43529</v>
      </c>
      <c r="I104" s="7" t="s">
        <v>32</v>
      </c>
      <c r="J104" s="7" t="s">
        <v>32</v>
      </c>
      <c r="K104" s="7" t="s">
        <v>1402</v>
      </c>
      <c r="L104" s="7">
        <v>2</v>
      </c>
      <c r="M104" s="7" t="s">
        <v>32</v>
      </c>
      <c r="N104" s="7" t="s">
        <v>34</v>
      </c>
      <c r="O104" s="7" t="s">
        <v>190</v>
      </c>
      <c r="P104" s="7" t="s">
        <v>34</v>
      </c>
      <c r="Q104" s="7" t="s">
        <v>34</v>
      </c>
      <c r="R104" s="7" t="s">
        <v>34</v>
      </c>
      <c r="S104" s="7" t="s">
        <v>34</v>
      </c>
      <c r="T104" s="7" t="s">
        <v>34</v>
      </c>
      <c r="U104" s="7" t="s">
        <v>32</v>
      </c>
      <c r="V104" s="7">
        <v>1</v>
      </c>
      <c r="W104" s="7" t="s">
        <v>32</v>
      </c>
      <c r="X104" s="7" t="s">
        <v>32</v>
      </c>
      <c r="Y104" s="7" t="s">
        <v>32</v>
      </c>
      <c r="Z104" s="7" t="s">
        <v>32</v>
      </c>
      <c r="AA104" s="7">
        <v>30829662</v>
      </c>
      <c r="AB104" s="7">
        <v>1</v>
      </c>
      <c r="AD104" s="7">
        <v>4</v>
      </c>
      <c r="AE104" s="24">
        <v>30</v>
      </c>
      <c r="AF104" s="7">
        <v>15</v>
      </c>
      <c r="AG104" s="7">
        <v>15</v>
      </c>
      <c r="AH104" s="7" t="s">
        <v>1642</v>
      </c>
      <c r="AI104" s="7" t="s">
        <v>1642</v>
      </c>
      <c r="AK104" s="7">
        <v>175</v>
      </c>
      <c r="AN104" s="7">
        <v>175</v>
      </c>
      <c r="AR104" s="7" t="s">
        <v>1637</v>
      </c>
      <c r="AS104" s="7" t="s">
        <v>1638</v>
      </c>
      <c r="AT104" s="7" t="s">
        <v>1919</v>
      </c>
      <c r="AU104" s="7" t="s">
        <v>178</v>
      </c>
      <c r="AV104" s="7" t="s">
        <v>1700</v>
      </c>
      <c r="AW104" s="7" t="s">
        <v>1794</v>
      </c>
      <c r="AX104" s="7" t="s">
        <v>1918</v>
      </c>
      <c r="AY104" s="7" t="s">
        <v>1808</v>
      </c>
      <c r="AZ104" s="7" t="s">
        <v>1650</v>
      </c>
      <c r="BA104" s="7">
        <v>246</v>
      </c>
      <c r="BB104" s="7">
        <v>237</v>
      </c>
      <c r="BC104" s="7" t="s">
        <v>1802</v>
      </c>
      <c r="BD104" s="7">
        <v>3.6061200000000002</v>
      </c>
      <c r="BF104" s="7">
        <f>4.15714-BD104</f>
        <v>0.55101999999999984</v>
      </c>
      <c r="BG104" s="7" t="s">
        <v>1803</v>
      </c>
      <c r="BH104" s="7">
        <v>1.0714300000000001</v>
      </c>
      <c r="BJ104" s="7">
        <f>1.40204-BH104</f>
        <v>0.33060999999999985</v>
      </c>
    </row>
    <row r="105" spans="1:63" x14ac:dyDescent="0.2">
      <c r="A105" s="7">
        <v>32</v>
      </c>
      <c r="B105" s="7" t="s">
        <v>1405</v>
      </c>
      <c r="C105" s="7" t="s">
        <v>1404</v>
      </c>
      <c r="D105" s="7" t="s">
        <v>1403</v>
      </c>
      <c r="E105" s="7" t="s">
        <v>1297</v>
      </c>
      <c r="F105" s="7" t="s">
        <v>1262</v>
      </c>
      <c r="G105" s="7">
        <v>2019</v>
      </c>
      <c r="H105" s="7">
        <v>43529</v>
      </c>
      <c r="I105" s="7" t="s">
        <v>32</v>
      </c>
      <c r="J105" s="7" t="s">
        <v>32</v>
      </c>
      <c r="K105" s="7" t="s">
        <v>1402</v>
      </c>
      <c r="L105" s="7">
        <v>2</v>
      </c>
      <c r="M105" s="7" t="s">
        <v>32</v>
      </c>
      <c r="N105" s="7" t="s">
        <v>34</v>
      </c>
      <c r="O105" s="7" t="s">
        <v>190</v>
      </c>
      <c r="P105" s="7" t="s">
        <v>34</v>
      </c>
      <c r="Q105" s="7" t="s">
        <v>34</v>
      </c>
      <c r="R105" s="7" t="s">
        <v>34</v>
      </c>
      <c r="S105" s="7" t="s">
        <v>34</v>
      </c>
      <c r="T105" s="7" t="s">
        <v>34</v>
      </c>
      <c r="U105" s="7" t="s">
        <v>32</v>
      </c>
      <c r="V105" s="7">
        <v>1</v>
      </c>
      <c r="W105" s="7" t="s">
        <v>32</v>
      </c>
      <c r="X105" s="7" t="s">
        <v>32</v>
      </c>
      <c r="Y105" s="7" t="s">
        <v>32</v>
      </c>
      <c r="Z105" s="7" t="s">
        <v>32</v>
      </c>
      <c r="AA105" s="7">
        <v>30829662</v>
      </c>
      <c r="AB105" s="7">
        <v>1</v>
      </c>
      <c r="AD105" s="7">
        <v>4</v>
      </c>
      <c r="AE105" s="24">
        <v>30</v>
      </c>
      <c r="AF105" s="7">
        <v>15</v>
      </c>
      <c r="AG105" s="7">
        <v>15</v>
      </c>
      <c r="AH105" s="7" t="s">
        <v>1642</v>
      </c>
      <c r="AI105" s="7" t="s">
        <v>1642</v>
      </c>
      <c r="AK105" s="7">
        <v>175</v>
      </c>
      <c r="AN105" s="7">
        <v>175</v>
      </c>
      <c r="AR105" s="7" t="s">
        <v>1637</v>
      </c>
      <c r="AS105" s="7" t="s">
        <v>1638</v>
      </c>
      <c r="AT105" s="7" t="s">
        <v>1919</v>
      </c>
      <c r="AU105" s="7" t="s">
        <v>178</v>
      </c>
      <c r="AV105" s="7" t="s">
        <v>1700</v>
      </c>
      <c r="AW105" s="7" t="s">
        <v>1794</v>
      </c>
      <c r="AX105" s="7" t="s">
        <v>1918</v>
      </c>
      <c r="AY105" s="7" t="s">
        <v>1809</v>
      </c>
      <c r="AZ105" s="7" t="s">
        <v>1650</v>
      </c>
      <c r="BA105" s="7">
        <v>246</v>
      </c>
      <c r="BB105" s="7">
        <v>237</v>
      </c>
      <c r="BC105" s="7" t="s">
        <v>1804</v>
      </c>
      <c r="BD105" s="7">
        <v>2.7923100000000001</v>
      </c>
      <c r="BF105" s="7">
        <f>3.19615-BD105</f>
        <v>0.40383999999999975</v>
      </c>
      <c r="BG105" s="7" t="s">
        <v>1805</v>
      </c>
      <c r="BH105" s="7">
        <v>0.87692300000000001</v>
      </c>
      <c r="BJ105" s="7">
        <f>1.23462-BH105</f>
        <v>0.35769700000000004</v>
      </c>
    </row>
    <row r="106" spans="1:63" x14ac:dyDescent="0.2">
      <c r="A106" s="7">
        <v>32</v>
      </c>
      <c r="B106" s="7" t="s">
        <v>1405</v>
      </c>
      <c r="C106" s="7" t="s">
        <v>1404</v>
      </c>
      <c r="D106" s="7" t="s">
        <v>1403</v>
      </c>
      <c r="E106" s="7" t="s">
        <v>1297</v>
      </c>
      <c r="F106" s="7" t="s">
        <v>1262</v>
      </c>
      <c r="G106" s="7">
        <v>2019</v>
      </c>
      <c r="H106" s="7">
        <v>43529</v>
      </c>
      <c r="I106" s="7" t="s">
        <v>32</v>
      </c>
      <c r="J106" s="7" t="s">
        <v>32</v>
      </c>
      <c r="K106" s="7" t="s">
        <v>1402</v>
      </c>
      <c r="L106" s="7">
        <v>2</v>
      </c>
      <c r="M106" s="7" t="s">
        <v>32</v>
      </c>
      <c r="N106" s="7" t="s">
        <v>34</v>
      </c>
      <c r="O106" s="7" t="s">
        <v>190</v>
      </c>
      <c r="P106" s="7" t="s">
        <v>34</v>
      </c>
      <c r="Q106" s="7" t="s">
        <v>34</v>
      </c>
      <c r="R106" s="7" t="s">
        <v>34</v>
      </c>
      <c r="S106" s="7" t="s">
        <v>34</v>
      </c>
      <c r="T106" s="7" t="s">
        <v>34</v>
      </c>
      <c r="U106" s="7" t="s">
        <v>32</v>
      </c>
      <c r="V106" s="7">
        <v>1</v>
      </c>
      <c r="W106" s="7" t="s">
        <v>32</v>
      </c>
      <c r="X106" s="7" t="s">
        <v>32</v>
      </c>
      <c r="Y106" s="7" t="s">
        <v>32</v>
      </c>
      <c r="Z106" s="7" t="s">
        <v>32</v>
      </c>
      <c r="AA106" s="7">
        <v>30829662</v>
      </c>
      <c r="AB106" s="7">
        <v>1</v>
      </c>
      <c r="AD106" s="7">
        <v>4</v>
      </c>
      <c r="AE106" s="24">
        <v>30</v>
      </c>
      <c r="AF106" s="7">
        <v>15</v>
      </c>
      <c r="AG106" s="7">
        <v>15</v>
      </c>
      <c r="AH106" s="7" t="s">
        <v>1642</v>
      </c>
      <c r="AI106" s="7" t="s">
        <v>1642</v>
      </c>
      <c r="AK106" s="7">
        <v>175</v>
      </c>
      <c r="AN106" s="7">
        <v>175</v>
      </c>
      <c r="AR106" s="7" t="s">
        <v>1637</v>
      </c>
      <c r="AS106" s="7" t="s">
        <v>1638</v>
      </c>
      <c r="AT106" s="7" t="s">
        <v>1919</v>
      </c>
      <c r="AU106" s="7" t="s">
        <v>178</v>
      </c>
      <c r="AV106" s="7" t="s">
        <v>1898</v>
      </c>
      <c r="AW106" s="7" t="s">
        <v>1794</v>
      </c>
      <c r="AX106" s="7" t="s">
        <v>1918</v>
      </c>
      <c r="AY106" s="7" t="s">
        <v>1809</v>
      </c>
      <c r="AZ106" s="7" t="s">
        <v>1650</v>
      </c>
      <c r="BA106" s="7">
        <v>246</v>
      </c>
      <c r="BB106" s="7">
        <v>237</v>
      </c>
      <c r="BC106" s="7" t="s">
        <v>1806</v>
      </c>
      <c r="BD106" s="7">
        <v>3.0770300000000002</v>
      </c>
      <c r="BF106" s="7">
        <f>3.58784-BD106</f>
        <v>0.51080999999999976</v>
      </c>
      <c r="BG106" s="7" t="s">
        <v>1807</v>
      </c>
      <c r="BH106" s="7">
        <v>1.2162200000000001</v>
      </c>
      <c r="BJ106" s="7">
        <f>1.58108-BH106</f>
        <v>0.36485999999999996</v>
      </c>
    </row>
    <row r="107" spans="1:63" s="20" customFormat="1" x14ac:dyDescent="0.2">
      <c r="A107" s="20">
        <v>33</v>
      </c>
      <c r="B107" s="20" t="s">
        <v>1401</v>
      </c>
      <c r="C107" s="20" t="s">
        <v>1400</v>
      </c>
      <c r="D107" s="20" t="s">
        <v>1399</v>
      </c>
      <c r="E107" s="20" t="s">
        <v>1398</v>
      </c>
      <c r="F107" s="20" t="s">
        <v>30</v>
      </c>
      <c r="G107" s="20">
        <v>2019</v>
      </c>
      <c r="H107" s="20">
        <v>43498</v>
      </c>
      <c r="I107" s="20" t="s">
        <v>1397</v>
      </c>
      <c r="J107" s="20" t="s">
        <v>32</v>
      </c>
      <c r="K107" s="20" t="s">
        <v>1396</v>
      </c>
      <c r="L107" s="20">
        <v>2</v>
      </c>
      <c r="M107" s="20" t="s">
        <v>1395</v>
      </c>
      <c r="N107" s="20" t="s">
        <v>34</v>
      </c>
      <c r="O107" s="20" t="s">
        <v>34</v>
      </c>
      <c r="P107" s="20" t="s">
        <v>34</v>
      </c>
      <c r="Q107" s="20" t="s">
        <v>34</v>
      </c>
      <c r="R107" s="20" t="s">
        <v>34</v>
      </c>
      <c r="S107" s="20" t="s">
        <v>34</v>
      </c>
      <c r="T107" s="20" t="s">
        <v>34</v>
      </c>
      <c r="U107" s="20" t="s">
        <v>32</v>
      </c>
      <c r="V107" s="20">
        <v>1</v>
      </c>
      <c r="W107" s="20" t="s">
        <v>32</v>
      </c>
      <c r="X107" s="20" t="s">
        <v>32</v>
      </c>
      <c r="Y107" s="20" t="s">
        <v>32</v>
      </c>
      <c r="Z107" s="20" t="s">
        <v>32</v>
      </c>
      <c r="AA107" s="20">
        <v>30705647</v>
      </c>
      <c r="AB107" s="20">
        <v>0</v>
      </c>
      <c r="AC107" s="20" t="s">
        <v>1920</v>
      </c>
      <c r="AE107" s="26"/>
      <c r="BK107" s="41"/>
    </row>
    <row r="108" spans="1:63" x14ac:dyDescent="0.2">
      <c r="A108" s="7">
        <v>34</v>
      </c>
      <c r="B108" s="7" t="s">
        <v>1394</v>
      </c>
      <c r="C108" s="7" t="s">
        <v>1393</v>
      </c>
      <c r="D108" s="7" t="s">
        <v>1392</v>
      </c>
      <c r="E108" s="7" t="s">
        <v>1391</v>
      </c>
      <c r="F108" s="7" t="s">
        <v>1390</v>
      </c>
      <c r="G108" s="7">
        <v>2019</v>
      </c>
      <c r="H108" s="7">
        <v>43475</v>
      </c>
      <c r="I108" s="7" t="s">
        <v>1389</v>
      </c>
      <c r="J108" s="7" t="s">
        <v>32</v>
      </c>
      <c r="K108" s="7" t="s">
        <v>1388</v>
      </c>
      <c r="L108" s="7">
        <v>2</v>
      </c>
      <c r="M108" s="7" t="s">
        <v>32</v>
      </c>
      <c r="N108" s="7" t="s">
        <v>34</v>
      </c>
      <c r="O108" s="7" t="s">
        <v>190</v>
      </c>
      <c r="P108" s="7" t="s">
        <v>34</v>
      </c>
      <c r="Q108" s="7" t="s">
        <v>34</v>
      </c>
      <c r="R108" s="7" t="s">
        <v>34</v>
      </c>
      <c r="S108" s="7" t="s">
        <v>34</v>
      </c>
      <c r="T108" s="7" t="s">
        <v>34</v>
      </c>
      <c r="U108" s="7" t="s">
        <v>32</v>
      </c>
      <c r="V108" s="7">
        <v>1</v>
      </c>
      <c r="W108" s="7" t="s">
        <v>32</v>
      </c>
      <c r="X108" s="7" t="s">
        <v>32</v>
      </c>
      <c r="Y108" s="7" t="s">
        <v>32</v>
      </c>
      <c r="Z108" s="7" t="s">
        <v>32</v>
      </c>
      <c r="AA108" s="7">
        <v>30621666</v>
      </c>
      <c r="AB108" s="7">
        <v>1</v>
      </c>
      <c r="AD108" s="7">
        <v>4</v>
      </c>
      <c r="AE108" s="24">
        <v>13</v>
      </c>
      <c r="AF108" s="7">
        <v>6.5</v>
      </c>
      <c r="AG108" s="7">
        <v>6.5</v>
      </c>
      <c r="AH108" s="7" t="s">
        <v>1642</v>
      </c>
      <c r="AI108" s="7" t="s">
        <v>1642</v>
      </c>
      <c r="AJ108" s="7" t="s">
        <v>1719</v>
      </c>
      <c r="AK108" s="7">
        <v>215</v>
      </c>
      <c r="AM108" s="7" t="s">
        <v>1719</v>
      </c>
      <c r="AN108" s="7">
        <v>215</v>
      </c>
      <c r="AR108" s="7" t="s">
        <v>1637</v>
      </c>
      <c r="AS108" s="7" t="s">
        <v>1638</v>
      </c>
      <c r="AT108" s="7" t="s">
        <v>1640</v>
      </c>
      <c r="AU108" s="7" t="s">
        <v>178</v>
      </c>
      <c r="AV108" s="7" t="s">
        <v>1689</v>
      </c>
      <c r="AW108" s="7" t="s">
        <v>1690</v>
      </c>
      <c r="AX108" s="7" t="s">
        <v>1921</v>
      </c>
      <c r="AY108" s="7" t="s">
        <v>1691</v>
      </c>
      <c r="AZ108" s="7" t="s">
        <v>1650</v>
      </c>
      <c r="BA108" s="7">
        <v>247</v>
      </c>
      <c r="BB108" s="7">
        <v>238</v>
      </c>
      <c r="BC108" s="7" t="s">
        <v>1922</v>
      </c>
      <c r="BD108" s="7">
        <v>4.9926100000000001E-2</v>
      </c>
      <c r="BF108" s="7">
        <f>0.151204-BD108</f>
        <v>0.1012779</v>
      </c>
      <c r="BG108" s="7" t="s">
        <v>1923</v>
      </c>
      <c r="BH108" s="7">
        <v>0.30087599999999998</v>
      </c>
      <c r="BJ108" s="7">
        <f>0.402151-BH108</f>
        <v>0.101275</v>
      </c>
    </row>
    <row r="109" spans="1:63" x14ac:dyDescent="0.2">
      <c r="A109" s="7">
        <v>34</v>
      </c>
      <c r="B109" s="7" t="s">
        <v>1394</v>
      </c>
      <c r="C109" s="7" t="s">
        <v>1393</v>
      </c>
      <c r="D109" s="7" t="s">
        <v>1392</v>
      </c>
      <c r="E109" s="7" t="s">
        <v>1391</v>
      </c>
      <c r="F109" s="7" t="s">
        <v>1390</v>
      </c>
      <c r="G109" s="7">
        <v>2019</v>
      </c>
      <c r="H109" s="7">
        <v>43475</v>
      </c>
      <c r="I109" s="7" t="s">
        <v>1389</v>
      </c>
      <c r="J109" s="7" t="s">
        <v>32</v>
      </c>
      <c r="K109" s="7" t="s">
        <v>1388</v>
      </c>
      <c r="L109" s="7">
        <v>2</v>
      </c>
      <c r="M109" s="7" t="s">
        <v>32</v>
      </c>
      <c r="N109" s="7" t="s">
        <v>34</v>
      </c>
      <c r="O109" s="7" t="s">
        <v>190</v>
      </c>
      <c r="P109" s="7" t="s">
        <v>34</v>
      </c>
      <c r="Q109" s="7" t="s">
        <v>34</v>
      </c>
      <c r="R109" s="7" t="s">
        <v>34</v>
      </c>
      <c r="S109" s="7" t="s">
        <v>34</v>
      </c>
      <c r="T109" s="7" t="s">
        <v>34</v>
      </c>
      <c r="U109" s="7" t="s">
        <v>32</v>
      </c>
      <c r="V109" s="7">
        <v>1</v>
      </c>
      <c r="W109" s="7" t="s">
        <v>32</v>
      </c>
      <c r="X109" s="7" t="s">
        <v>32</v>
      </c>
      <c r="Y109" s="7" t="s">
        <v>32</v>
      </c>
      <c r="Z109" s="7" t="s">
        <v>32</v>
      </c>
      <c r="AA109" s="7">
        <v>30621666</v>
      </c>
      <c r="AB109" s="7">
        <v>1</v>
      </c>
      <c r="AD109" s="7">
        <v>4</v>
      </c>
      <c r="AE109" s="24">
        <v>13</v>
      </c>
      <c r="AF109" s="7">
        <v>6.5</v>
      </c>
      <c r="AG109" s="7">
        <v>6.5</v>
      </c>
      <c r="AH109" s="7" t="s">
        <v>1642</v>
      </c>
      <c r="AI109" s="7" t="s">
        <v>1642</v>
      </c>
      <c r="AJ109" s="7" t="s">
        <v>1719</v>
      </c>
      <c r="AK109" s="7">
        <v>215</v>
      </c>
      <c r="AM109" s="7" t="s">
        <v>1719</v>
      </c>
      <c r="AN109" s="7">
        <v>215</v>
      </c>
      <c r="AR109" s="7" t="s">
        <v>1637</v>
      </c>
      <c r="AS109" s="7" t="s">
        <v>1638</v>
      </c>
      <c r="AT109" s="7" t="s">
        <v>1640</v>
      </c>
      <c r="AU109" s="7" t="s">
        <v>178</v>
      </c>
      <c r="AV109" s="7" t="s">
        <v>1924</v>
      </c>
      <c r="AW109" s="7" t="s">
        <v>1687</v>
      </c>
      <c r="AX109" s="7" t="s">
        <v>1921</v>
      </c>
      <c r="AY109" s="7" t="s">
        <v>1695</v>
      </c>
      <c r="AZ109" s="7" t="s">
        <v>1650</v>
      </c>
      <c r="BA109" s="7">
        <v>247</v>
      </c>
      <c r="BB109" s="7">
        <v>238</v>
      </c>
      <c r="BC109" s="7" t="s">
        <v>1931</v>
      </c>
      <c r="BD109" s="7">
        <v>153.29599999999999</v>
      </c>
      <c r="BF109" s="7">
        <f>157.062-BD109</f>
        <v>3.7660000000000196</v>
      </c>
      <c r="BG109" s="7" t="s">
        <v>1926</v>
      </c>
      <c r="BH109" s="7">
        <v>162.33500000000001</v>
      </c>
      <c r="BJ109" s="7">
        <f>166.855-BH109</f>
        <v>4.5199999999999818</v>
      </c>
    </row>
    <row r="110" spans="1:63" x14ac:dyDescent="0.2">
      <c r="A110" s="7">
        <v>34</v>
      </c>
      <c r="B110" s="7" t="s">
        <v>1394</v>
      </c>
      <c r="C110" s="7" t="s">
        <v>1393</v>
      </c>
      <c r="D110" s="7" t="s">
        <v>1392</v>
      </c>
      <c r="E110" s="7" t="s">
        <v>1391</v>
      </c>
      <c r="F110" s="7" t="s">
        <v>1390</v>
      </c>
      <c r="G110" s="7">
        <v>2019</v>
      </c>
      <c r="H110" s="7">
        <v>43475</v>
      </c>
      <c r="I110" s="7" t="s">
        <v>1389</v>
      </c>
      <c r="J110" s="7" t="s">
        <v>32</v>
      </c>
      <c r="K110" s="7" t="s">
        <v>1388</v>
      </c>
      <c r="L110" s="7">
        <v>2</v>
      </c>
      <c r="M110" s="7" t="s">
        <v>32</v>
      </c>
      <c r="N110" s="7" t="s">
        <v>34</v>
      </c>
      <c r="O110" s="7" t="s">
        <v>190</v>
      </c>
      <c r="P110" s="7" t="s">
        <v>34</v>
      </c>
      <c r="Q110" s="7" t="s">
        <v>34</v>
      </c>
      <c r="R110" s="7" t="s">
        <v>34</v>
      </c>
      <c r="S110" s="7" t="s">
        <v>34</v>
      </c>
      <c r="T110" s="7" t="s">
        <v>34</v>
      </c>
      <c r="U110" s="7" t="s">
        <v>32</v>
      </c>
      <c r="V110" s="7">
        <v>1</v>
      </c>
      <c r="W110" s="7" t="s">
        <v>32</v>
      </c>
      <c r="X110" s="7" t="s">
        <v>32</v>
      </c>
      <c r="Y110" s="7" t="s">
        <v>32</v>
      </c>
      <c r="Z110" s="7" t="s">
        <v>32</v>
      </c>
      <c r="AA110" s="7">
        <v>30621666</v>
      </c>
      <c r="AB110" s="7">
        <v>1</v>
      </c>
      <c r="AD110" s="7">
        <v>4</v>
      </c>
      <c r="AE110" s="24">
        <v>13</v>
      </c>
      <c r="AF110" s="7">
        <v>6.5</v>
      </c>
      <c r="AG110" s="7">
        <v>6.5</v>
      </c>
      <c r="AH110" s="7" t="s">
        <v>1642</v>
      </c>
      <c r="AI110" s="7" t="s">
        <v>1642</v>
      </c>
      <c r="AJ110" s="7" t="s">
        <v>1719</v>
      </c>
      <c r="AK110" s="7">
        <v>215</v>
      </c>
      <c r="AM110" s="7" t="s">
        <v>1719</v>
      </c>
      <c r="AN110" s="7">
        <v>215</v>
      </c>
      <c r="AR110" s="7" t="s">
        <v>1637</v>
      </c>
      <c r="AS110" s="7" t="s">
        <v>1638</v>
      </c>
      <c r="AT110" s="7" t="s">
        <v>1640</v>
      </c>
      <c r="AU110" s="7" t="s">
        <v>178</v>
      </c>
      <c r="AV110" s="7" t="s">
        <v>1924</v>
      </c>
      <c r="AW110" s="7" t="s">
        <v>1687</v>
      </c>
      <c r="AX110" s="7" t="s">
        <v>1921</v>
      </c>
      <c r="AY110" s="7" t="s">
        <v>1695</v>
      </c>
      <c r="AZ110" s="7" t="s">
        <v>1650</v>
      </c>
      <c r="BA110" s="7">
        <v>247</v>
      </c>
      <c r="BB110" s="7">
        <v>238</v>
      </c>
      <c r="BC110" s="7" t="s">
        <v>1932</v>
      </c>
      <c r="BD110" s="7">
        <v>125.42400000000001</v>
      </c>
      <c r="BF110" s="7">
        <f>129.943-BD110</f>
        <v>4.5190000000000055</v>
      </c>
      <c r="BG110" s="7" t="s">
        <v>1927</v>
      </c>
      <c r="BH110" s="7">
        <v>100.565</v>
      </c>
      <c r="BJ110" s="7">
        <f>106.591-BH110</f>
        <v>6.0259999999999962</v>
      </c>
    </row>
    <row r="111" spans="1:63" x14ac:dyDescent="0.2">
      <c r="A111" s="7">
        <v>34</v>
      </c>
      <c r="B111" s="7" t="s">
        <v>1394</v>
      </c>
      <c r="C111" s="7" t="s">
        <v>1393</v>
      </c>
      <c r="D111" s="7" t="s">
        <v>1392</v>
      </c>
      <c r="E111" s="7" t="s">
        <v>1391</v>
      </c>
      <c r="F111" s="7" t="s">
        <v>1390</v>
      </c>
      <c r="G111" s="7">
        <v>2019</v>
      </c>
      <c r="H111" s="7">
        <v>43475</v>
      </c>
      <c r="I111" s="7" t="s">
        <v>1389</v>
      </c>
      <c r="J111" s="7" t="s">
        <v>32</v>
      </c>
      <c r="K111" s="7" t="s">
        <v>1388</v>
      </c>
      <c r="L111" s="7">
        <v>2</v>
      </c>
      <c r="M111" s="7" t="s">
        <v>32</v>
      </c>
      <c r="N111" s="7" t="s">
        <v>34</v>
      </c>
      <c r="O111" s="7" t="s">
        <v>190</v>
      </c>
      <c r="P111" s="7" t="s">
        <v>34</v>
      </c>
      <c r="Q111" s="7" t="s">
        <v>34</v>
      </c>
      <c r="R111" s="7" t="s">
        <v>34</v>
      </c>
      <c r="S111" s="7" t="s">
        <v>34</v>
      </c>
      <c r="T111" s="7" t="s">
        <v>34</v>
      </c>
      <c r="U111" s="7" t="s">
        <v>32</v>
      </c>
      <c r="V111" s="7">
        <v>1</v>
      </c>
      <c r="W111" s="7" t="s">
        <v>32</v>
      </c>
      <c r="X111" s="7" t="s">
        <v>32</v>
      </c>
      <c r="Y111" s="7" t="s">
        <v>32</v>
      </c>
      <c r="Z111" s="7" t="s">
        <v>32</v>
      </c>
      <c r="AA111" s="7">
        <v>30621666</v>
      </c>
      <c r="AB111" s="7">
        <v>1</v>
      </c>
      <c r="AD111" s="7">
        <v>4</v>
      </c>
      <c r="AE111" s="24">
        <v>13</v>
      </c>
      <c r="AF111" s="7">
        <v>6.5</v>
      </c>
      <c r="AG111" s="7">
        <v>6.5</v>
      </c>
      <c r="AH111" s="7" t="s">
        <v>1642</v>
      </c>
      <c r="AI111" s="7" t="s">
        <v>1642</v>
      </c>
      <c r="AJ111" s="7" t="s">
        <v>1719</v>
      </c>
      <c r="AK111" s="7">
        <v>215</v>
      </c>
      <c r="AM111" s="7" t="s">
        <v>1719</v>
      </c>
      <c r="AN111" s="7">
        <v>215</v>
      </c>
      <c r="AR111" s="7" t="s">
        <v>1637</v>
      </c>
      <c r="AS111" s="7" t="s">
        <v>1638</v>
      </c>
      <c r="AT111" s="7" t="s">
        <v>1640</v>
      </c>
      <c r="AU111" s="7" t="s">
        <v>178</v>
      </c>
      <c r="AV111" s="7" t="s">
        <v>1924</v>
      </c>
      <c r="AW111" s="7" t="s">
        <v>1687</v>
      </c>
      <c r="AX111" s="7" t="s">
        <v>1921</v>
      </c>
      <c r="AY111" s="7" t="s">
        <v>1695</v>
      </c>
      <c r="AZ111" s="7" t="s">
        <v>1650</v>
      </c>
      <c r="BA111" s="7">
        <v>247</v>
      </c>
      <c r="BB111" s="7">
        <v>238</v>
      </c>
      <c r="BC111" s="7" t="s">
        <v>1933</v>
      </c>
      <c r="BD111" s="7">
        <v>114.124</v>
      </c>
      <c r="BF111" s="7">
        <f>120.151-BD111</f>
        <v>6.027000000000001</v>
      </c>
      <c r="BG111" s="7" t="s">
        <v>1928</v>
      </c>
      <c r="BH111" s="7">
        <v>79.472700000000003</v>
      </c>
      <c r="BJ111" s="7">
        <f>85.8757-BH111</f>
        <v>6.4029999999999916</v>
      </c>
    </row>
    <row r="112" spans="1:63" x14ac:dyDescent="0.2">
      <c r="A112" s="7">
        <v>34</v>
      </c>
      <c r="B112" s="7" t="s">
        <v>1394</v>
      </c>
      <c r="C112" s="7" t="s">
        <v>1393</v>
      </c>
      <c r="D112" s="7" t="s">
        <v>1392</v>
      </c>
      <c r="E112" s="7" t="s">
        <v>1391</v>
      </c>
      <c r="F112" s="7" t="s">
        <v>1390</v>
      </c>
      <c r="G112" s="7">
        <v>2019</v>
      </c>
      <c r="H112" s="7">
        <v>43475</v>
      </c>
      <c r="I112" s="7" t="s">
        <v>1389</v>
      </c>
      <c r="J112" s="7" t="s">
        <v>32</v>
      </c>
      <c r="K112" s="7" t="s">
        <v>1388</v>
      </c>
      <c r="L112" s="7">
        <v>2</v>
      </c>
      <c r="M112" s="7" t="s">
        <v>32</v>
      </c>
      <c r="N112" s="7" t="s">
        <v>34</v>
      </c>
      <c r="O112" s="7" t="s">
        <v>190</v>
      </c>
      <c r="P112" s="7" t="s">
        <v>34</v>
      </c>
      <c r="Q112" s="7" t="s">
        <v>34</v>
      </c>
      <c r="R112" s="7" t="s">
        <v>34</v>
      </c>
      <c r="S112" s="7" t="s">
        <v>34</v>
      </c>
      <c r="T112" s="7" t="s">
        <v>34</v>
      </c>
      <c r="U112" s="7" t="s">
        <v>32</v>
      </c>
      <c r="V112" s="7">
        <v>1</v>
      </c>
      <c r="W112" s="7" t="s">
        <v>32</v>
      </c>
      <c r="X112" s="7" t="s">
        <v>32</v>
      </c>
      <c r="Y112" s="7" t="s">
        <v>32</v>
      </c>
      <c r="Z112" s="7" t="s">
        <v>32</v>
      </c>
      <c r="AA112" s="7">
        <v>30621666</v>
      </c>
      <c r="AB112" s="7">
        <v>1</v>
      </c>
      <c r="AD112" s="7">
        <v>4</v>
      </c>
      <c r="AE112" s="24">
        <v>13</v>
      </c>
      <c r="AF112" s="7">
        <v>6.5</v>
      </c>
      <c r="AG112" s="7">
        <v>6.5</v>
      </c>
      <c r="AH112" s="7" t="s">
        <v>1642</v>
      </c>
      <c r="AI112" s="7" t="s">
        <v>1642</v>
      </c>
      <c r="AJ112" s="7" t="s">
        <v>1719</v>
      </c>
      <c r="AK112" s="7">
        <v>215</v>
      </c>
      <c r="AM112" s="7" t="s">
        <v>1719</v>
      </c>
      <c r="AN112" s="7">
        <v>215</v>
      </c>
      <c r="AR112" s="7" t="s">
        <v>1637</v>
      </c>
      <c r="AS112" s="7" t="s">
        <v>1638</v>
      </c>
      <c r="AT112" s="7" t="s">
        <v>1640</v>
      </c>
      <c r="AU112" s="7" t="s">
        <v>178</v>
      </c>
      <c r="AV112" s="7" t="s">
        <v>1924</v>
      </c>
      <c r="AW112" s="7" t="s">
        <v>1687</v>
      </c>
      <c r="AX112" s="7" t="s">
        <v>1921</v>
      </c>
      <c r="AY112" s="7" t="s">
        <v>1695</v>
      </c>
      <c r="AZ112" s="7" t="s">
        <v>1650</v>
      </c>
      <c r="BA112" s="7">
        <v>247</v>
      </c>
      <c r="BB112" s="7">
        <v>238</v>
      </c>
      <c r="BC112" s="7" t="s">
        <v>1934</v>
      </c>
      <c r="BD112" s="7">
        <v>76.082899999999995</v>
      </c>
      <c r="BF112" s="7">
        <f>80.9793-BD112</f>
        <v>4.8963999999999999</v>
      </c>
      <c r="BG112" s="7" t="s">
        <v>1929</v>
      </c>
      <c r="BH112" s="7">
        <v>48.964199999999998</v>
      </c>
      <c r="BJ112" s="7">
        <f>52.7307-BH112</f>
        <v>3.7665000000000006</v>
      </c>
    </row>
    <row r="113" spans="1:63" x14ac:dyDescent="0.2">
      <c r="A113" s="7">
        <v>34</v>
      </c>
      <c r="B113" s="7" t="s">
        <v>1394</v>
      </c>
      <c r="C113" s="7" t="s">
        <v>1393</v>
      </c>
      <c r="D113" s="7" t="s">
        <v>1392</v>
      </c>
      <c r="E113" s="7" t="s">
        <v>1391</v>
      </c>
      <c r="F113" s="7" t="s">
        <v>1390</v>
      </c>
      <c r="G113" s="7">
        <v>2019</v>
      </c>
      <c r="H113" s="7">
        <v>43475</v>
      </c>
      <c r="I113" s="7" t="s">
        <v>1389</v>
      </c>
      <c r="J113" s="7" t="s">
        <v>32</v>
      </c>
      <c r="K113" s="7" t="s">
        <v>1388</v>
      </c>
      <c r="L113" s="7">
        <v>2</v>
      </c>
      <c r="M113" s="7" t="s">
        <v>32</v>
      </c>
      <c r="N113" s="7" t="s">
        <v>34</v>
      </c>
      <c r="O113" s="7" t="s">
        <v>190</v>
      </c>
      <c r="P113" s="7" t="s">
        <v>34</v>
      </c>
      <c r="Q113" s="7" t="s">
        <v>34</v>
      </c>
      <c r="R113" s="7" t="s">
        <v>34</v>
      </c>
      <c r="S113" s="7" t="s">
        <v>34</v>
      </c>
      <c r="T113" s="7" t="s">
        <v>34</v>
      </c>
      <c r="U113" s="7" t="s">
        <v>32</v>
      </c>
      <c r="V113" s="7">
        <v>1</v>
      </c>
      <c r="W113" s="7" t="s">
        <v>32</v>
      </c>
      <c r="X113" s="7" t="s">
        <v>32</v>
      </c>
      <c r="Y113" s="7" t="s">
        <v>32</v>
      </c>
      <c r="Z113" s="7" t="s">
        <v>32</v>
      </c>
      <c r="AA113" s="7">
        <v>30621666</v>
      </c>
      <c r="AB113" s="7">
        <v>1</v>
      </c>
      <c r="AD113" s="7">
        <v>4</v>
      </c>
      <c r="AE113" s="24">
        <v>13</v>
      </c>
      <c r="AF113" s="7">
        <v>6.5</v>
      </c>
      <c r="AG113" s="7">
        <v>6.5</v>
      </c>
      <c r="AH113" s="7" t="s">
        <v>1642</v>
      </c>
      <c r="AI113" s="7" t="s">
        <v>1642</v>
      </c>
      <c r="AJ113" s="7" t="s">
        <v>1719</v>
      </c>
      <c r="AK113" s="7">
        <v>215</v>
      </c>
      <c r="AM113" s="7" t="s">
        <v>1719</v>
      </c>
      <c r="AN113" s="7">
        <v>215</v>
      </c>
      <c r="AR113" s="7" t="s">
        <v>1637</v>
      </c>
      <c r="AS113" s="7" t="s">
        <v>1638</v>
      </c>
      <c r="AT113" s="7" t="s">
        <v>1640</v>
      </c>
      <c r="AU113" s="7" t="s">
        <v>178</v>
      </c>
      <c r="AV113" s="7" t="s">
        <v>1924</v>
      </c>
      <c r="AW113" s="7" t="s">
        <v>1687</v>
      </c>
      <c r="AX113" s="7" t="s">
        <v>1921</v>
      </c>
      <c r="AY113" s="7" t="s">
        <v>1695</v>
      </c>
      <c r="AZ113" s="7" t="s">
        <v>1650</v>
      </c>
      <c r="BA113" s="7">
        <v>247</v>
      </c>
      <c r="BB113" s="7">
        <v>238</v>
      </c>
      <c r="BC113" s="7" t="s">
        <v>1935</v>
      </c>
      <c r="BD113" s="7">
        <v>56.497199999999999</v>
      </c>
      <c r="BF113" s="7">
        <f>62.1469-BD113</f>
        <v>5.6497000000000028</v>
      </c>
      <c r="BG113" s="7" t="s">
        <v>1930</v>
      </c>
      <c r="BH113" s="7">
        <v>29.755199999999999</v>
      </c>
      <c r="BJ113" s="7">
        <f>34.6516-BH113</f>
        <v>4.8964000000000034</v>
      </c>
    </row>
    <row r="114" spans="1:63" x14ac:dyDescent="0.2">
      <c r="A114" s="7">
        <v>34</v>
      </c>
      <c r="B114" s="7" t="s">
        <v>1394</v>
      </c>
      <c r="C114" s="7" t="s">
        <v>1393</v>
      </c>
      <c r="D114" s="7" t="s">
        <v>1392</v>
      </c>
      <c r="E114" s="7" t="s">
        <v>1391</v>
      </c>
      <c r="F114" s="7" t="s">
        <v>1390</v>
      </c>
      <c r="G114" s="7">
        <v>2019</v>
      </c>
      <c r="H114" s="7">
        <v>43475</v>
      </c>
      <c r="I114" s="7" t="s">
        <v>1389</v>
      </c>
      <c r="J114" s="7" t="s">
        <v>32</v>
      </c>
      <c r="K114" s="7" t="s">
        <v>1388</v>
      </c>
      <c r="L114" s="7">
        <v>2</v>
      </c>
      <c r="M114" s="7" t="s">
        <v>32</v>
      </c>
      <c r="N114" s="7" t="s">
        <v>34</v>
      </c>
      <c r="O114" s="7" t="s">
        <v>190</v>
      </c>
      <c r="P114" s="7" t="s">
        <v>34</v>
      </c>
      <c r="Q114" s="7" t="s">
        <v>34</v>
      </c>
      <c r="R114" s="7" t="s">
        <v>34</v>
      </c>
      <c r="S114" s="7" t="s">
        <v>34</v>
      </c>
      <c r="T114" s="7" t="s">
        <v>34</v>
      </c>
      <c r="U114" s="7" t="s">
        <v>32</v>
      </c>
      <c r="V114" s="7">
        <v>1</v>
      </c>
      <c r="W114" s="7" t="s">
        <v>32</v>
      </c>
      <c r="X114" s="7" t="s">
        <v>32</v>
      </c>
      <c r="Y114" s="7" t="s">
        <v>32</v>
      </c>
      <c r="Z114" s="7" t="s">
        <v>32</v>
      </c>
      <c r="AA114" s="7">
        <v>30621666</v>
      </c>
      <c r="AB114" s="7">
        <v>1</v>
      </c>
      <c r="AD114" s="7">
        <v>4</v>
      </c>
      <c r="AE114" s="24">
        <v>13</v>
      </c>
      <c r="AF114" s="7">
        <v>6.5</v>
      </c>
      <c r="AG114" s="7">
        <v>6.5</v>
      </c>
      <c r="AH114" s="7" t="s">
        <v>1642</v>
      </c>
      <c r="AI114" s="7" t="s">
        <v>1642</v>
      </c>
      <c r="AJ114" s="7" t="s">
        <v>1719</v>
      </c>
      <c r="AK114" s="7">
        <v>215</v>
      </c>
      <c r="AM114" s="7" t="s">
        <v>1719</v>
      </c>
      <c r="AN114" s="7">
        <v>215</v>
      </c>
      <c r="AR114" s="7" t="s">
        <v>1637</v>
      </c>
      <c r="AS114" s="7" t="s">
        <v>1638</v>
      </c>
      <c r="AT114" s="7" t="s">
        <v>1640</v>
      </c>
      <c r="AU114" s="7" t="s">
        <v>178</v>
      </c>
      <c r="AV114" s="7" t="s">
        <v>1924</v>
      </c>
      <c r="AW114" s="7" t="s">
        <v>1687</v>
      </c>
      <c r="AX114" s="7" t="s">
        <v>1921</v>
      </c>
      <c r="AY114" s="7" t="s">
        <v>2010</v>
      </c>
      <c r="AZ114" s="7" t="s">
        <v>1650</v>
      </c>
      <c r="BA114" s="7">
        <v>247</v>
      </c>
      <c r="BB114" s="7">
        <v>238</v>
      </c>
      <c r="BC114" s="7" t="s">
        <v>1936</v>
      </c>
      <c r="BD114" s="7">
        <v>18.317799999999998</v>
      </c>
      <c r="BF114" s="7">
        <f>19.1543-BD114</f>
        <v>0.83650000000000091</v>
      </c>
      <c r="BG114" s="7" t="s">
        <v>1938</v>
      </c>
      <c r="BH114" s="7">
        <v>26.3476</v>
      </c>
      <c r="BJ114" s="7">
        <f>27.5186-BH114</f>
        <v>1.1709999999999994</v>
      </c>
      <c r="BK114" s="9" t="s">
        <v>2008</v>
      </c>
    </row>
    <row r="115" spans="1:63" x14ac:dyDescent="0.2">
      <c r="A115" s="7">
        <v>34</v>
      </c>
      <c r="B115" s="7" t="s">
        <v>1394</v>
      </c>
      <c r="C115" s="7" t="s">
        <v>1393</v>
      </c>
      <c r="D115" s="7" t="s">
        <v>1392</v>
      </c>
      <c r="E115" s="7" t="s">
        <v>1391</v>
      </c>
      <c r="F115" s="7" t="s">
        <v>1390</v>
      </c>
      <c r="G115" s="7">
        <v>2019</v>
      </c>
      <c r="H115" s="7">
        <v>43475</v>
      </c>
      <c r="I115" s="7" t="s">
        <v>1389</v>
      </c>
      <c r="J115" s="7" t="s">
        <v>32</v>
      </c>
      <c r="K115" s="7" t="s">
        <v>1388</v>
      </c>
      <c r="L115" s="7">
        <v>2</v>
      </c>
      <c r="M115" s="7" t="s">
        <v>32</v>
      </c>
      <c r="N115" s="7" t="s">
        <v>34</v>
      </c>
      <c r="O115" s="7" t="s">
        <v>190</v>
      </c>
      <c r="P115" s="7" t="s">
        <v>34</v>
      </c>
      <c r="Q115" s="7" t="s">
        <v>34</v>
      </c>
      <c r="R115" s="7" t="s">
        <v>34</v>
      </c>
      <c r="S115" s="7" t="s">
        <v>34</v>
      </c>
      <c r="T115" s="7" t="s">
        <v>34</v>
      </c>
      <c r="U115" s="7" t="s">
        <v>32</v>
      </c>
      <c r="V115" s="7">
        <v>1</v>
      </c>
      <c r="W115" s="7" t="s">
        <v>32</v>
      </c>
      <c r="X115" s="7" t="s">
        <v>32</v>
      </c>
      <c r="Y115" s="7" t="s">
        <v>32</v>
      </c>
      <c r="Z115" s="7" t="s">
        <v>32</v>
      </c>
      <c r="AA115" s="7">
        <v>30621666</v>
      </c>
      <c r="AB115" s="7">
        <v>1</v>
      </c>
      <c r="AD115" s="7">
        <v>4</v>
      </c>
      <c r="AE115" s="24">
        <v>13</v>
      </c>
      <c r="AF115" s="7">
        <v>6.5</v>
      </c>
      <c r="AG115" s="7">
        <v>6.5</v>
      </c>
      <c r="AH115" s="7" t="s">
        <v>1642</v>
      </c>
      <c r="AI115" s="7" t="s">
        <v>1642</v>
      </c>
      <c r="AJ115" s="7" t="s">
        <v>1719</v>
      </c>
      <c r="AK115" s="7">
        <v>215</v>
      </c>
      <c r="AM115" s="7" t="s">
        <v>1719</v>
      </c>
      <c r="AN115" s="7">
        <v>215</v>
      </c>
      <c r="AR115" s="7" t="s">
        <v>1637</v>
      </c>
      <c r="AS115" s="7" t="s">
        <v>1638</v>
      </c>
      <c r="AT115" s="7" t="s">
        <v>1640</v>
      </c>
      <c r="AU115" s="7" t="s">
        <v>178</v>
      </c>
      <c r="AV115" s="7" t="s">
        <v>1924</v>
      </c>
      <c r="AW115" s="7" t="s">
        <v>1687</v>
      </c>
      <c r="AX115" s="7" t="s">
        <v>1921</v>
      </c>
      <c r="AY115" s="7" t="s">
        <v>1925</v>
      </c>
      <c r="AZ115" s="7" t="s">
        <v>1650</v>
      </c>
      <c r="BA115" s="7">
        <v>247</v>
      </c>
      <c r="BB115" s="7">
        <v>238</v>
      </c>
      <c r="BC115" s="7" t="s">
        <v>1937</v>
      </c>
      <c r="BD115" s="7">
        <v>19.121500000000001</v>
      </c>
      <c r="BF115" s="7">
        <f>20.4691-BD115</f>
        <v>1.3475999999999999</v>
      </c>
      <c r="BG115" s="7" t="s">
        <v>1939</v>
      </c>
      <c r="BH115" s="7">
        <v>29.655100000000001</v>
      </c>
      <c r="BJ115" s="7">
        <f>32.5847-BH115</f>
        <v>2.9295999999999971</v>
      </c>
    </row>
    <row r="116" spans="1:63" x14ac:dyDescent="0.2">
      <c r="A116" s="7">
        <v>35</v>
      </c>
      <c r="B116" s="7" t="s">
        <v>1387</v>
      </c>
      <c r="C116" s="7" t="s">
        <v>1386</v>
      </c>
      <c r="D116" s="7" t="s">
        <v>1385</v>
      </c>
      <c r="E116" s="7" t="s">
        <v>1384</v>
      </c>
      <c r="F116" s="7" t="s">
        <v>159</v>
      </c>
      <c r="G116" s="7">
        <v>2018</v>
      </c>
      <c r="H116" s="7">
        <v>43446</v>
      </c>
      <c r="I116" s="7" t="s">
        <v>1383</v>
      </c>
      <c r="J116" s="7" t="s">
        <v>32</v>
      </c>
      <c r="K116" s="7" t="s">
        <v>1382</v>
      </c>
      <c r="L116" s="7">
        <v>2</v>
      </c>
      <c r="M116" s="7" t="s">
        <v>1381</v>
      </c>
      <c r="N116" s="7" t="s">
        <v>34</v>
      </c>
      <c r="O116" s="7" t="s">
        <v>190</v>
      </c>
      <c r="P116" s="7" t="s">
        <v>34</v>
      </c>
      <c r="Q116" s="7" t="s">
        <v>34</v>
      </c>
      <c r="R116" s="7" t="s">
        <v>34</v>
      </c>
      <c r="S116" s="7" t="s">
        <v>34</v>
      </c>
      <c r="T116" s="7" t="s">
        <v>34</v>
      </c>
      <c r="U116" s="7" t="s">
        <v>32</v>
      </c>
      <c r="V116" s="7">
        <v>1</v>
      </c>
      <c r="W116" s="7" t="s">
        <v>32</v>
      </c>
      <c r="X116" s="7" t="s">
        <v>32</v>
      </c>
      <c r="Y116" s="7" t="s">
        <v>32</v>
      </c>
      <c r="Z116" s="7" t="s">
        <v>32</v>
      </c>
      <c r="AA116" s="7">
        <v>30532228</v>
      </c>
      <c r="AB116" s="7">
        <v>1</v>
      </c>
      <c r="AD116" s="28">
        <v>4</v>
      </c>
      <c r="AE116" s="24">
        <v>27</v>
      </c>
      <c r="AF116" s="7">
        <v>15</v>
      </c>
      <c r="AG116" s="7">
        <v>12</v>
      </c>
      <c r="AH116" s="7" t="s">
        <v>1642</v>
      </c>
      <c r="AI116" s="7" t="s">
        <v>1642</v>
      </c>
      <c r="AK116" s="7">
        <v>200</v>
      </c>
      <c r="AN116" s="7">
        <v>200</v>
      </c>
      <c r="AP116" s="7">
        <v>5</v>
      </c>
      <c r="AQ116" s="7" t="s">
        <v>1942</v>
      </c>
      <c r="AR116" s="7" t="s">
        <v>1637</v>
      </c>
      <c r="AS116" s="7" t="s">
        <v>1638</v>
      </c>
      <c r="AT116" s="7" t="s">
        <v>1640</v>
      </c>
      <c r="AU116" s="7" t="s">
        <v>178</v>
      </c>
      <c r="AV116" s="7" t="s">
        <v>1641</v>
      </c>
      <c r="AW116" s="7" t="s">
        <v>1639</v>
      </c>
      <c r="AX116" s="7" t="s">
        <v>1941</v>
      </c>
      <c r="AY116" s="7" t="s">
        <v>1662</v>
      </c>
      <c r="AZ116" s="7" t="s">
        <v>1650</v>
      </c>
      <c r="BA116" s="7">
        <v>248</v>
      </c>
      <c r="BB116" s="7">
        <v>239</v>
      </c>
      <c r="BC116" s="7" t="s">
        <v>2011</v>
      </c>
      <c r="BD116" s="7">
        <v>74.25</v>
      </c>
      <c r="BF116" s="37">
        <f>79.75-BD116</f>
        <v>5.5</v>
      </c>
      <c r="BG116" s="7" t="s">
        <v>2012</v>
      </c>
      <c r="BH116" s="37">
        <v>61</v>
      </c>
      <c r="BJ116" s="37">
        <v>7</v>
      </c>
      <c r="BK116" s="40"/>
    </row>
    <row r="117" spans="1:63" x14ac:dyDescent="0.2">
      <c r="A117" s="7">
        <v>35</v>
      </c>
      <c r="B117" s="7" t="s">
        <v>1387</v>
      </c>
      <c r="C117" s="7" t="s">
        <v>1386</v>
      </c>
      <c r="D117" s="7" t="s">
        <v>1385</v>
      </c>
      <c r="E117" s="7" t="s">
        <v>1384</v>
      </c>
      <c r="F117" s="7" t="s">
        <v>159</v>
      </c>
      <c r="G117" s="7">
        <v>2018</v>
      </c>
      <c r="H117" s="7">
        <v>43446</v>
      </c>
      <c r="I117" s="7" t="s">
        <v>1383</v>
      </c>
      <c r="J117" s="7" t="s">
        <v>32</v>
      </c>
      <c r="K117" s="7" t="s">
        <v>1382</v>
      </c>
      <c r="L117" s="7">
        <v>2</v>
      </c>
      <c r="M117" s="7" t="s">
        <v>1381</v>
      </c>
      <c r="N117" s="7" t="s">
        <v>34</v>
      </c>
      <c r="O117" s="7" t="s">
        <v>190</v>
      </c>
      <c r="P117" s="7" t="s">
        <v>34</v>
      </c>
      <c r="Q117" s="7" t="s">
        <v>34</v>
      </c>
      <c r="R117" s="7" t="s">
        <v>34</v>
      </c>
      <c r="S117" s="7" t="s">
        <v>34</v>
      </c>
      <c r="T117" s="7" t="s">
        <v>34</v>
      </c>
      <c r="U117" s="7" t="s">
        <v>32</v>
      </c>
      <c r="V117" s="7">
        <v>1</v>
      </c>
      <c r="W117" s="7" t="s">
        <v>32</v>
      </c>
      <c r="X117" s="7" t="s">
        <v>32</v>
      </c>
      <c r="Y117" s="7" t="s">
        <v>32</v>
      </c>
      <c r="Z117" s="7" t="s">
        <v>32</v>
      </c>
      <c r="AA117" s="7">
        <v>30532228</v>
      </c>
      <c r="AB117" s="7">
        <v>1</v>
      </c>
      <c r="AD117" s="28">
        <v>4</v>
      </c>
      <c r="AE117" s="24">
        <v>27</v>
      </c>
      <c r="AF117" s="7">
        <v>15</v>
      </c>
      <c r="AG117" s="7">
        <v>12</v>
      </c>
      <c r="AH117" s="7" t="s">
        <v>1642</v>
      </c>
      <c r="AI117" s="7" t="s">
        <v>1642</v>
      </c>
      <c r="AK117" s="7">
        <v>200</v>
      </c>
      <c r="AN117" s="7">
        <v>200</v>
      </c>
      <c r="AP117" s="7">
        <v>5</v>
      </c>
      <c r="AQ117" s="7" t="s">
        <v>1942</v>
      </c>
      <c r="AR117" s="7" t="s">
        <v>1637</v>
      </c>
      <c r="AS117" s="7" t="s">
        <v>1638</v>
      </c>
      <c r="AT117" s="7" t="s">
        <v>1640</v>
      </c>
      <c r="AU117" s="7" t="s">
        <v>178</v>
      </c>
      <c r="AV117" s="7" t="s">
        <v>1641</v>
      </c>
      <c r="AW117" s="7" t="s">
        <v>1639</v>
      </c>
      <c r="AX117" s="7" t="s">
        <v>1941</v>
      </c>
      <c r="AY117" s="7" t="s">
        <v>1662</v>
      </c>
      <c r="AZ117" s="7" t="s">
        <v>1650</v>
      </c>
      <c r="BA117" s="7">
        <v>248</v>
      </c>
      <c r="BB117" s="7">
        <v>239</v>
      </c>
      <c r="BC117" s="7" t="s">
        <v>1943</v>
      </c>
      <c r="BD117" s="7">
        <v>72.25</v>
      </c>
      <c r="BF117" s="37">
        <f>77.25-BD117</f>
        <v>5</v>
      </c>
      <c r="BG117" s="7" t="s">
        <v>1944</v>
      </c>
      <c r="BH117" s="37">
        <v>64</v>
      </c>
      <c r="BJ117" s="37">
        <f>70.25-BH117</f>
        <v>6.25</v>
      </c>
      <c r="BK117" s="40"/>
    </row>
    <row r="118" spans="1:63" x14ac:dyDescent="0.2">
      <c r="A118" s="7">
        <v>36</v>
      </c>
      <c r="B118" s="7" t="s">
        <v>1380</v>
      </c>
      <c r="C118" s="7" t="s">
        <v>1379</v>
      </c>
      <c r="D118" s="7" t="s">
        <v>1378</v>
      </c>
      <c r="E118" s="7" t="s">
        <v>1377</v>
      </c>
      <c r="F118" s="7" t="s">
        <v>336</v>
      </c>
      <c r="G118" s="7">
        <v>2018</v>
      </c>
      <c r="H118" s="7">
        <v>43420</v>
      </c>
      <c r="I118" s="7" t="s">
        <v>1376</v>
      </c>
      <c r="J118" s="7" t="s">
        <v>32</v>
      </c>
      <c r="K118" s="7" t="s">
        <v>1375</v>
      </c>
      <c r="L118" s="7">
        <v>2</v>
      </c>
      <c r="M118" s="7" t="s">
        <v>32</v>
      </c>
      <c r="N118" s="7" t="s">
        <v>34</v>
      </c>
      <c r="O118" s="7" t="s">
        <v>190</v>
      </c>
      <c r="P118" s="7" t="s">
        <v>34</v>
      </c>
      <c r="Q118" s="7" t="s">
        <v>34</v>
      </c>
      <c r="R118" s="7" t="s">
        <v>34</v>
      </c>
      <c r="S118" s="7" t="s">
        <v>34</v>
      </c>
      <c r="T118" s="7" t="s">
        <v>34</v>
      </c>
      <c r="U118" s="7" t="s">
        <v>32</v>
      </c>
      <c r="V118" s="7">
        <v>1</v>
      </c>
      <c r="W118" s="7" t="s">
        <v>32</v>
      </c>
      <c r="X118" s="7" t="s">
        <v>32</v>
      </c>
      <c r="Y118" s="7" t="s">
        <v>32</v>
      </c>
      <c r="Z118" s="7" t="s">
        <v>32</v>
      </c>
      <c r="AA118" s="7">
        <v>30429779</v>
      </c>
      <c r="AB118" s="7">
        <v>1</v>
      </c>
      <c r="AD118" s="7">
        <v>4</v>
      </c>
      <c r="AE118" s="24">
        <v>16</v>
      </c>
      <c r="AF118" s="7">
        <v>8</v>
      </c>
      <c r="AG118" s="7">
        <v>8</v>
      </c>
      <c r="AH118" s="7" t="s">
        <v>1642</v>
      </c>
      <c r="AI118" s="7" t="s">
        <v>1642</v>
      </c>
      <c r="AJ118" s="7" t="s">
        <v>1945</v>
      </c>
      <c r="AM118" s="7" t="s">
        <v>1945</v>
      </c>
      <c r="AR118" s="7" t="s">
        <v>1637</v>
      </c>
      <c r="AS118" s="7" t="s">
        <v>1638</v>
      </c>
      <c r="AT118" s="7" t="s">
        <v>1640</v>
      </c>
      <c r="AU118" s="7" t="s">
        <v>178</v>
      </c>
      <c r="AV118" s="7" t="s">
        <v>1653</v>
      </c>
      <c r="AW118" s="7" t="s">
        <v>1639</v>
      </c>
      <c r="AX118" s="7" t="s">
        <v>1946</v>
      </c>
      <c r="AY118" s="7" t="s">
        <v>1679</v>
      </c>
      <c r="AZ118" s="7" t="s">
        <v>1650</v>
      </c>
      <c r="BA118" s="7">
        <v>249</v>
      </c>
      <c r="BB118" s="7">
        <v>240</v>
      </c>
      <c r="BC118" s="7" t="s">
        <v>2014</v>
      </c>
      <c r="BD118" s="7">
        <v>50.389200000000002</v>
      </c>
      <c r="BF118" s="37">
        <f>60.306-BD118</f>
        <v>9.916799999999995</v>
      </c>
      <c r="BG118" s="7" t="s">
        <v>2013</v>
      </c>
      <c r="BH118" s="37">
        <v>15.0589</v>
      </c>
      <c r="BJ118" s="37">
        <f>22.2907-BH118</f>
        <v>7.2318000000000016</v>
      </c>
      <c r="BK118" s="40"/>
    </row>
    <row r="119" spans="1:63" x14ac:dyDescent="0.2">
      <c r="A119" s="7">
        <v>36</v>
      </c>
      <c r="B119" s="7" t="s">
        <v>1380</v>
      </c>
      <c r="C119" s="7" t="s">
        <v>1379</v>
      </c>
      <c r="D119" s="7" t="s">
        <v>1378</v>
      </c>
      <c r="E119" s="7" t="s">
        <v>1377</v>
      </c>
      <c r="F119" s="7" t="s">
        <v>336</v>
      </c>
      <c r="G119" s="7">
        <v>2018</v>
      </c>
      <c r="H119" s="7">
        <v>43420</v>
      </c>
      <c r="I119" s="7" t="s">
        <v>1376</v>
      </c>
      <c r="J119" s="7" t="s">
        <v>32</v>
      </c>
      <c r="K119" s="7" t="s">
        <v>1375</v>
      </c>
      <c r="L119" s="7">
        <v>2</v>
      </c>
      <c r="M119" s="7" t="s">
        <v>32</v>
      </c>
      <c r="N119" s="7" t="s">
        <v>34</v>
      </c>
      <c r="O119" s="7" t="s">
        <v>190</v>
      </c>
      <c r="P119" s="7" t="s">
        <v>34</v>
      </c>
      <c r="Q119" s="7" t="s">
        <v>34</v>
      </c>
      <c r="R119" s="7" t="s">
        <v>34</v>
      </c>
      <c r="S119" s="7" t="s">
        <v>34</v>
      </c>
      <c r="T119" s="7" t="s">
        <v>34</v>
      </c>
      <c r="U119" s="7" t="s">
        <v>32</v>
      </c>
      <c r="V119" s="7">
        <v>1</v>
      </c>
      <c r="W119" s="7" t="s">
        <v>32</v>
      </c>
      <c r="X119" s="7" t="s">
        <v>32</v>
      </c>
      <c r="Y119" s="7" t="s">
        <v>32</v>
      </c>
      <c r="Z119" s="7" t="s">
        <v>32</v>
      </c>
      <c r="AA119" s="7">
        <v>30429779</v>
      </c>
      <c r="AB119" s="7">
        <v>1</v>
      </c>
      <c r="AD119" s="7">
        <v>4</v>
      </c>
      <c r="AE119" s="24">
        <v>16</v>
      </c>
      <c r="AF119" s="7">
        <v>8</v>
      </c>
      <c r="AG119" s="7">
        <v>8</v>
      </c>
      <c r="AH119" s="7" t="s">
        <v>1642</v>
      </c>
      <c r="AI119" s="7" t="s">
        <v>1642</v>
      </c>
      <c r="AJ119" s="7" t="s">
        <v>1945</v>
      </c>
      <c r="AM119" s="7" t="s">
        <v>1945</v>
      </c>
      <c r="AR119" s="7" t="s">
        <v>1637</v>
      </c>
      <c r="AS119" s="7" t="s">
        <v>1638</v>
      </c>
      <c r="AT119" s="7" t="s">
        <v>1640</v>
      </c>
      <c r="AU119" s="7" t="s">
        <v>178</v>
      </c>
      <c r="AV119" s="7" t="s">
        <v>1653</v>
      </c>
      <c r="AW119" s="7" t="s">
        <v>1639</v>
      </c>
      <c r="AX119" s="7" t="s">
        <v>1946</v>
      </c>
      <c r="AY119" s="7" t="s">
        <v>1679</v>
      </c>
      <c r="AZ119" s="7" t="s">
        <v>1650</v>
      </c>
      <c r="BA119" s="7">
        <v>249</v>
      </c>
      <c r="BB119" s="7">
        <v>240</v>
      </c>
      <c r="BC119" s="7" t="s">
        <v>1947</v>
      </c>
      <c r="BD119" s="7">
        <v>69.305300000000003</v>
      </c>
      <c r="BF119" s="7">
        <f>77.9829-BD119</f>
        <v>8.6775999999999982</v>
      </c>
      <c r="BG119" s="7" t="s">
        <v>1948</v>
      </c>
      <c r="BH119" s="7">
        <v>65.380200000000002</v>
      </c>
      <c r="BJ119" s="7">
        <f>71.1648-BH119</f>
        <v>5.7845999999999975</v>
      </c>
      <c r="BK119" s="40"/>
    </row>
    <row r="120" spans="1:63" x14ac:dyDescent="0.2">
      <c r="A120" s="7">
        <v>36</v>
      </c>
      <c r="B120" s="7" t="s">
        <v>1380</v>
      </c>
      <c r="C120" s="7" t="s">
        <v>1379</v>
      </c>
      <c r="D120" s="7" t="s">
        <v>1378</v>
      </c>
      <c r="E120" s="7" t="s">
        <v>1377</v>
      </c>
      <c r="F120" s="7" t="s">
        <v>336</v>
      </c>
      <c r="G120" s="7">
        <v>2018</v>
      </c>
      <c r="H120" s="7">
        <v>43420</v>
      </c>
      <c r="I120" s="7" t="s">
        <v>1376</v>
      </c>
      <c r="J120" s="7" t="s">
        <v>32</v>
      </c>
      <c r="K120" s="7" t="s">
        <v>1375</v>
      </c>
      <c r="L120" s="7">
        <v>2</v>
      </c>
      <c r="M120" s="7" t="s">
        <v>32</v>
      </c>
      <c r="N120" s="7" t="s">
        <v>34</v>
      </c>
      <c r="O120" s="7" t="s">
        <v>190</v>
      </c>
      <c r="P120" s="7" t="s">
        <v>34</v>
      </c>
      <c r="Q120" s="7" t="s">
        <v>34</v>
      </c>
      <c r="R120" s="7" t="s">
        <v>34</v>
      </c>
      <c r="S120" s="7" t="s">
        <v>34</v>
      </c>
      <c r="T120" s="7" t="s">
        <v>34</v>
      </c>
      <c r="U120" s="7" t="s">
        <v>32</v>
      </c>
      <c r="V120" s="7">
        <v>1</v>
      </c>
      <c r="W120" s="7" t="s">
        <v>32</v>
      </c>
      <c r="X120" s="7" t="s">
        <v>32</v>
      </c>
      <c r="Y120" s="7" t="s">
        <v>32</v>
      </c>
      <c r="Z120" s="7" t="s">
        <v>32</v>
      </c>
      <c r="AA120" s="7">
        <v>30429779</v>
      </c>
      <c r="AB120" s="7">
        <v>1</v>
      </c>
      <c r="AD120" s="7">
        <v>4</v>
      </c>
      <c r="AE120" s="24">
        <v>16</v>
      </c>
      <c r="AF120" s="7">
        <v>8</v>
      </c>
      <c r="AG120" s="7">
        <v>8</v>
      </c>
      <c r="AH120" s="7" t="s">
        <v>1642</v>
      </c>
      <c r="AI120" s="7" t="s">
        <v>1642</v>
      </c>
      <c r="AJ120" s="7" t="s">
        <v>1945</v>
      </c>
      <c r="AM120" s="7" t="s">
        <v>1945</v>
      </c>
      <c r="AR120" s="7" t="s">
        <v>1637</v>
      </c>
      <c r="AS120" s="7" t="s">
        <v>1638</v>
      </c>
      <c r="AT120" s="7" t="s">
        <v>1640</v>
      </c>
      <c r="AU120" s="7" t="s">
        <v>178</v>
      </c>
      <c r="AV120" s="7" t="s">
        <v>1653</v>
      </c>
      <c r="AW120" s="7" t="s">
        <v>1639</v>
      </c>
      <c r="AX120" s="7" t="s">
        <v>1946</v>
      </c>
      <c r="AY120" s="7" t="s">
        <v>1955</v>
      </c>
      <c r="AZ120" s="7" t="s">
        <v>1650</v>
      </c>
      <c r="BA120" s="7">
        <v>249</v>
      </c>
      <c r="BB120" s="7">
        <v>240</v>
      </c>
      <c r="BC120" s="7" t="s">
        <v>1949</v>
      </c>
      <c r="BD120" s="7">
        <v>83.850899999999996</v>
      </c>
      <c r="BF120" s="7">
        <f>90.0621-BD120</f>
        <v>6.2112000000000052</v>
      </c>
      <c r="BG120" s="7" t="s">
        <v>1950</v>
      </c>
      <c r="BH120" s="7">
        <v>73.084900000000005</v>
      </c>
      <c r="BJ120" s="7">
        <f>BH120-64.5963</f>
        <v>8.4886000000000053</v>
      </c>
    </row>
    <row r="121" spans="1:63" x14ac:dyDescent="0.2">
      <c r="A121" s="7">
        <v>36</v>
      </c>
      <c r="B121" s="7" t="s">
        <v>1380</v>
      </c>
      <c r="C121" s="7" t="s">
        <v>1379</v>
      </c>
      <c r="D121" s="7" t="s">
        <v>1378</v>
      </c>
      <c r="E121" s="7" t="s">
        <v>1377</v>
      </c>
      <c r="F121" s="7" t="s">
        <v>336</v>
      </c>
      <c r="G121" s="7">
        <v>2018</v>
      </c>
      <c r="H121" s="7">
        <v>43420</v>
      </c>
      <c r="I121" s="7" t="s">
        <v>1376</v>
      </c>
      <c r="J121" s="7" t="s">
        <v>32</v>
      </c>
      <c r="K121" s="7" t="s">
        <v>1375</v>
      </c>
      <c r="L121" s="7">
        <v>2</v>
      </c>
      <c r="M121" s="7" t="s">
        <v>32</v>
      </c>
      <c r="N121" s="7" t="s">
        <v>34</v>
      </c>
      <c r="O121" s="7" t="s">
        <v>190</v>
      </c>
      <c r="P121" s="7" t="s">
        <v>34</v>
      </c>
      <c r="Q121" s="7" t="s">
        <v>34</v>
      </c>
      <c r="R121" s="7" t="s">
        <v>34</v>
      </c>
      <c r="S121" s="7" t="s">
        <v>34</v>
      </c>
      <c r="T121" s="7" t="s">
        <v>34</v>
      </c>
      <c r="U121" s="7" t="s">
        <v>32</v>
      </c>
      <c r="V121" s="7">
        <v>1</v>
      </c>
      <c r="W121" s="7" t="s">
        <v>32</v>
      </c>
      <c r="X121" s="7" t="s">
        <v>32</v>
      </c>
      <c r="Y121" s="7" t="s">
        <v>32</v>
      </c>
      <c r="Z121" s="7" t="s">
        <v>32</v>
      </c>
      <c r="AA121" s="7">
        <v>30429779</v>
      </c>
      <c r="AB121" s="7">
        <v>1</v>
      </c>
      <c r="AD121" s="7">
        <v>4</v>
      </c>
      <c r="AE121" s="24">
        <v>16</v>
      </c>
      <c r="AF121" s="7">
        <v>8</v>
      </c>
      <c r="AG121" s="7">
        <v>8</v>
      </c>
      <c r="AH121" s="7" t="s">
        <v>1642</v>
      </c>
      <c r="AI121" s="7" t="s">
        <v>1642</v>
      </c>
      <c r="AJ121" s="7" t="s">
        <v>1945</v>
      </c>
      <c r="AM121" s="7" t="s">
        <v>1945</v>
      </c>
      <c r="AR121" s="7" t="s">
        <v>1637</v>
      </c>
      <c r="AS121" s="7" t="s">
        <v>1638</v>
      </c>
      <c r="AT121" s="7" t="s">
        <v>1640</v>
      </c>
      <c r="AU121" s="7" t="s">
        <v>178</v>
      </c>
      <c r="AV121" s="7" t="s">
        <v>1653</v>
      </c>
      <c r="AW121" s="7" t="s">
        <v>1639</v>
      </c>
      <c r="AX121" s="7" t="s">
        <v>1946</v>
      </c>
      <c r="AY121" s="7" t="s">
        <v>1955</v>
      </c>
      <c r="AZ121" s="7" t="s">
        <v>1650</v>
      </c>
      <c r="BA121" s="7">
        <v>249</v>
      </c>
      <c r="BB121" s="7">
        <v>240</v>
      </c>
      <c r="BC121" s="7" t="s">
        <v>1953</v>
      </c>
      <c r="BD121" s="7">
        <v>76.811599999999999</v>
      </c>
      <c r="BF121" s="7">
        <f>83.4369-BD121</f>
        <v>6.6252999999999957</v>
      </c>
      <c r="BG121" s="7" t="s">
        <v>1951</v>
      </c>
      <c r="BH121" s="7">
        <v>44.720500000000001</v>
      </c>
      <c r="BJ121" s="7">
        <f>50.9317-BH121</f>
        <v>6.2111999999999981</v>
      </c>
    </row>
    <row r="122" spans="1:63" x14ac:dyDescent="0.2">
      <c r="A122" s="7">
        <v>36</v>
      </c>
      <c r="B122" s="7" t="s">
        <v>1380</v>
      </c>
      <c r="C122" s="7" t="s">
        <v>1379</v>
      </c>
      <c r="D122" s="7" t="s">
        <v>1378</v>
      </c>
      <c r="E122" s="7" t="s">
        <v>1377</v>
      </c>
      <c r="F122" s="7" t="s">
        <v>336</v>
      </c>
      <c r="G122" s="7">
        <v>2018</v>
      </c>
      <c r="H122" s="7">
        <v>43420</v>
      </c>
      <c r="I122" s="7" t="s">
        <v>1376</v>
      </c>
      <c r="J122" s="7" t="s">
        <v>32</v>
      </c>
      <c r="K122" s="7" t="s">
        <v>1375</v>
      </c>
      <c r="L122" s="7">
        <v>2</v>
      </c>
      <c r="M122" s="7" t="s">
        <v>32</v>
      </c>
      <c r="N122" s="7" t="s">
        <v>34</v>
      </c>
      <c r="O122" s="7" t="s">
        <v>190</v>
      </c>
      <c r="P122" s="7" t="s">
        <v>34</v>
      </c>
      <c r="Q122" s="7" t="s">
        <v>34</v>
      </c>
      <c r="R122" s="7" t="s">
        <v>34</v>
      </c>
      <c r="S122" s="7" t="s">
        <v>34</v>
      </c>
      <c r="T122" s="7" t="s">
        <v>34</v>
      </c>
      <c r="U122" s="7" t="s">
        <v>32</v>
      </c>
      <c r="V122" s="7">
        <v>1</v>
      </c>
      <c r="W122" s="7" t="s">
        <v>32</v>
      </c>
      <c r="X122" s="7" t="s">
        <v>32</v>
      </c>
      <c r="Y122" s="7" t="s">
        <v>32</v>
      </c>
      <c r="Z122" s="7" t="s">
        <v>32</v>
      </c>
      <c r="AA122" s="7">
        <v>30429779</v>
      </c>
      <c r="AB122" s="7">
        <v>1</v>
      </c>
      <c r="AD122" s="7">
        <v>4</v>
      </c>
      <c r="AE122" s="24">
        <v>16</v>
      </c>
      <c r="AF122" s="7">
        <v>8</v>
      </c>
      <c r="AG122" s="7">
        <v>8</v>
      </c>
      <c r="AH122" s="7" t="s">
        <v>1642</v>
      </c>
      <c r="AI122" s="7" t="s">
        <v>1642</v>
      </c>
      <c r="AJ122" s="7" t="s">
        <v>1945</v>
      </c>
      <c r="AM122" s="7" t="s">
        <v>1945</v>
      </c>
      <c r="AR122" s="7" t="s">
        <v>1637</v>
      </c>
      <c r="AS122" s="7" t="s">
        <v>1638</v>
      </c>
      <c r="AT122" s="7" t="s">
        <v>1640</v>
      </c>
      <c r="AU122" s="7" t="s">
        <v>178</v>
      </c>
      <c r="AV122" s="7" t="s">
        <v>1653</v>
      </c>
      <c r="AW122" s="7" t="s">
        <v>1639</v>
      </c>
      <c r="AX122" s="7" t="s">
        <v>1946</v>
      </c>
      <c r="AY122" s="7" t="s">
        <v>1955</v>
      </c>
      <c r="AZ122" s="7" t="s">
        <v>1650</v>
      </c>
      <c r="BA122" s="7">
        <v>249</v>
      </c>
      <c r="BB122" s="7">
        <v>240</v>
      </c>
      <c r="BC122" s="7" t="s">
        <v>1954</v>
      </c>
      <c r="BD122" s="7">
        <v>53.002099999999999</v>
      </c>
      <c r="BF122" s="7">
        <f>60.8696-BD122</f>
        <v>7.8674999999999997</v>
      </c>
      <c r="BG122" s="7" t="s">
        <v>1952</v>
      </c>
      <c r="BH122" s="7">
        <v>47.619</v>
      </c>
      <c r="BJ122" s="7">
        <f>52.381-BH122</f>
        <v>4.7620000000000005</v>
      </c>
    </row>
    <row r="123" spans="1:63" x14ac:dyDescent="0.2">
      <c r="A123" s="7">
        <v>36</v>
      </c>
      <c r="B123" s="7" t="s">
        <v>1380</v>
      </c>
      <c r="C123" s="7" t="s">
        <v>1379</v>
      </c>
      <c r="D123" s="7" t="s">
        <v>1378</v>
      </c>
      <c r="E123" s="7" t="s">
        <v>1377</v>
      </c>
      <c r="F123" s="7" t="s">
        <v>336</v>
      </c>
      <c r="G123" s="7">
        <v>2018</v>
      </c>
      <c r="H123" s="7">
        <v>43420</v>
      </c>
      <c r="I123" s="7" t="s">
        <v>1376</v>
      </c>
      <c r="J123" s="7" t="s">
        <v>32</v>
      </c>
      <c r="K123" s="7" t="s">
        <v>1375</v>
      </c>
      <c r="L123" s="7">
        <v>2</v>
      </c>
      <c r="M123" s="7" t="s">
        <v>32</v>
      </c>
      <c r="N123" s="7" t="s">
        <v>34</v>
      </c>
      <c r="O123" s="7" t="s">
        <v>190</v>
      </c>
      <c r="P123" s="7" t="s">
        <v>34</v>
      </c>
      <c r="Q123" s="7" t="s">
        <v>34</v>
      </c>
      <c r="R123" s="7" t="s">
        <v>34</v>
      </c>
      <c r="S123" s="7" t="s">
        <v>34</v>
      </c>
      <c r="T123" s="7" t="s">
        <v>34</v>
      </c>
      <c r="U123" s="7" t="s">
        <v>32</v>
      </c>
      <c r="V123" s="7">
        <v>1</v>
      </c>
      <c r="W123" s="7" t="s">
        <v>32</v>
      </c>
      <c r="X123" s="7" t="s">
        <v>32</v>
      </c>
      <c r="Y123" s="7" t="s">
        <v>32</v>
      </c>
      <c r="Z123" s="7" t="s">
        <v>32</v>
      </c>
      <c r="AA123" s="7">
        <v>30429779</v>
      </c>
      <c r="AB123" s="7">
        <v>1</v>
      </c>
      <c r="AD123" s="7">
        <v>4</v>
      </c>
      <c r="AE123" s="24">
        <v>16</v>
      </c>
      <c r="AF123" s="7">
        <v>8</v>
      </c>
      <c r="AG123" s="7">
        <v>8</v>
      </c>
      <c r="AH123" s="7" t="s">
        <v>1642</v>
      </c>
      <c r="AI123" s="7" t="s">
        <v>1642</v>
      </c>
      <c r="AJ123" s="7" t="s">
        <v>1945</v>
      </c>
      <c r="AM123" s="7" t="s">
        <v>1945</v>
      </c>
      <c r="AR123" s="7" t="s">
        <v>1637</v>
      </c>
      <c r="AS123" s="7" t="s">
        <v>1638</v>
      </c>
      <c r="AT123" s="7" t="s">
        <v>1640</v>
      </c>
      <c r="AU123" s="7" t="s">
        <v>178</v>
      </c>
      <c r="AV123" s="7" t="s">
        <v>1653</v>
      </c>
      <c r="AW123" s="7" t="s">
        <v>1639</v>
      </c>
      <c r="AX123" s="7" t="s">
        <v>1946</v>
      </c>
      <c r="AY123" s="7" t="s">
        <v>1881</v>
      </c>
      <c r="AZ123" s="7" t="s">
        <v>1650</v>
      </c>
      <c r="BA123" s="7">
        <v>249</v>
      </c>
      <c r="BB123" s="7">
        <v>240</v>
      </c>
      <c r="BC123" s="7" t="s">
        <v>1956</v>
      </c>
      <c r="BD123" s="7">
        <v>68.644300000000001</v>
      </c>
      <c r="BF123" s="7">
        <f>79.0175-BD123</f>
        <v>10.373199999999997</v>
      </c>
      <c r="BG123" s="7" t="s">
        <v>1959</v>
      </c>
      <c r="BH123" s="7">
        <v>32.544199999999996</v>
      </c>
      <c r="BJ123" s="7">
        <f>35.0341-BH123</f>
        <v>2.4899000000000058</v>
      </c>
    </row>
    <row r="124" spans="1:63" x14ac:dyDescent="0.2">
      <c r="A124" s="7">
        <v>36</v>
      </c>
      <c r="B124" s="7" t="s">
        <v>1380</v>
      </c>
      <c r="C124" s="7" t="s">
        <v>1379</v>
      </c>
      <c r="D124" s="7" t="s">
        <v>1378</v>
      </c>
      <c r="E124" s="7" t="s">
        <v>1377</v>
      </c>
      <c r="F124" s="7" t="s">
        <v>336</v>
      </c>
      <c r="G124" s="7">
        <v>2018</v>
      </c>
      <c r="H124" s="7">
        <v>43420</v>
      </c>
      <c r="I124" s="7" t="s">
        <v>1376</v>
      </c>
      <c r="J124" s="7" t="s">
        <v>32</v>
      </c>
      <c r="K124" s="7" t="s">
        <v>1375</v>
      </c>
      <c r="L124" s="7">
        <v>2</v>
      </c>
      <c r="M124" s="7" t="s">
        <v>32</v>
      </c>
      <c r="N124" s="7" t="s">
        <v>34</v>
      </c>
      <c r="O124" s="7" t="s">
        <v>190</v>
      </c>
      <c r="P124" s="7" t="s">
        <v>34</v>
      </c>
      <c r="Q124" s="7" t="s">
        <v>34</v>
      </c>
      <c r="R124" s="7" t="s">
        <v>34</v>
      </c>
      <c r="S124" s="7" t="s">
        <v>34</v>
      </c>
      <c r="T124" s="7" t="s">
        <v>34</v>
      </c>
      <c r="U124" s="7" t="s">
        <v>32</v>
      </c>
      <c r="V124" s="7">
        <v>1</v>
      </c>
      <c r="W124" s="7" t="s">
        <v>32</v>
      </c>
      <c r="X124" s="7" t="s">
        <v>32</v>
      </c>
      <c r="Y124" s="7" t="s">
        <v>32</v>
      </c>
      <c r="Z124" s="7" t="s">
        <v>32</v>
      </c>
      <c r="AA124" s="7">
        <v>30429779</v>
      </c>
      <c r="AB124" s="7">
        <v>1</v>
      </c>
      <c r="AD124" s="7">
        <v>4</v>
      </c>
      <c r="AE124" s="24">
        <v>16</v>
      </c>
      <c r="AF124" s="7">
        <v>8</v>
      </c>
      <c r="AG124" s="7">
        <v>8</v>
      </c>
      <c r="AH124" s="7" t="s">
        <v>1642</v>
      </c>
      <c r="AI124" s="7" t="s">
        <v>1642</v>
      </c>
      <c r="AJ124" s="7" t="s">
        <v>1945</v>
      </c>
      <c r="AM124" s="7" t="s">
        <v>1945</v>
      </c>
      <c r="AR124" s="7" t="s">
        <v>1637</v>
      </c>
      <c r="AS124" s="7" t="s">
        <v>1638</v>
      </c>
      <c r="AT124" s="7" t="s">
        <v>1640</v>
      </c>
      <c r="AU124" s="7" t="s">
        <v>178</v>
      </c>
      <c r="AV124" s="7" t="s">
        <v>1653</v>
      </c>
      <c r="AW124" s="7" t="s">
        <v>1639</v>
      </c>
      <c r="AX124" s="7" t="s">
        <v>1946</v>
      </c>
      <c r="AY124" s="7" t="s">
        <v>1881</v>
      </c>
      <c r="AZ124" s="7" t="s">
        <v>1650</v>
      </c>
      <c r="BA124" s="7">
        <v>249</v>
      </c>
      <c r="BB124" s="7">
        <v>240</v>
      </c>
      <c r="BC124" s="7" t="s">
        <v>1957</v>
      </c>
      <c r="BD124" s="7">
        <v>66.286299999999997</v>
      </c>
      <c r="BF124" s="7">
        <f>75.2077-BD124</f>
        <v>8.9214000000000055</v>
      </c>
      <c r="BG124" s="7" t="s">
        <v>1960</v>
      </c>
      <c r="BH124" s="7">
        <v>29.564299999999999</v>
      </c>
      <c r="BJ124" s="7">
        <f>32.8841-BH124</f>
        <v>3.3197999999999972</v>
      </c>
    </row>
    <row r="125" spans="1:63" x14ac:dyDescent="0.2">
      <c r="A125" s="7">
        <v>36</v>
      </c>
      <c r="B125" s="7" t="s">
        <v>1380</v>
      </c>
      <c r="C125" s="7" t="s">
        <v>1379</v>
      </c>
      <c r="D125" s="7" t="s">
        <v>1378</v>
      </c>
      <c r="E125" s="7" t="s">
        <v>1377</v>
      </c>
      <c r="F125" s="7" t="s">
        <v>336</v>
      </c>
      <c r="G125" s="7">
        <v>2018</v>
      </c>
      <c r="H125" s="7">
        <v>43420</v>
      </c>
      <c r="I125" s="7" t="s">
        <v>1376</v>
      </c>
      <c r="J125" s="7" t="s">
        <v>32</v>
      </c>
      <c r="K125" s="7" t="s">
        <v>1375</v>
      </c>
      <c r="L125" s="7">
        <v>2</v>
      </c>
      <c r="M125" s="7" t="s">
        <v>32</v>
      </c>
      <c r="N125" s="7" t="s">
        <v>34</v>
      </c>
      <c r="O125" s="7" t="s">
        <v>190</v>
      </c>
      <c r="P125" s="7" t="s">
        <v>34</v>
      </c>
      <c r="Q125" s="7" t="s">
        <v>34</v>
      </c>
      <c r="R125" s="7" t="s">
        <v>34</v>
      </c>
      <c r="S125" s="7" t="s">
        <v>34</v>
      </c>
      <c r="T125" s="7" t="s">
        <v>34</v>
      </c>
      <c r="U125" s="7" t="s">
        <v>32</v>
      </c>
      <c r="V125" s="7">
        <v>1</v>
      </c>
      <c r="W125" s="7" t="s">
        <v>32</v>
      </c>
      <c r="X125" s="7" t="s">
        <v>32</v>
      </c>
      <c r="Y125" s="7" t="s">
        <v>32</v>
      </c>
      <c r="Z125" s="7" t="s">
        <v>32</v>
      </c>
      <c r="AA125" s="7">
        <v>30429779</v>
      </c>
      <c r="AB125" s="7">
        <v>1</v>
      </c>
      <c r="AD125" s="7">
        <v>4</v>
      </c>
      <c r="AE125" s="24">
        <v>16</v>
      </c>
      <c r="AF125" s="7">
        <v>8</v>
      </c>
      <c r="AG125" s="7">
        <v>8</v>
      </c>
      <c r="AH125" s="7" t="s">
        <v>1642</v>
      </c>
      <c r="AI125" s="7" t="s">
        <v>1642</v>
      </c>
      <c r="AJ125" s="7" t="s">
        <v>1945</v>
      </c>
      <c r="AM125" s="7" t="s">
        <v>1945</v>
      </c>
      <c r="AR125" s="7" t="s">
        <v>1637</v>
      </c>
      <c r="AS125" s="7" t="s">
        <v>1638</v>
      </c>
      <c r="AT125" s="7" t="s">
        <v>1640</v>
      </c>
      <c r="AU125" s="7" t="s">
        <v>178</v>
      </c>
      <c r="AV125" s="7" t="s">
        <v>1653</v>
      </c>
      <c r="AW125" s="7" t="s">
        <v>1639</v>
      </c>
      <c r="AX125" s="7" t="s">
        <v>1946</v>
      </c>
      <c r="AY125" s="7" t="s">
        <v>1881</v>
      </c>
      <c r="AZ125" s="7" t="s">
        <v>1650</v>
      </c>
      <c r="BA125" s="7">
        <v>249</v>
      </c>
      <c r="BB125" s="7">
        <v>240</v>
      </c>
      <c r="BC125" s="7" t="s">
        <v>1958</v>
      </c>
      <c r="BD125" s="7">
        <v>58.515999999999998</v>
      </c>
      <c r="BF125" s="7">
        <f>67.2297-BD125</f>
        <v>8.7136999999999958</v>
      </c>
      <c r="BG125" s="7" t="s">
        <v>1961</v>
      </c>
      <c r="BH125" s="7">
        <v>39.843800000000002</v>
      </c>
      <c r="BJ125" s="7">
        <f>46.4825-BH125</f>
        <v>6.6387</v>
      </c>
    </row>
    <row r="126" spans="1:63" x14ac:dyDescent="0.2">
      <c r="A126" s="7">
        <v>36</v>
      </c>
      <c r="B126" s="7" t="s">
        <v>1380</v>
      </c>
      <c r="C126" s="7" t="s">
        <v>1379</v>
      </c>
      <c r="D126" s="7" t="s">
        <v>1378</v>
      </c>
      <c r="E126" s="7" t="s">
        <v>1377</v>
      </c>
      <c r="F126" s="7" t="s">
        <v>336</v>
      </c>
      <c r="G126" s="7">
        <v>2018</v>
      </c>
      <c r="H126" s="7">
        <v>43420</v>
      </c>
      <c r="I126" s="7" t="s">
        <v>1376</v>
      </c>
      <c r="J126" s="7" t="s">
        <v>32</v>
      </c>
      <c r="K126" s="7" t="s">
        <v>1375</v>
      </c>
      <c r="L126" s="7">
        <v>2</v>
      </c>
      <c r="M126" s="7" t="s">
        <v>32</v>
      </c>
      <c r="N126" s="7" t="s">
        <v>34</v>
      </c>
      <c r="O126" s="7" t="s">
        <v>190</v>
      </c>
      <c r="P126" s="7" t="s">
        <v>34</v>
      </c>
      <c r="Q126" s="7" t="s">
        <v>34</v>
      </c>
      <c r="R126" s="7" t="s">
        <v>34</v>
      </c>
      <c r="S126" s="7" t="s">
        <v>34</v>
      </c>
      <c r="T126" s="7" t="s">
        <v>34</v>
      </c>
      <c r="U126" s="7" t="s">
        <v>32</v>
      </c>
      <c r="V126" s="7">
        <v>1</v>
      </c>
      <c r="W126" s="7" t="s">
        <v>32</v>
      </c>
      <c r="X126" s="7" t="s">
        <v>32</v>
      </c>
      <c r="Y126" s="7" t="s">
        <v>32</v>
      </c>
      <c r="Z126" s="7" t="s">
        <v>32</v>
      </c>
      <c r="AA126" s="7">
        <v>30429779</v>
      </c>
      <c r="AB126" s="7">
        <v>1</v>
      </c>
      <c r="AD126" s="7">
        <v>4</v>
      </c>
      <c r="AE126" s="24">
        <v>16</v>
      </c>
      <c r="AF126" s="7">
        <v>8</v>
      </c>
      <c r="AG126" s="7">
        <v>8</v>
      </c>
      <c r="AH126" s="7" t="s">
        <v>1642</v>
      </c>
      <c r="AI126" s="7" t="s">
        <v>1642</v>
      </c>
      <c r="AJ126" s="7" t="s">
        <v>1945</v>
      </c>
      <c r="AM126" s="7" t="s">
        <v>1945</v>
      </c>
      <c r="AR126" s="7" t="s">
        <v>1637</v>
      </c>
      <c r="AS126" s="7" t="s">
        <v>1638</v>
      </c>
      <c r="AT126" s="7" t="s">
        <v>1640</v>
      </c>
      <c r="AU126" s="7" t="s">
        <v>178</v>
      </c>
      <c r="AV126" s="7" t="s">
        <v>1653</v>
      </c>
      <c r="AW126" s="7" t="s">
        <v>1639</v>
      </c>
      <c r="AX126" s="7" t="s">
        <v>1946</v>
      </c>
      <c r="AY126" s="7" t="s">
        <v>1679</v>
      </c>
      <c r="AZ126" s="7" t="s">
        <v>1650</v>
      </c>
      <c r="BA126" s="7">
        <v>250</v>
      </c>
      <c r="BB126" s="7">
        <v>241</v>
      </c>
      <c r="BC126" s="7" t="s">
        <v>2014</v>
      </c>
      <c r="BD126" s="7">
        <v>42.403300000000002</v>
      </c>
      <c r="BF126" s="7">
        <f>49.8619-BD126</f>
        <v>7.458599999999997</v>
      </c>
      <c r="BG126" s="7" t="s">
        <v>2013</v>
      </c>
      <c r="BH126" s="7">
        <v>42.610500000000002</v>
      </c>
      <c r="BJ126" s="7">
        <f>50.4834-BH126</f>
        <v>7.8729000000000013</v>
      </c>
      <c r="BK126" s="40"/>
    </row>
    <row r="127" spans="1:63" x14ac:dyDescent="0.2">
      <c r="A127" s="7">
        <v>36</v>
      </c>
      <c r="B127" s="7" t="s">
        <v>1380</v>
      </c>
      <c r="C127" s="7" t="s">
        <v>1379</v>
      </c>
      <c r="D127" s="7" t="s">
        <v>1378</v>
      </c>
      <c r="E127" s="7" t="s">
        <v>1377</v>
      </c>
      <c r="F127" s="7" t="s">
        <v>336</v>
      </c>
      <c r="G127" s="7">
        <v>2018</v>
      </c>
      <c r="H127" s="7">
        <v>43420</v>
      </c>
      <c r="I127" s="7" t="s">
        <v>1376</v>
      </c>
      <c r="J127" s="7" t="s">
        <v>32</v>
      </c>
      <c r="K127" s="7" t="s">
        <v>1375</v>
      </c>
      <c r="L127" s="7">
        <v>2</v>
      </c>
      <c r="M127" s="7" t="s">
        <v>32</v>
      </c>
      <c r="N127" s="7" t="s">
        <v>34</v>
      </c>
      <c r="O127" s="7" t="s">
        <v>190</v>
      </c>
      <c r="P127" s="7" t="s">
        <v>34</v>
      </c>
      <c r="Q127" s="7" t="s">
        <v>34</v>
      </c>
      <c r="R127" s="7" t="s">
        <v>34</v>
      </c>
      <c r="S127" s="7" t="s">
        <v>34</v>
      </c>
      <c r="T127" s="7" t="s">
        <v>34</v>
      </c>
      <c r="U127" s="7" t="s">
        <v>32</v>
      </c>
      <c r="V127" s="7">
        <v>1</v>
      </c>
      <c r="W127" s="7" t="s">
        <v>32</v>
      </c>
      <c r="X127" s="7" t="s">
        <v>32</v>
      </c>
      <c r="Y127" s="7" t="s">
        <v>32</v>
      </c>
      <c r="Z127" s="7" t="s">
        <v>32</v>
      </c>
      <c r="AA127" s="7">
        <v>30429779</v>
      </c>
      <c r="AB127" s="7">
        <v>1</v>
      </c>
      <c r="AD127" s="7">
        <v>4</v>
      </c>
      <c r="AE127" s="24">
        <v>16</v>
      </c>
      <c r="AF127" s="7">
        <v>8</v>
      </c>
      <c r="AG127" s="7">
        <v>8</v>
      </c>
      <c r="AH127" s="7" t="s">
        <v>1642</v>
      </c>
      <c r="AI127" s="7" t="s">
        <v>1642</v>
      </c>
      <c r="AJ127" s="7" t="s">
        <v>1945</v>
      </c>
      <c r="AM127" s="7" t="s">
        <v>1945</v>
      </c>
      <c r="AR127" s="7" t="s">
        <v>1637</v>
      </c>
      <c r="AS127" s="7" t="s">
        <v>1638</v>
      </c>
      <c r="AT127" s="7" t="s">
        <v>1640</v>
      </c>
      <c r="AU127" s="7" t="s">
        <v>178</v>
      </c>
      <c r="AV127" s="7" t="s">
        <v>1653</v>
      </c>
      <c r="AW127" s="7" t="s">
        <v>1639</v>
      </c>
      <c r="AX127" s="7" t="s">
        <v>1946</v>
      </c>
      <c r="AY127" s="7" t="s">
        <v>1679</v>
      </c>
      <c r="AZ127" s="7" t="s">
        <v>1650</v>
      </c>
      <c r="BA127" s="7">
        <v>250</v>
      </c>
      <c r="BB127" s="7">
        <v>241</v>
      </c>
      <c r="BC127" s="7" t="s">
        <v>1947</v>
      </c>
      <c r="BD127" s="7">
        <v>68.508300000000006</v>
      </c>
      <c r="BF127" s="7">
        <f>72.2376-BD127</f>
        <v>3.729299999999995</v>
      </c>
      <c r="BG127" s="7" t="s">
        <v>1948</v>
      </c>
      <c r="BH127" s="7">
        <v>72.444699999999997</v>
      </c>
      <c r="BJ127" s="7">
        <f>78.8674-BH127</f>
        <v>6.4227000000000061</v>
      </c>
      <c r="BK127" s="40"/>
    </row>
    <row r="128" spans="1:63" x14ac:dyDescent="0.2">
      <c r="A128" s="7">
        <v>36</v>
      </c>
      <c r="B128" s="7" t="s">
        <v>1380</v>
      </c>
      <c r="C128" s="7" t="s">
        <v>1379</v>
      </c>
      <c r="D128" s="7" t="s">
        <v>1378</v>
      </c>
      <c r="E128" s="7" t="s">
        <v>1377</v>
      </c>
      <c r="F128" s="7" t="s">
        <v>336</v>
      </c>
      <c r="G128" s="7">
        <v>2018</v>
      </c>
      <c r="H128" s="7">
        <v>43420</v>
      </c>
      <c r="I128" s="7" t="s">
        <v>1376</v>
      </c>
      <c r="J128" s="7" t="s">
        <v>32</v>
      </c>
      <c r="K128" s="7" t="s">
        <v>1375</v>
      </c>
      <c r="L128" s="7">
        <v>2</v>
      </c>
      <c r="M128" s="7" t="s">
        <v>32</v>
      </c>
      <c r="N128" s="7" t="s">
        <v>34</v>
      </c>
      <c r="O128" s="7" t="s">
        <v>190</v>
      </c>
      <c r="P128" s="7" t="s">
        <v>34</v>
      </c>
      <c r="Q128" s="7" t="s">
        <v>34</v>
      </c>
      <c r="R128" s="7" t="s">
        <v>34</v>
      </c>
      <c r="S128" s="7" t="s">
        <v>34</v>
      </c>
      <c r="T128" s="7" t="s">
        <v>34</v>
      </c>
      <c r="U128" s="7" t="s">
        <v>32</v>
      </c>
      <c r="V128" s="7">
        <v>1</v>
      </c>
      <c r="W128" s="7" t="s">
        <v>32</v>
      </c>
      <c r="X128" s="7" t="s">
        <v>32</v>
      </c>
      <c r="Y128" s="7" t="s">
        <v>32</v>
      </c>
      <c r="Z128" s="7" t="s">
        <v>32</v>
      </c>
      <c r="AA128" s="7">
        <v>30429779</v>
      </c>
      <c r="AB128" s="7">
        <v>1</v>
      </c>
      <c r="AD128" s="7">
        <v>4</v>
      </c>
      <c r="AE128" s="24">
        <v>16</v>
      </c>
      <c r="AF128" s="7">
        <v>8</v>
      </c>
      <c r="AG128" s="7">
        <v>8</v>
      </c>
      <c r="AH128" s="7" t="s">
        <v>1642</v>
      </c>
      <c r="AI128" s="7" t="s">
        <v>1642</v>
      </c>
      <c r="AJ128" s="7" t="s">
        <v>1945</v>
      </c>
      <c r="AM128" s="7" t="s">
        <v>1945</v>
      </c>
      <c r="AR128" s="7" t="s">
        <v>1637</v>
      </c>
      <c r="AS128" s="7" t="s">
        <v>1638</v>
      </c>
      <c r="AT128" s="7" t="s">
        <v>1640</v>
      </c>
      <c r="AU128" s="7" t="s">
        <v>178</v>
      </c>
      <c r="AV128" s="7" t="s">
        <v>1653</v>
      </c>
      <c r="AW128" s="7" t="s">
        <v>1639</v>
      </c>
      <c r="AX128" s="7" t="s">
        <v>1946</v>
      </c>
      <c r="AY128" s="7" t="s">
        <v>1955</v>
      </c>
      <c r="AZ128" s="7" t="s">
        <v>1650</v>
      </c>
      <c r="BA128" s="7">
        <v>250</v>
      </c>
      <c r="BB128" s="7">
        <v>241</v>
      </c>
      <c r="BC128" s="7" t="s">
        <v>1949</v>
      </c>
      <c r="BD128" s="7">
        <v>85.1464</v>
      </c>
      <c r="BF128" s="7">
        <f>91.6318-BD128</f>
        <v>6.4853999999999985</v>
      </c>
      <c r="BG128" s="7" t="s">
        <v>1950</v>
      </c>
      <c r="BH128" s="7">
        <v>64.435199999999995</v>
      </c>
      <c r="BJ128" s="7">
        <f>70.5021-BH128</f>
        <v>6.066900000000004</v>
      </c>
      <c r="BK128" s="40"/>
    </row>
    <row r="129" spans="1:63" x14ac:dyDescent="0.2">
      <c r="A129" s="7">
        <v>36</v>
      </c>
      <c r="B129" s="7" t="s">
        <v>1380</v>
      </c>
      <c r="C129" s="7" t="s">
        <v>1379</v>
      </c>
      <c r="D129" s="7" t="s">
        <v>1378</v>
      </c>
      <c r="E129" s="7" t="s">
        <v>1377</v>
      </c>
      <c r="F129" s="7" t="s">
        <v>336</v>
      </c>
      <c r="G129" s="7">
        <v>2018</v>
      </c>
      <c r="H129" s="7">
        <v>43420</v>
      </c>
      <c r="I129" s="7" t="s">
        <v>1376</v>
      </c>
      <c r="J129" s="7" t="s">
        <v>32</v>
      </c>
      <c r="K129" s="7" t="s">
        <v>1375</v>
      </c>
      <c r="L129" s="7">
        <v>2</v>
      </c>
      <c r="M129" s="7" t="s">
        <v>32</v>
      </c>
      <c r="N129" s="7" t="s">
        <v>34</v>
      </c>
      <c r="O129" s="7" t="s">
        <v>190</v>
      </c>
      <c r="P129" s="7" t="s">
        <v>34</v>
      </c>
      <c r="Q129" s="7" t="s">
        <v>34</v>
      </c>
      <c r="R129" s="7" t="s">
        <v>34</v>
      </c>
      <c r="S129" s="7" t="s">
        <v>34</v>
      </c>
      <c r="T129" s="7" t="s">
        <v>34</v>
      </c>
      <c r="U129" s="7" t="s">
        <v>32</v>
      </c>
      <c r="V129" s="7">
        <v>1</v>
      </c>
      <c r="W129" s="7" t="s">
        <v>32</v>
      </c>
      <c r="X129" s="7" t="s">
        <v>32</v>
      </c>
      <c r="Y129" s="7" t="s">
        <v>32</v>
      </c>
      <c r="Z129" s="7" t="s">
        <v>32</v>
      </c>
      <c r="AA129" s="7">
        <v>30429779</v>
      </c>
      <c r="AB129" s="7">
        <v>1</v>
      </c>
      <c r="AD129" s="7">
        <v>4</v>
      </c>
      <c r="AE129" s="24">
        <v>16</v>
      </c>
      <c r="AF129" s="7">
        <v>8</v>
      </c>
      <c r="AG129" s="7">
        <v>8</v>
      </c>
      <c r="AH129" s="7" t="s">
        <v>1642</v>
      </c>
      <c r="AI129" s="7" t="s">
        <v>1642</v>
      </c>
      <c r="AJ129" s="7" t="s">
        <v>1945</v>
      </c>
      <c r="AM129" s="7" t="s">
        <v>1945</v>
      </c>
      <c r="AR129" s="7" t="s">
        <v>1637</v>
      </c>
      <c r="AS129" s="7" t="s">
        <v>1638</v>
      </c>
      <c r="AT129" s="7" t="s">
        <v>1640</v>
      </c>
      <c r="AU129" s="7" t="s">
        <v>178</v>
      </c>
      <c r="AV129" s="7" t="s">
        <v>1653</v>
      </c>
      <c r="AW129" s="7" t="s">
        <v>1639</v>
      </c>
      <c r="AX129" s="7" t="s">
        <v>1946</v>
      </c>
      <c r="AY129" s="7" t="s">
        <v>1955</v>
      </c>
      <c r="AZ129" s="7" t="s">
        <v>1650</v>
      </c>
      <c r="BA129" s="7">
        <v>250</v>
      </c>
      <c r="BB129" s="7">
        <v>241</v>
      </c>
      <c r="BC129" s="7" t="s">
        <v>1953</v>
      </c>
      <c r="BD129" s="7">
        <v>73.430999999999997</v>
      </c>
      <c r="BF129" s="7">
        <f>82.8452-BD129</f>
        <v>9.4142000000000081</v>
      </c>
      <c r="BG129" s="7" t="s">
        <v>1951</v>
      </c>
      <c r="BH129" s="7">
        <v>50.209200000000003</v>
      </c>
      <c r="BJ129" s="7">
        <f>57.113-BH129</f>
        <v>6.9037999999999968</v>
      </c>
    </row>
    <row r="130" spans="1:63" x14ac:dyDescent="0.2">
      <c r="A130" s="7">
        <v>36</v>
      </c>
      <c r="B130" s="7" t="s">
        <v>1380</v>
      </c>
      <c r="C130" s="7" t="s">
        <v>1379</v>
      </c>
      <c r="D130" s="7" t="s">
        <v>1378</v>
      </c>
      <c r="E130" s="7" t="s">
        <v>1377</v>
      </c>
      <c r="F130" s="7" t="s">
        <v>336</v>
      </c>
      <c r="G130" s="7">
        <v>2018</v>
      </c>
      <c r="H130" s="7">
        <v>43420</v>
      </c>
      <c r="I130" s="7" t="s">
        <v>1376</v>
      </c>
      <c r="J130" s="7" t="s">
        <v>32</v>
      </c>
      <c r="K130" s="7" t="s">
        <v>1375</v>
      </c>
      <c r="L130" s="7">
        <v>2</v>
      </c>
      <c r="M130" s="7" t="s">
        <v>32</v>
      </c>
      <c r="N130" s="7" t="s">
        <v>34</v>
      </c>
      <c r="O130" s="7" t="s">
        <v>190</v>
      </c>
      <c r="P130" s="7" t="s">
        <v>34</v>
      </c>
      <c r="Q130" s="7" t="s">
        <v>34</v>
      </c>
      <c r="R130" s="7" t="s">
        <v>34</v>
      </c>
      <c r="S130" s="7" t="s">
        <v>34</v>
      </c>
      <c r="T130" s="7" t="s">
        <v>34</v>
      </c>
      <c r="U130" s="7" t="s">
        <v>32</v>
      </c>
      <c r="V130" s="7">
        <v>1</v>
      </c>
      <c r="W130" s="7" t="s">
        <v>32</v>
      </c>
      <c r="X130" s="7" t="s">
        <v>32</v>
      </c>
      <c r="Y130" s="7" t="s">
        <v>32</v>
      </c>
      <c r="Z130" s="7" t="s">
        <v>32</v>
      </c>
      <c r="AA130" s="7">
        <v>30429779</v>
      </c>
      <c r="AB130" s="7">
        <v>1</v>
      </c>
      <c r="AD130" s="7">
        <v>4</v>
      </c>
      <c r="AE130" s="24">
        <v>16</v>
      </c>
      <c r="AF130" s="7">
        <v>8</v>
      </c>
      <c r="AG130" s="7">
        <v>8</v>
      </c>
      <c r="AH130" s="7" t="s">
        <v>1642</v>
      </c>
      <c r="AI130" s="7" t="s">
        <v>1642</v>
      </c>
      <c r="AJ130" s="7" t="s">
        <v>1945</v>
      </c>
      <c r="AM130" s="7" t="s">
        <v>1945</v>
      </c>
      <c r="AR130" s="7" t="s">
        <v>1637</v>
      </c>
      <c r="AS130" s="7" t="s">
        <v>1638</v>
      </c>
      <c r="AT130" s="7" t="s">
        <v>1640</v>
      </c>
      <c r="AU130" s="7" t="s">
        <v>178</v>
      </c>
      <c r="AV130" s="7" t="s">
        <v>1653</v>
      </c>
      <c r="AW130" s="7" t="s">
        <v>1639</v>
      </c>
      <c r="AX130" s="7" t="s">
        <v>1946</v>
      </c>
      <c r="AY130" s="7" t="s">
        <v>1955</v>
      </c>
      <c r="AZ130" s="7" t="s">
        <v>1650</v>
      </c>
      <c r="BA130" s="7">
        <v>250</v>
      </c>
      <c r="BB130" s="7">
        <v>241</v>
      </c>
      <c r="BC130" s="7" t="s">
        <v>1954</v>
      </c>
      <c r="BD130" s="7">
        <v>67.782399999999996</v>
      </c>
      <c r="BF130" s="7">
        <f>75.523-BD130</f>
        <v>7.7406000000000006</v>
      </c>
      <c r="BG130" s="7" t="s">
        <v>1952</v>
      </c>
      <c r="BH130" s="7">
        <v>56.066899999999997</v>
      </c>
      <c r="BJ130" s="7">
        <f>62.7615-BH130</f>
        <v>6.6946000000000012</v>
      </c>
    </row>
    <row r="131" spans="1:63" x14ac:dyDescent="0.2">
      <c r="A131" s="7">
        <v>36</v>
      </c>
      <c r="B131" s="7" t="s">
        <v>1380</v>
      </c>
      <c r="C131" s="7" t="s">
        <v>1379</v>
      </c>
      <c r="D131" s="7" t="s">
        <v>1378</v>
      </c>
      <c r="E131" s="7" t="s">
        <v>1377</v>
      </c>
      <c r="F131" s="7" t="s">
        <v>336</v>
      </c>
      <c r="G131" s="7">
        <v>2018</v>
      </c>
      <c r="H131" s="7">
        <v>43420</v>
      </c>
      <c r="I131" s="7" t="s">
        <v>1376</v>
      </c>
      <c r="J131" s="7" t="s">
        <v>32</v>
      </c>
      <c r="K131" s="7" t="s">
        <v>1375</v>
      </c>
      <c r="L131" s="7">
        <v>2</v>
      </c>
      <c r="M131" s="7" t="s">
        <v>32</v>
      </c>
      <c r="N131" s="7" t="s">
        <v>34</v>
      </c>
      <c r="O131" s="7" t="s">
        <v>190</v>
      </c>
      <c r="P131" s="7" t="s">
        <v>34</v>
      </c>
      <c r="Q131" s="7" t="s">
        <v>34</v>
      </c>
      <c r="R131" s="7" t="s">
        <v>34</v>
      </c>
      <c r="S131" s="7" t="s">
        <v>34</v>
      </c>
      <c r="T131" s="7" t="s">
        <v>34</v>
      </c>
      <c r="U131" s="7" t="s">
        <v>32</v>
      </c>
      <c r="V131" s="7">
        <v>1</v>
      </c>
      <c r="W131" s="7" t="s">
        <v>32</v>
      </c>
      <c r="X131" s="7" t="s">
        <v>32</v>
      </c>
      <c r="Y131" s="7" t="s">
        <v>32</v>
      </c>
      <c r="Z131" s="7" t="s">
        <v>32</v>
      </c>
      <c r="AA131" s="7">
        <v>30429779</v>
      </c>
      <c r="AB131" s="7">
        <v>1</v>
      </c>
      <c r="AD131" s="7">
        <v>4</v>
      </c>
      <c r="AE131" s="24">
        <v>16</v>
      </c>
      <c r="AF131" s="7">
        <v>8</v>
      </c>
      <c r="AG131" s="7">
        <v>8</v>
      </c>
      <c r="AH131" s="7" t="s">
        <v>1642</v>
      </c>
      <c r="AI131" s="7" t="s">
        <v>1642</v>
      </c>
      <c r="AJ131" s="7" t="s">
        <v>1945</v>
      </c>
      <c r="AM131" s="7" t="s">
        <v>1945</v>
      </c>
      <c r="AR131" s="7" t="s">
        <v>1637</v>
      </c>
      <c r="AS131" s="7" t="s">
        <v>1638</v>
      </c>
      <c r="AT131" s="7" t="s">
        <v>1640</v>
      </c>
      <c r="AU131" s="7" t="s">
        <v>178</v>
      </c>
      <c r="AV131" s="7" t="s">
        <v>1653</v>
      </c>
      <c r="AW131" s="7" t="s">
        <v>1639</v>
      </c>
      <c r="AX131" s="7" t="s">
        <v>1946</v>
      </c>
      <c r="AY131" s="7" t="s">
        <v>1881</v>
      </c>
      <c r="AZ131" s="7" t="s">
        <v>1650</v>
      </c>
      <c r="BA131" s="7">
        <v>250</v>
      </c>
      <c r="BB131" s="7">
        <v>241</v>
      </c>
      <c r="BC131" s="7" t="s">
        <v>1956</v>
      </c>
      <c r="BD131" s="7">
        <v>48.6145</v>
      </c>
      <c r="BF131" s="7">
        <f>BD131-41.934</f>
        <v>6.6805000000000021</v>
      </c>
      <c r="BG131" s="7" t="s">
        <v>1959</v>
      </c>
      <c r="BH131" s="7">
        <v>35.670900000000003</v>
      </c>
      <c r="BJ131" s="7">
        <f>BH131-30.243</f>
        <v>5.4279000000000046</v>
      </c>
    </row>
    <row r="132" spans="1:63" x14ac:dyDescent="0.2">
      <c r="A132" s="7">
        <v>36</v>
      </c>
      <c r="B132" s="7" t="s">
        <v>1380</v>
      </c>
      <c r="C132" s="7" t="s">
        <v>1379</v>
      </c>
      <c r="D132" s="7" t="s">
        <v>1378</v>
      </c>
      <c r="E132" s="7" t="s">
        <v>1377</v>
      </c>
      <c r="F132" s="7" t="s">
        <v>336</v>
      </c>
      <c r="G132" s="7">
        <v>2018</v>
      </c>
      <c r="H132" s="7">
        <v>43420</v>
      </c>
      <c r="I132" s="7" t="s">
        <v>1376</v>
      </c>
      <c r="J132" s="7" t="s">
        <v>32</v>
      </c>
      <c r="K132" s="7" t="s">
        <v>1375</v>
      </c>
      <c r="L132" s="7">
        <v>2</v>
      </c>
      <c r="M132" s="7" t="s">
        <v>32</v>
      </c>
      <c r="N132" s="7" t="s">
        <v>34</v>
      </c>
      <c r="O132" s="7" t="s">
        <v>190</v>
      </c>
      <c r="P132" s="7" t="s">
        <v>34</v>
      </c>
      <c r="Q132" s="7" t="s">
        <v>34</v>
      </c>
      <c r="R132" s="7" t="s">
        <v>34</v>
      </c>
      <c r="S132" s="7" t="s">
        <v>34</v>
      </c>
      <c r="T132" s="7" t="s">
        <v>34</v>
      </c>
      <c r="U132" s="7" t="s">
        <v>32</v>
      </c>
      <c r="V132" s="7">
        <v>1</v>
      </c>
      <c r="W132" s="7" t="s">
        <v>32</v>
      </c>
      <c r="X132" s="7" t="s">
        <v>32</v>
      </c>
      <c r="Y132" s="7" t="s">
        <v>32</v>
      </c>
      <c r="Z132" s="7" t="s">
        <v>32</v>
      </c>
      <c r="AA132" s="7">
        <v>30429779</v>
      </c>
      <c r="AB132" s="7">
        <v>1</v>
      </c>
      <c r="AD132" s="7">
        <v>4</v>
      </c>
      <c r="AE132" s="24">
        <v>16</v>
      </c>
      <c r="AF132" s="7">
        <v>8</v>
      </c>
      <c r="AG132" s="7">
        <v>8</v>
      </c>
      <c r="AH132" s="7" t="s">
        <v>1642</v>
      </c>
      <c r="AI132" s="7" t="s">
        <v>1642</v>
      </c>
      <c r="AJ132" s="7" t="s">
        <v>1945</v>
      </c>
      <c r="AM132" s="7" t="s">
        <v>1945</v>
      </c>
      <c r="AR132" s="7" t="s">
        <v>1637</v>
      </c>
      <c r="AS132" s="7" t="s">
        <v>1638</v>
      </c>
      <c r="AT132" s="7" t="s">
        <v>1640</v>
      </c>
      <c r="AU132" s="7" t="s">
        <v>178</v>
      </c>
      <c r="AV132" s="7" t="s">
        <v>1653</v>
      </c>
      <c r="AW132" s="7" t="s">
        <v>1639</v>
      </c>
      <c r="AX132" s="7" t="s">
        <v>1946</v>
      </c>
      <c r="AY132" s="7" t="s">
        <v>1881</v>
      </c>
      <c r="AZ132" s="7" t="s">
        <v>1650</v>
      </c>
      <c r="BA132" s="7">
        <v>250</v>
      </c>
      <c r="BB132" s="7">
        <v>241</v>
      </c>
      <c r="BC132" s="7" t="s">
        <v>1957</v>
      </c>
      <c r="BD132" s="7">
        <v>75.052000000000007</v>
      </c>
      <c r="BF132" s="7">
        <f>85.0728-BD132</f>
        <v>10.020799999999994</v>
      </c>
      <c r="BG132" s="7" t="s">
        <v>1960</v>
      </c>
      <c r="BH132" s="7">
        <v>40.1875</v>
      </c>
      <c r="BJ132" s="7">
        <f>BH132-32.8809</f>
        <v>7.3066000000000031</v>
      </c>
    </row>
    <row r="133" spans="1:63" x14ac:dyDescent="0.2">
      <c r="A133" s="7">
        <v>36</v>
      </c>
      <c r="B133" s="7" t="s">
        <v>1380</v>
      </c>
      <c r="C133" s="7" t="s">
        <v>1379</v>
      </c>
      <c r="D133" s="7" t="s">
        <v>1378</v>
      </c>
      <c r="E133" s="7" t="s">
        <v>1377</v>
      </c>
      <c r="F133" s="7" t="s">
        <v>336</v>
      </c>
      <c r="G133" s="7">
        <v>2018</v>
      </c>
      <c r="H133" s="7">
        <v>43420</v>
      </c>
      <c r="I133" s="7" t="s">
        <v>1376</v>
      </c>
      <c r="J133" s="7" t="s">
        <v>32</v>
      </c>
      <c r="K133" s="7" t="s">
        <v>1375</v>
      </c>
      <c r="L133" s="7">
        <v>2</v>
      </c>
      <c r="M133" s="7" t="s">
        <v>32</v>
      </c>
      <c r="N133" s="7" t="s">
        <v>34</v>
      </c>
      <c r="O133" s="7" t="s">
        <v>190</v>
      </c>
      <c r="P133" s="7" t="s">
        <v>34</v>
      </c>
      <c r="Q133" s="7" t="s">
        <v>34</v>
      </c>
      <c r="R133" s="7" t="s">
        <v>34</v>
      </c>
      <c r="S133" s="7" t="s">
        <v>34</v>
      </c>
      <c r="T133" s="7" t="s">
        <v>34</v>
      </c>
      <c r="U133" s="7" t="s">
        <v>32</v>
      </c>
      <c r="V133" s="7">
        <v>1</v>
      </c>
      <c r="W133" s="7" t="s">
        <v>32</v>
      </c>
      <c r="X133" s="7" t="s">
        <v>32</v>
      </c>
      <c r="Y133" s="7" t="s">
        <v>32</v>
      </c>
      <c r="Z133" s="7" t="s">
        <v>32</v>
      </c>
      <c r="AA133" s="7">
        <v>30429779</v>
      </c>
      <c r="AB133" s="7">
        <v>1</v>
      </c>
      <c r="AD133" s="7">
        <v>4</v>
      </c>
      <c r="AE133" s="24">
        <v>16</v>
      </c>
      <c r="AF133" s="7">
        <v>8</v>
      </c>
      <c r="AG133" s="7">
        <v>8</v>
      </c>
      <c r="AH133" s="7" t="s">
        <v>1642</v>
      </c>
      <c r="AI133" s="7" t="s">
        <v>1642</v>
      </c>
      <c r="AJ133" s="7" t="s">
        <v>1945</v>
      </c>
      <c r="AM133" s="7" t="s">
        <v>1945</v>
      </c>
      <c r="AR133" s="7" t="s">
        <v>1637</v>
      </c>
      <c r="AS133" s="7" t="s">
        <v>1638</v>
      </c>
      <c r="AT133" s="7" t="s">
        <v>1640</v>
      </c>
      <c r="AU133" s="7" t="s">
        <v>178</v>
      </c>
      <c r="AV133" s="7" t="s">
        <v>1653</v>
      </c>
      <c r="AW133" s="7" t="s">
        <v>1639</v>
      </c>
      <c r="AX133" s="7" t="s">
        <v>1946</v>
      </c>
      <c r="AY133" s="7" t="s">
        <v>1881</v>
      </c>
      <c r="AZ133" s="7" t="s">
        <v>1650</v>
      </c>
      <c r="BA133" s="7">
        <v>250</v>
      </c>
      <c r="BB133" s="7">
        <v>241</v>
      </c>
      <c r="BC133" s="7" t="s">
        <v>1958</v>
      </c>
      <c r="BD133" s="7">
        <v>55.541499999999999</v>
      </c>
      <c r="BF133" s="7">
        <f>65.7711-BD133</f>
        <v>10.229600000000005</v>
      </c>
      <c r="BG133" s="7" t="s">
        <v>1961</v>
      </c>
      <c r="BH133" s="7">
        <v>43.433199999999999</v>
      </c>
      <c r="BJ133" s="7">
        <f>BH133-36.3348</f>
        <v>7.098399999999998</v>
      </c>
    </row>
    <row r="134" spans="1:63" s="20" customFormat="1" ht="16" customHeight="1" x14ac:dyDescent="0.2">
      <c r="A134" s="20">
        <v>37</v>
      </c>
      <c r="B134" s="20" t="s">
        <v>1374</v>
      </c>
      <c r="C134" s="20" t="s">
        <v>1373</v>
      </c>
      <c r="D134" s="20" t="s">
        <v>1372</v>
      </c>
      <c r="E134" s="20" t="s">
        <v>1371</v>
      </c>
      <c r="F134" s="20" t="s">
        <v>1370</v>
      </c>
      <c r="G134" s="20">
        <v>2018</v>
      </c>
      <c r="H134" s="20">
        <v>43403</v>
      </c>
      <c r="I134" s="20" t="s">
        <v>32</v>
      </c>
      <c r="J134" s="20" t="s">
        <v>32</v>
      </c>
      <c r="K134" s="20" t="s">
        <v>1369</v>
      </c>
      <c r="L134" s="20">
        <v>2</v>
      </c>
      <c r="M134" s="20" t="s">
        <v>1368</v>
      </c>
      <c r="N134" s="20" t="s">
        <v>34</v>
      </c>
      <c r="O134" s="20" t="s">
        <v>34</v>
      </c>
      <c r="P134" s="20" t="s">
        <v>34</v>
      </c>
      <c r="Q134" s="20" t="s">
        <v>34</v>
      </c>
      <c r="R134" s="20" t="s">
        <v>190</v>
      </c>
      <c r="S134" s="20" t="s">
        <v>190</v>
      </c>
      <c r="T134" s="20" t="s">
        <v>34</v>
      </c>
      <c r="U134" s="20" t="s">
        <v>34</v>
      </c>
      <c r="V134" s="20" t="s">
        <v>190</v>
      </c>
      <c r="W134" s="20" t="s">
        <v>178</v>
      </c>
      <c r="X134" s="20">
        <v>1</v>
      </c>
      <c r="Y134" s="20" t="s">
        <v>1367</v>
      </c>
      <c r="Z134" s="20" t="s">
        <v>1366</v>
      </c>
      <c r="AA134" s="20">
        <v>30369604</v>
      </c>
      <c r="AB134" s="20">
        <v>0</v>
      </c>
      <c r="AC134" s="20" t="s">
        <v>2777</v>
      </c>
      <c r="AE134" s="26"/>
      <c r="BK134" s="31" t="s">
        <v>1962</v>
      </c>
    </row>
    <row r="135" spans="1:63" x14ac:dyDescent="0.2">
      <c r="A135" s="7">
        <v>38</v>
      </c>
      <c r="B135" s="7" t="s">
        <v>1365</v>
      </c>
      <c r="C135" s="7" t="s">
        <v>1364</v>
      </c>
      <c r="D135" s="7" t="s">
        <v>1363</v>
      </c>
      <c r="E135" s="7" t="s">
        <v>1297</v>
      </c>
      <c r="F135" s="7" t="s">
        <v>415</v>
      </c>
      <c r="G135" s="7">
        <v>2018</v>
      </c>
      <c r="H135" s="7">
        <v>43387</v>
      </c>
      <c r="I135" s="7" t="s">
        <v>32</v>
      </c>
      <c r="J135" s="7" t="s">
        <v>32</v>
      </c>
      <c r="K135" s="7" t="s">
        <v>1362</v>
      </c>
      <c r="L135" s="7">
        <v>2</v>
      </c>
      <c r="M135" s="7" t="s">
        <v>32</v>
      </c>
      <c r="N135" s="7" t="s">
        <v>34</v>
      </c>
      <c r="O135" s="7" t="s">
        <v>34</v>
      </c>
      <c r="P135" s="7" t="s">
        <v>34</v>
      </c>
      <c r="Q135" s="7" t="s">
        <v>34</v>
      </c>
      <c r="R135" s="7" t="s">
        <v>34</v>
      </c>
      <c r="S135" s="7" t="s">
        <v>34</v>
      </c>
      <c r="T135" s="7" t="s">
        <v>34</v>
      </c>
      <c r="U135" s="7" t="s">
        <v>32</v>
      </c>
      <c r="V135" s="7">
        <v>1</v>
      </c>
      <c r="W135" s="7" t="s">
        <v>32</v>
      </c>
      <c r="X135" s="7" t="s">
        <v>32</v>
      </c>
      <c r="Y135" s="7" t="s">
        <v>32</v>
      </c>
      <c r="Z135" s="7" t="s">
        <v>32</v>
      </c>
      <c r="AA135" s="7">
        <v>30316170</v>
      </c>
      <c r="AB135" s="7">
        <v>1</v>
      </c>
      <c r="AD135" s="7">
        <v>4</v>
      </c>
      <c r="AE135" s="24">
        <v>30</v>
      </c>
      <c r="AF135" s="7">
        <v>15</v>
      </c>
      <c r="AG135" s="7">
        <v>15</v>
      </c>
      <c r="AH135" s="7" t="s">
        <v>1642</v>
      </c>
      <c r="AI135" s="7" t="s">
        <v>1642</v>
      </c>
      <c r="AK135" s="7">
        <v>175</v>
      </c>
      <c r="AN135" s="7">
        <v>175</v>
      </c>
      <c r="AR135" s="7" t="s">
        <v>1637</v>
      </c>
      <c r="AS135" s="7" t="s">
        <v>1638</v>
      </c>
      <c r="AT135" s="7" t="s">
        <v>1729</v>
      </c>
      <c r="AU135" s="7" t="s">
        <v>178</v>
      </c>
      <c r="AV135" s="7" t="s">
        <v>1898</v>
      </c>
      <c r="AW135" s="7" t="s">
        <v>1794</v>
      </c>
      <c r="AX135" s="7" t="s">
        <v>1963</v>
      </c>
      <c r="AY135" s="7" t="s">
        <v>1795</v>
      </c>
      <c r="AZ135" s="7" t="s">
        <v>1650</v>
      </c>
      <c r="BA135" s="7">
        <v>251</v>
      </c>
      <c r="BB135" s="7">
        <v>242</v>
      </c>
      <c r="BC135" s="7" t="s">
        <v>1796</v>
      </c>
      <c r="BD135" s="7">
        <v>3.9651399999999999</v>
      </c>
      <c r="BF135" s="7">
        <f>4.66231-BD135</f>
        <v>0.69716999999999985</v>
      </c>
      <c r="BG135" s="7" t="s">
        <v>1799</v>
      </c>
      <c r="BH135" s="7">
        <v>5.2287600000000003</v>
      </c>
      <c r="BJ135" s="7">
        <f>5.80392-BH135</f>
        <v>0.57515999999999945</v>
      </c>
    </row>
    <row r="136" spans="1:63" x14ac:dyDescent="0.2">
      <c r="A136" s="7">
        <v>38</v>
      </c>
      <c r="B136" s="7" t="s">
        <v>1365</v>
      </c>
      <c r="C136" s="7" t="s">
        <v>1364</v>
      </c>
      <c r="D136" s="7" t="s">
        <v>1363</v>
      </c>
      <c r="E136" s="7" t="s">
        <v>1297</v>
      </c>
      <c r="F136" s="7" t="s">
        <v>415</v>
      </c>
      <c r="G136" s="7">
        <v>2018</v>
      </c>
      <c r="H136" s="7">
        <v>43387</v>
      </c>
      <c r="I136" s="7" t="s">
        <v>32</v>
      </c>
      <c r="J136" s="7" t="s">
        <v>32</v>
      </c>
      <c r="K136" s="7" t="s">
        <v>1362</v>
      </c>
      <c r="L136" s="7">
        <v>2</v>
      </c>
      <c r="M136" s="7" t="s">
        <v>32</v>
      </c>
      <c r="N136" s="7" t="s">
        <v>34</v>
      </c>
      <c r="O136" s="7" t="s">
        <v>34</v>
      </c>
      <c r="P136" s="7" t="s">
        <v>34</v>
      </c>
      <c r="Q136" s="7" t="s">
        <v>34</v>
      </c>
      <c r="R136" s="7" t="s">
        <v>34</v>
      </c>
      <c r="S136" s="7" t="s">
        <v>34</v>
      </c>
      <c r="T136" s="7" t="s">
        <v>34</v>
      </c>
      <c r="U136" s="7" t="s">
        <v>32</v>
      </c>
      <c r="V136" s="7">
        <v>1</v>
      </c>
      <c r="W136" s="7" t="s">
        <v>32</v>
      </c>
      <c r="X136" s="7" t="s">
        <v>32</v>
      </c>
      <c r="Y136" s="7" t="s">
        <v>32</v>
      </c>
      <c r="Z136" s="7" t="s">
        <v>32</v>
      </c>
      <c r="AA136" s="7">
        <v>30316170</v>
      </c>
      <c r="AB136" s="7">
        <v>1</v>
      </c>
      <c r="AD136" s="7">
        <v>4</v>
      </c>
      <c r="AE136" s="24">
        <v>30</v>
      </c>
      <c r="AF136" s="7">
        <v>15</v>
      </c>
      <c r="AG136" s="7">
        <v>15</v>
      </c>
      <c r="AH136" s="7" t="s">
        <v>1642</v>
      </c>
      <c r="AI136" s="7" t="s">
        <v>1642</v>
      </c>
      <c r="AK136" s="7">
        <v>175</v>
      </c>
      <c r="AN136" s="7">
        <v>175</v>
      </c>
      <c r="AR136" s="7" t="s">
        <v>1637</v>
      </c>
      <c r="AS136" s="7" t="s">
        <v>1638</v>
      </c>
      <c r="AT136" s="7" t="s">
        <v>1729</v>
      </c>
      <c r="AU136" s="7" t="s">
        <v>178</v>
      </c>
      <c r="AV136" s="7" t="s">
        <v>1898</v>
      </c>
      <c r="AW136" s="7" t="s">
        <v>1794</v>
      </c>
      <c r="AX136" s="7" t="s">
        <v>1963</v>
      </c>
      <c r="AY136" s="7" t="s">
        <v>1795</v>
      </c>
      <c r="AZ136" s="7" t="s">
        <v>1650</v>
      </c>
      <c r="BA136" s="7">
        <v>251</v>
      </c>
      <c r="BB136" s="7">
        <v>242</v>
      </c>
      <c r="BC136" s="7" t="s">
        <v>1797</v>
      </c>
      <c r="BD136" s="7">
        <v>1.89978</v>
      </c>
      <c r="BF136" s="7">
        <f>2.5098-BD136</f>
        <v>0.61001999999999978</v>
      </c>
      <c r="BG136" s="7" t="s">
        <v>1800</v>
      </c>
      <c r="BH136" s="7">
        <v>1.52505</v>
      </c>
      <c r="BJ136" s="7">
        <f>2.0915-BH136</f>
        <v>0.5664499999999999</v>
      </c>
    </row>
    <row r="137" spans="1:63" x14ac:dyDescent="0.2">
      <c r="A137" s="7">
        <v>38</v>
      </c>
      <c r="B137" s="7" t="s">
        <v>1365</v>
      </c>
      <c r="C137" s="7" t="s">
        <v>1364</v>
      </c>
      <c r="D137" s="7" t="s">
        <v>1363</v>
      </c>
      <c r="E137" s="7" t="s">
        <v>1297</v>
      </c>
      <c r="F137" s="7" t="s">
        <v>415</v>
      </c>
      <c r="G137" s="7">
        <v>2018</v>
      </c>
      <c r="H137" s="7">
        <v>43387</v>
      </c>
      <c r="I137" s="7" t="s">
        <v>32</v>
      </c>
      <c r="J137" s="7" t="s">
        <v>32</v>
      </c>
      <c r="K137" s="7" t="s">
        <v>1362</v>
      </c>
      <c r="L137" s="7">
        <v>2</v>
      </c>
      <c r="M137" s="7" t="s">
        <v>32</v>
      </c>
      <c r="N137" s="7" t="s">
        <v>34</v>
      </c>
      <c r="O137" s="7" t="s">
        <v>34</v>
      </c>
      <c r="P137" s="7" t="s">
        <v>34</v>
      </c>
      <c r="Q137" s="7" t="s">
        <v>34</v>
      </c>
      <c r="R137" s="7" t="s">
        <v>34</v>
      </c>
      <c r="S137" s="7" t="s">
        <v>34</v>
      </c>
      <c r="T137" s="7" t="s">
        <v>34</v>
      </c>
      <c r="U137" s="7" t="s">
        <v>32</v>
      </c>
      <c r="V137" s="7">
        <v>1</v>
      </c>
      <c r="W137" s="7" t="s">
        <v>32</v>
      </c>
      <c r="X137" s="7" t="s">
        <v>32</v>
      </c>
      <c r="Y137" s="7" t="s">
        <v>32</v>
      </c>
      <c r="Z137" s="7" t="s">
        <v>32</v>
      </c>
      <c r="AA137" s="7">
        <v>30316170</v>
      </c>
      <c r="AB137" s="7">
        <v>1</v>
      </c>
      <c r="AD137" s="7">
        <v>4</v>
      </c>
      <c r="AE137" s="24">
        <v>30</v>
      </c>
      <c r="AF137" s="7">
        <v>15</v>
      </c>
      <c r="AG137" s="7">
        <v>15</v>
      </c>
      <c r="AH137" s="7" t="s">
        <v>1642</v>
      </c>
      <c r="AI137" s="7" t="s">
        <v>1642</v>
      </c>
      <c r="AK137" s="7">
        <v>175</v>
      </c>
      <c r="AN137" s="7">
        <v>175</v>
      </c>
      <c r="AR137" s="7" t="s">
        <v>1637</v>
      </c>
      <c r="AS137" s="7" t="s">
        <v>1638</v>
      </c>
      <c r="AT137" s="7" t="s">
        <v>1729</v>
      </c>
      <c r="AU137" s="7" t="s">
        <v>178</v>
      </c>
      <c r="AV137" s="7" t="s">
        <v>1898</v>
      </c>
      <c r="AW137" s="7" t="s">
        <v>1794</v>
      </c>
      <c r="AX137" s="7" t="s">
        <v>1963</v>
      </c>
      <c r="AY137" s="7" t="s">
        <v>1795</v>
      </c>
      <c r="AZ137" s="7" t="s">
        <v>1650</v>
      </c>
      <c r="BA137" s="7">
        <v>251</v>
      </c>
      <c r="BB137" s="7">
        <v>242</v>
      </c>
      <c r="BC137" s="7" t="s">
        <v>1798</v>
      </c>
      <c r="BD137" s="7">
        <v>0.27886699999999998</v>
      </c>
      <c r="BF137" s="7">
        <f>0.400871-BD137</f>
        <v>0.122004</v>
      </c>
      <c r="BG137" s="7" t="s">
        <v>1801</v>
      </c>
      <c r="BH137" s="7">
        <v>0.58387800000000001</v>
      </c>
      <c r="BJ137" s="7">
        <f>0.819172-BH137</f>
        <v>0.235294</v>
      </c>
    </row>
    <row r="138" spans="1:63" x14ac:dyDescent="0.2">
      <c r="A138" s="7">
        <v>38</v>
      </c>
      <c r="B138" s="7" t="s">
        <v>1365</v>
      </c>
      <c r="C138" s="7" t="s">
        <v>1364</v>
      </c>
      <c r="D138" s="7" t="s">
        <v>1363</v>
      </c>
      <c r="E138" s="7" t="s">
        <v>1297</v>
      </c>
      <c r="F138" s="7" t="s">
        <v>415</v>
      </c>
      <c r="G138" s="7">
        <v>2018</v>
      </c>
      <c r="H138" s="7">
        <v>43387</v>
      </c>
      <c r="I138" s="7" t="s">
        <v>32</v>
      </c>
      <c r="J138" s="7" t="s">
        <v>32</v>
      </c>
      <c r="K138" s="7" t="s">
        <v>1362</v>
      </c>
      <c r="L138" s="7">
        <v>2</v>
      </c>
      <c r="M138" s="7" t="s">
        <v>32</v>
      </c>
      <c r="N138" s="7" t="s">
        <v>34</v>
      </c>
      <c r="O138" s="7" t="s">
        <v>34</v>
      </c>
      <c r="P138" s="7" t="s">
        <v>34</v>
      </c>
      <c r="Q138" s="7" t="s">
        <v>34</v>
      </c>
      <c r="R138" s="7" t="s">
        <v>34</v>
      </c>
      <c r="S138" s="7" t="s">
        <v>34</v>
      </c>
      <c r="T138" s="7" t="s">
        <v>34</v>
      </c>
      <c r="U138" s="7" t="s">
        <v>32</v>
      </c>
      <c r="V138" s="7">
        <v>1</v>
      </c>
      <c r="W138" s="7" t="s">
        <v>32</v>
      </c>
      <c r="X138" s="7" t="s">
        <v>32</v>
      </c>
      <c r="Y138" s="7" t="s">
        <v>32</v>
      </c>
      <c r="Z138" s="7" t="s">
        <v>32</v>
      </c>
      <c r="AA138" s="7">
        <v>30316170</v>
      </c>
      <c r="AB138" s="7">
        <v>1</v>
      </c>
      <c r="AD138" s="7">
        <v>4</v>
      </c>
      <c r="AE138" s="24">
        <v>30</v>
      </c>
      <c r="AF138" s="7">
        <v>15</v>
      </c>
      <c r="AG138" s="7">
        <v>15</v>
      </c>
      <c r="AH138" s="7" t="s">
        <v>1642</v>
      </c>
      <c r="AI138" s="7" t="s">
        <v>1642</v>
      </c>
      <c r="AK138" s="7">
        <v>175</v>
      </c>
      <c r="AN138" s="7">
        <v>175</v>
      </c>
      <c r="AR138" s="7" t="s">
        <v>1637</v>
      </c>
      <c r="AS138" s="7" t="s">
        <v>1638</v>
      </c>
      <c r="AT138" s="7" t="s">
        <v>1729</v>
      </c>
      <c r="AU138" s="7" t="s">
        <v>178</v>
      </c>
      <c r="AV138" s="7" t="s">
        <v>1898</v>
      </c>
      <c r="AW138" s="7" t="s">
        <v>1794</v>
      </c>
      <c r="AX138" s="7" t="s">
        <v>1963</v>
      </c>
      <c r="AY138" s="7" t="s">
        <v>1808</v>
      </c>
      <c r="AZ138" s="7" t="s">
        <v>1650</v>
      </c>
      <c r="BA138" s="7">
        <v>251</v>
      </c>
      <c r="BB138" s="7">
        <v>242</v>
      </c>
      <c r="BC138" s="7" t="s">
        <v>1802</v>
      </c>
      <c r="BD138" s="7">
        <v>2.21116</v>
      </c>
      <c r="BF138" s="7">
        <f>2.72573-BD138</f>
        <v>0.51456999999999997</v>
      </c>
      <c r="BG138" s="7" t="s">
        <v>1803</v>
      </c>
      <c r="BH138" s="7">
        <v>0.70631100000000002</v>
      </c>
      <c r="BJ138" s="7">
        <f>0.919903-BH138</f>
        <v>0.213592</v>
      </c>
    </row>
    <row r="139" spans="1:63" x14ac:dyDescent="0.2">
      <c r="A139" s="7">
        <v>38</v>
      </c>
      <c r="B139" s="7" t="s">
        <v>1365</v>
      </c>
      <c r="C139" s="7" t="s">
        <v>1364</v>
      </c>
      <c r="D139" s="7" t="s">
        <v>1363</v>
      </c>
      <c r="E139" s="7" t="s">
        <v>1297</v>
      </c>
      <c r="F139" s="7" t="s">
        <v>415</v>
      </c>
      <c r="G139" s="7">
        <v>2018</v>
      </c>
      <c r="H139" s="7">
        <v>43387</v>
      </c>
      <c r="I139" s="7" t="s">
        <v>32</v>
      </c>
      <c r="J139" s="7" t="s">
        <v>32</v>
      </c>
      <c r="K139" s="7" t="s">
        <v>1362</v>
      </c>
      <c r="L139" s="7">
        <v>2</v>
      </c>
      <c r="M139" s="7" t="s">
        <v>32</v>
      </c>
      <c r="N139" s="7" t="s">
        <v>34</v>
      </c>
      <c r="O139" s="7" t="s">
        <v>34</v>
      </c>
      <c r="P139" s="7" t="s">
        <v>34</v>
      </c>
      <c r="Q139" s="7" t="s">
        <v>34</v>
      </c>
      <c r="R139" s="7" t="s">
        <v>34</v>
      </c>
      <c r="S139" s="7" t="s">
        <v>34</v>
      </c>
      <c r="T139" s="7" t="s">
        <v>34</v>
      </c>
      <c r="U139" s="7" t="s">
        <v>32</v>
      </c>
      <c r="V139" s="7">
        <v>1</v>
      </c>
      <c r="W139" s="7" t="s">
        <v>32</v>
      </c>
      <c r="X139" s="7" t="s">
        <v>32</v>
      </c>
      <c r="Y139" s="7" t="s">
        <v>32</v>
      </c>
      <c r="Z139" s="7" t="s">
        <v>32</v>
      </c>
      <c r="AA139" s="7">
        <v>30316170</v>
      </c>
      <c r="AB139" s="7">
        <v>1</v>
      </c>
      <c r="AD139" s="7">
        <v>4</v>
      </c>
      <c r="AE139" s="24">
        <v>30</v>
      </c>
      <c r="AF139" s="7">
        <v>15</v>
      </c>
      <c r="AG139" s="7">
        <v>15</v>
      </c>
      <c r="AH139" s="7" t="s">
        <v>1642</v>
      </c>
      <c r="AI139" s="7" t="s">
        <v>1642</v>
      </c>
      <c r="AK139" s="7">
        <v>175</v>
      </c>
      <c r="AN139" s="7">
        <v>175</v>
      </c>
      <c r="AR139" s="7" t="s">
        <v>1637</v>
      </c>
      <c r="AS139" s="7" t="s">
        <v>1638</v>
      </c>
      <c r="AT139" s="7" t="s">
        <v>1729</v>
      </c>
      <c r="AU139" s="7" t="s">
        <v>178</v>
      </c>
      <c r="AV139" s="7" t="s">
        <v>1898</v>
      </c>
      <c r="AW139" s="7" t="s">
        <v>1794</v>
      </c>
      <c r="AX139" s="7" t="s">
        <v>1963</v>
      </c>
      <c r="AY139" s="7" t="s">
        <v>1809</v>
      </c>
      <c r="AZ139" s="7" t="s">
        <v>1650</v>
      </c>
      <c r="BA139" s="7">
        <v>251</v>
      </c>
      <c r="BB139" s="7">
        <v>242</v>
      </c>
      <c r="BC139" s="7" t="s">
        <v>1804</v>
      </c>
      <c r="BD139" s="7">
        <v>3.7571099999999999</v>
      </c>
      <c r="BF139" s="7">
        <f>4.71829-BD139</f>
        <v>0.9611799999999997</v>
      </c>
      <c r="BG139" s="7" t="s">
        <v>1805</v>
      </c>
      <c r="BH139" s="7">
        <v>1.45262</v>
      </c>
      <c r="BJ139" s="7">
        <f>1.78534-BH139</f>
        <v>0.3327199999999999</v>
      </c>
    </row>
    <row r="140" spans="1:63" x14ac:dyDescent="0.2">
      <c r="A140" s="7">
        <v>38</v>
      </c>
      <c r="B140" s="7" t="s">
        <v>1365</v>
      </c>
      <c r="C140" s="7" t="s">
        <v>1364</v>
      </c>
      <c r="D140" s="7" t="s">
        <v>1363</v>
      </c>
      <c r="E140" s="7" t="s">
        <v>1297</v>
      </c>
      <c r="F140" s="7" t="s">
        <v>415</v>
      </c>
      <c r="G140" s="7">
        <v>2018</v>
      </c>
      <c r="H140" s="7">
        <v>43387</v>
      </c>
      <c r="I140" s="7" t="s">
        <v>32</v>
      </c>
      <c r="J140" s="7" t="s">
        <v>32</v>
      </c>
      <c r="K140" s="7" t="s">
        <v>1362</v>
      </c>
      <c r="L140" s="7">
        <v>2</v>
      </c>
      <c r="M140" s="7" t="s">
        <v>32</v>
      </c>
      <c r="N140" s="7" t="s">
        <v>34</v>
      </c>
      <c r="O140" s="7" t="s">
        <v>34</v>
      </c>
      <c r="P140" s="7" t="s">
        <v>34</v>
      </c>
      <c r="Q140" s="7" t="s">
        <v>34</v>
      </c>
      <c r="R140" s="7" t="s">
        <v>34</v>
      </c>
      <c r="S140" s="7" t="s">
        <v>34</v>
      </c>
      <c r="T140" s="7" t="s">
        <v>34</v>
      </c>
      <c r="U140" s="7" t="s">
        <v>32</v>
      </c>
      <c r="V140" s="7">
        <v>1</v>
      </c>
      <c r="W140" s="7" t="s">
        <v>32</v>
      </c>
      <c r="X140" s="7" t="s">
        <v>32</v>
      </c>
      <c r="Y140" s="7" t="s">
        <v>32</v>
      </c>
      <c r="Z140" s="7" t="s">
        <v>32</v>
      </c>
      <c r="AA140" s="7">
        <v>30316170</v>
      </c>
      <c r="AB140" s="7">
        <v>1</v>
      </c>
      <c r="AD140" s="7">
        <v>4</v>
      </c>
      <c r="AE140" s="24">
        <v>30</v>
      </c>
      <c r="AF140" s="7">
        <v>15</v>
      </c>
      <c r="AG140" s="7">
        <v>15</v>
      </c>
      <c r="AH140" s="7" t="s">
        <v>1642</v>
      </c>
      <c r="AI140" s="7" t="s">
        <v>1642</v>
      </c>
      <c r="AK140" s="7">
        <v>175</v>
      </c>
      <c r="AN140" s="7">
        <v>175</v>
      </c>
      <c r="AR140" s="7" t="s">
        <v>1637</v>
      </c>
      <c r="AS140" s="7" t="s">
        <v>1638</v>
      </c>
      <c r="AT140" s="7" t="s">
        <v>1729</v>
      </c>
      <c r="AU140" s="7" t="s">
        <v>178</v>
      </c>
      <c r="AV140" s="7" t="s">
        <v>1964</v>
      </c>
      <c r="AW140" s="7" t="s">
        <v>1794</v>
      </c>
      <c r="AX140" s="7" t="s">
        <v>1963</v>
      </c>
      <c r="AY140" s="7" t="s">
        <v>1809</v>
      </c>
      <c r="AZ140" s="7" t="s">
        <v>1650</v>
      </c>
      <c r="BA140" s="7">
        <v>251</v>
      </c>
      <c r="BB140" s="7">
        <v>242</v>
      </c>
      <c r="BC140" s="7" t="s">
        <v>1806</v>
      </c>
      <c r="BD140" s="7">
        <v>3.6740499999999998</v>
      </c>
      <c r="BF140" s="7">
        <f>4.43727-BD140</f>
        <v>0.76322000000000001</v>
      </c>
      <c r="BG140" s="7" t="s">
        <v>1807</v>
      </c>
      <c r="BH140" s="7">
        <v>1.02573</v>
      </c>
      <c r="BJ140" s="7">
        <f>1.38778-BH140</f>
        <v>0.36204999999999998</v>
      </c>
    </row>
    <row r="141" spans="1:63" x14ac:dyDescent="0.2">
      <c r="A141" s="7">
        <v>39</v>
      </c>
      <c r="B141" s="7" t="s">
        <v>1361</v>
      </c>
      <c r="C141" s="7" t="s">
        <v>1360</v>
      </c>
      <c r="D141" s="7" t="s">
        <v>1359</v>
      </c>
      <c r="E141" s="7" t="s">
        <v>1358</v>
      </c>
      <c r="F141" s="7" t="s">
        <v>267</v>
      </c>
      <c r="G141" s="7">
        <v>2018</v>
      </c>
      <c r="H141" s="7">
        <v>43380</v>
      </c>
      <c r="I141" s="7" t="s">
        <v>1357</v>
      </c>
      <c r="J141" s="7" t="s">
        <v>32</v>
      </c>
      <c r="K141" s="7" t="s">
        <v>1356</v>
      </c>
      <c r="L141" s="7">
        <v>2</v>
      </c>
      <c r="M141" s="7" t="s">
        <v>32</v>
      </c>
      <c r="N141" s="7" t="s">
        <v>34</v>
      </c>
      <c r="O141" s="7" t="s">
        <v>190</v>
      </c>
      <c r="P141" s="7" t="s">
        <v>34</v>
      </c>
      <c r="Q141" s="7" t="s">
        <v>34</v>
      </c>
      <c r="R141" s="7" t="s">
        <v>34</v>
      </c>
      <c r="S141" s="7" t="s">
        <v>34</v>
      </c>
      <c r="T141" s="7" t="s">
        <v>34</v>
      </c>
      <c r="U141" s="7" t="s">
        <v>32</v>
      </c>
      <c r="V141" s="7">
        <v>1</v>
      </c>
      <c r="W141" s="7" t="s">
        <v>34</v>
      </c>
      <c r="X141" s="7" t="s">
        <v>32</v>
      </c>
      <c r="Y141" s="7" t="s">
        <v>32</v>
      </c>
      <c r="Z141" s="7" t="s">
        <v>32</v>
      </c>
      <c r="AA141" s="7">
        <v>30291225</v>
      </c>
      <c r="AB141" s="7">
        <v>1</v>
      </c>
      <c r="AD141" s="7">
        <v>4</v>
      </c>
      <c r="AE141" s="24">
        <v>14</v>
      </c>
      <c r="AF141" s="7">
        <v>7</v>
      </c>
      <c r="AG141" s="7">
        <v>7</v>
      </c>
      <c r="AH141" s="7" t="s">
        <v>1642</v>
      </c>
      <c r="AI141" s="7" t="s">
        <v>1642</v>
      </c>
      <c r="AJ141" s="7" t="s">
        <v>1970</v>
      </c>
      <c r="AM141" s="7" t="s">
        <v>1970</v>
      </c>
      <c r="AR141" s="7" t="s">
        <v>1675</v>
      </c>
      <c r="AS141" s="7" t="s">
        <v>1638</v>
      </c>
      <c r="AT141" s="7" t="s">
        <v>1640</v>
      </c>
      <c r="AU141" s="7" t="s">
        <v>34</v>
      </c>
      <c r="AV141" s="7" t="s">
        <v>1815</v>
      </c>
      <c r="AW141" s="7" t="s">
        <v>1678</v>
      </c>
      <c r="AX141" s="7" t="s">
        <v>1965</v>
      </c>
      <c r="AY141" s="7" t="s">
        <v>1966</v>
      </c>
      <c r="AZ141" s="7" t="s">
        <v>1768</v>
      </c>
      <c r="BA141" s="7">
        <v>252</v>
      </c>
      <c r="BB141" s="7">
        <v>243</v>
      </c>
      <c r="BC141" s="7" t="s">
        <v>1967</v>
      </c>
      <c r="BD141" s="7">
        <v>115.13500000000001</v>
      </c>
      <c r="BF141" s="7">
        <f>137.327-BD141</f>
        <v>22.191999999999993</v>
      </c>
      <c r="BG141" s="7" t="s">
        <v>1968</v>
      </c>
      <c r="BH141" s="7">
        <v>30.6694</v>
      </c>
      <c r="BJ141" s="7">
        <f>41.0247-BH141</f>
        <v>10.355300000000003</v>
      </c>
    </row>
    <row r="142" spans="1:63" x14ac:dyDescent="0.2">
      <c r="A142" s="7">
        <v>39</v>
      </c>
      <c r="B142" s="7" t="s">
        <v>1361</v>
      </c>
      <c r="C142" s="7" t="s">
        <v>1360</v>
      </c>
      <c r="D142" s="7" t="s">
        <v>1359</v>
      </c>
      <c r="E142" s="7" t="s">
        <v>1358</v>
      </c>
      <c r="F142" s="7" t="s">
        <v>267</v>
      </c>
      <c r="G142" s="7">
        <v>2018</v>
      </c>
      <c r="H142" s="7">
        <v>43380</v>
      </c>
      <c r="I142" s="7" t="s">
        <v>1357</v>
      </c>
      <c r="J142" s="7" t="s">
        <v>32</v>
      </c>
      <c r="K142" s="7" t="s">
        <v>1356</v>
      </c>
      <c r="L142" s="7">
        <v>2</v>
      </c>
      <c r="M142" s="7" t="s">
        <v>32</v>
      </c>
      <c r="N142" s="7" t="s">
        <v>34</v>
      </c>
      <c r="O142" s="7" t="s">
        <v>190</v>
      </c>
      <c r="P142" s="7" t="s">
        <v>34</v>
      </c>
      <c r="Q142" s="7" t="s">
        <v>34</v>
      </c>
      <c r="R142" s="7" t="s">
        <v>34</v>
      </c>
      <c r="S142" s="7" t="s">
        <v>34</v>
      </c>
      <c r="T142" s="7" t="s">
        <v>34</v>
      </c>
      <c r="U142" s="7" t="s">
        <v>32</v>
      </c>
      <c r="V142" s="7">
        <v>1</v>
      </c>
      <c r="W142" s="7" t="s">
        <v>34</v>
      </c>
      <c r="X142" s="7" t="s">
        <v>32</v>
      </c>
      <c r="Y142" s="7" t="s">
        <v>32</v>
      </c>
      <c r="Z142" s="7" t="s">
        <v>32</v>
      </c>
      <c r="AA142" s="7">
        <v>30291225</v>
      </c>
      <c r="AB142" s="7">
        <v>1</v>
      </c>
      <c r="AD142" s="7">
        <v>4</v>
      </c>
      <c r="AE142" s="24">
        <v>14</v>
      </c>
      <c r="AF142" s="7">
        <v>7</v>
      </c>
      <c r="AG142" s="7">
        <v>7</v>
      </c>
      <c r="AH142" s="7" t="s">
        <v>1642</v>
      </c>
      <c r="AI142" s="7" t="s">
        <v>1642</v>
      </c>
      <c r="AJ142" s="7" t="s">
        <v>1970</v>
      </c>
      <c r="AM142" s="7" t="s">
        <v>1970</v>
      </c>
      <c r="AR142" s="7" t="s">
        <v>1675</v>
      </c>
      <c r="AS142" s="7" t="s">
        <v>1638</v>
      </c>
      <c r="AT142" s="7" t="s">
        <v>1640</v>
      </c>
      <c r="AU142" s="7" t="s">
        <v>34</v>
      </c>
      <c r="AV142" s="7" t="s">
        <v>1815</v>
      </c>
      <c r="AW142" s="7" t="s">
        <v>1678</v>
      </c>
      <c r="AX142" s="7" t="s">
        <v>1965</v>
      </c>
      <c r="AY142" s="7" t="s">
        <v>1966</v>
      </c>
      <c r="AZ142" s="7" t="s">
        <v>1769</v>
      </c>
      <c r="BA142" s="7">
        <v>252</v>
      </c>
      <c r="BB142" s="7">
        <v>244</v>
      </c>
      <c r="BC142" s="7" t="s">
        <v>1967</v>
      </c>
      <c r="BD142" s="7">
        <v>115.13500000000001</v>
      </c>
      <c r="BF142" s="7">
        <f>137.327-BD142</f>
        <v>22.191999999999993</v>
      </c>
      <c r="BG142" s="7" t="s">
        <v>1969</v>
      </c>
      <c r="BH142" s="7">
        <v>29.957100000000001</v>
      </c>
      <c r="BJ142" s="7">
        <f>35.6288-BH142</f>
        <v>5.6716999999999977</v>
      </c>
    </row>
    <row r="143" spans="1:63" x14ac:dyDescent="0.2">
      <c r="A143" s="7">
        <v>40</v>
      </c>
      <c r="B143" s="7" t="s">
        <v>1355</v>
      </c>
      <c r="C143" s="7" t="s">
        <v>1354</v>
      </c>
      <c r="D143" s="7" t="s">
        <v>1353</v>
      </c>
      <c r="E143" s="7" t="s">
        <v>1352</v>
      </c>
      <c r="F143" s="7" t="s">
        <v>1351</v>
      </c>
      <c r="G143" s="7">
        <v>2019</v>
      </c>
      <c r="H143" s="7">
        <v>43368</v>
      </c>
      <c r="I143" s="7" t="s">
        <v>32</v>
      </c>
      <c r="J143" s="7" t="s">
        <v>32</v>
      </c>
      <c r="K143" s="7" t="s">
        <v>1350</v>
      </c>
      <c r="L143" s="7">
        <v>2</v>
      </c>
      <c r="M143" s="7" t="s">
        <v>32</v>
      </c>
      <c r="N143" s="7" t="s">
        <v>34</v>
      </c>
      <c r="O143" s="7" t="s">
        <v>190</v>
      </c>
      <c r="P143" s="7" t="s">
        <v>34</v>
      </c>
      <c r="Q143" s="7" t="s">
        <v>34</v>
      </c>
      <c r="R143" s="7" t="s">
        <v>34</v>
      </c>
      <c r="S143" s="7" t="s">
        <v>34</v>
      </c>
      <c r="T143" s="7" t="s">
        <v>34</v>
      </c>
      <c r="U143" s="7" t="s">
        <v>32</v>
      </c>
      <c r="V143" s="7">
        <v>1</v>
      </c>
      <c r="W143" s="7" t="s">
        <v>32</v>
      </c>
      <c r="X143" s="7" t="s">
        <v>32</v>
      </c>
      <c r="Y143" s="7" t="s">
        <v>32</v>
      </c>
      <c r="Z143" s="7" t="s">
        <v>32</v>
      </c>
      <c r="AA143" s="7">
        <v>30246290</v>
      </c>
      <c r="AB143" s="7">
        <v>1</v>
      </c>
      <c r="AD143" s="7">
        <v>4</v>
      </c>
      <c r="AE143" s="24">
        <v>18</v>
      </c>
      <c r="AF143" s="7">
        <v>9</v>
      </c>
      <c r="AG143" s="7">
        <v>9</v>
      </c>
      <c r="AH143" s="7" t="s">
        <v>1642</v>
      </c>
      <c r="AI143" s="7" t="s">
        <v>1642</v>
      </c>
      <c r="AK143" s="7">
        <v>325</v>
      </c>
      <c r="AN143" s="7">
        <v>325</v>
      </c>
      <c r="AP143" s="7">
        <v>2</v>
      </c>
      <c r="AQ143" s="7" t="s">
        <v>1877</v>
      </c>
      <c r="AR143" s="7" t="s">
        <v>1637</v>
      </c>
      <c r="AS143" s="7" t="s">
        <v>1667</v>
      </c>
      <c r="AT143" s="7" t="s">
        <v>1640</v>
      </c>
      <c r="AU143" s="7" t="s">
        <v>178</v>
      </c>
      <c r="AV143" s="7" t="s">
        <v>1641</v>
      </c>
      <c r="AW143" s="7" t="s">
        <v>1639</v>
      </c>
      <c r="AX143" s="7" t="s">
        <v>1971</v>
      </c>
      <c r="AY143" s="7" t="s">
        <v>1955</v>
      </c>
      <c r="AZ143" s="7" t="s">
        <v>1650</v>
      </c>
      <c r="BA143" s="7">
        <v>253</v>
      </c>
      <c r="BB143" s="7">
        <v>245</v>
      </c>
      <c r="BC143" s="7" t="s">
        <v>1972</v>
      </c>
      <c r="BD143" s="7">
        <v>78.888900000000007</v>
      </c>
      <c r="BF143" s="7">
        <f>82.5397-BD143</f>
        <v>3.6507999999999896</v>
      </c>
      <c r="BG143" s="7" t="s">
        <v>1974</v>
      </c>
      <c r="BH143" s="7">
        <v>62.063499999999998</v>
      </c>
      <c r="BJ143" s="7">
        <f>65.7143-BH143</f>
        <v>3.6507999999999967</v>
      </c>
    </row>
    <row r="144" spans="1:63" x14ac:dyDescent="0.2">
      <c r="A144" s="7">
        <v>40</v>
      </c>
      <c r="B144" s="7" t="s">
        <v>1355</v>
      </c>
      <c r="C144" s="7" t="s">
        <v>1354</v>
      </c>
      <c r="D144" s="7" t="s">
        <v>1353</v>
      </c>
      <c r="E144" s="7" t="s">
        <v>1352</v>
      </c>
      <c r="F144" s="7" t="s">
        <v>1351</v>
      </c>
      <c r="G144" s="7">
        <v>2019</v>
      </c>
      <c r="H144" s="7">
        <v>43368</v>
      </c>
      <c r="I144" s="7" t="s">
        <v>32</v>
      </c>
      <c r="J144" s="7" t="s">
        <v>32</v>
      </c>
      <c r="K144" s="7" t="s">
        <v>1350</v>
      </c>
      <c r="L144" s="7">
        <v>2</v>
      </c>
      <c r="M144" s="7" t="s">
        <v>32</v>
      </c>
      <c r="N144" s="7" t="s">
        <v>34</v>
      </c>
      <c r="O144" s="7" t="s">
        <v>190</v>
      </c>
      <c r="P144" s="7" t="s">
        <v>34</v>
      </c>
      <c r="Q144" s="7" t="s">
        <v>34</v>
      </c>
      <c r="R144" s="7" t="s">
        <v>34</v>
      </c>
      <c r="S144" s="7" t="s">
        <v>34</v>
      </c>
      <c r="T144" s="7" t="s">
        <v>34</v>
      </c>
      <c r="U144" s="7" t="s">
        <v>32</v>
      </c>
      <c r="V144" s="7">
        <v>1</v>
      </c>
      <c r="W144" s="7" t="s">
        <v>32</v>
      </c>
      <c r="X144" s="7" t="s">
        <v>32</v>
      </c>
      <c r="Y144" s="7" t="s">
        <v>32</v>
      </c>
      <c r="Z144" s="7" t="s">
        <v>32</v>
      </c>
      <c r="AA144" s="7">
        <v>30246290</v>
      </c>
      <c r="AB144" s="7">
        <v>1</v>
      </c>
      <c r="AD144" s="7">
        <v>4</v>
      </c>
      <c r="AE144" s="24">
        <v>18</v>
      </c>
      <c r="AF144" s="7">
        <v>9</v>
      </c>
      <c r="AG144" s="7">
        <v>9</v>
      </c>
      <c r="AH144" s="7" t="s">
        <v>1642</v>
      </c>
      <c r="AI144" s="7" t="s">
        <v>1642</v>
      </c>
      <c r="AK144" s="7">
        <v>325</v>
      </c>
      <c r="AN144" s="7">
        <v>325</v>
      </c>
      <c r="AP144" s="7">
        <v>2</v>
      </c>
      <c r="AQ144" s="7" t="s">
        <v>1877</v>
      </c>
      <c r="AR144" s="7" t="s">
        <v>1637</v>
      </c>
      <c r="AS144" s="7" t="s">
        <v>1667</v>
      </c>
      <c r="AT144" s="7" t="s">
        <v>1640</v>
      </c>
      <c r="AU144" s="7" t="s">
        <v>178</v>
      </c>
      <c r="AV144" s="7" t="s">
        <v>1641</v>
      </c>
      <c r="AW144" s="7" t="s">
        <v>1639</v>
      </c>
      <c r="AX144" s="7" t="s">
        <v>1971</v>
      </c>
      <c r="AY144" s="7" t="s">
        <v>1881</v>
      </c>
      <c r="AZ144" s="7" t="s">
        <v>1650</v>
      </c>
      <c r="BA144" s="7">
        <v>253</v>
      </c>
      <c r="BB144" s="7">
        <v>245</v>
      </c>
      <c r="BC144" s="7" t="s">
        <v>1973</v>
      </c>
      <c r="BD144" s="7">
        <v>70</v>
      </c>
      <c r="BF144" s="7">
        <f>73.8095-BD144</f>
        <v>3.8094999999999999</v>
      </c>
      <c r="BG144" s="7" t="s">
        <v>1975</v>
      </c>
      <c r="BH144" s="7">
        <v>38.253999999999998</v>
      </c>
      <c r="BJ144" s="7">
        <f>43.0159-BH144</f>
        <v>4.7619000000000042</v>
      </c>
    </row>
    <row r="145" spans="1:63" x14ac:dyDescent="0.2">
      <c r="A145" s="7">
        <v>40</v>
      </c>
      <c r="B145" s="7" t="s">
        <v>1355</v>
      </c>
      <c r="C145" s="7" t="s">
        <v>1354</v>
      </c>
      <c r="D145" s="7" t="s">
        <v>1353</v>
      </c>
      <c r="E145" s="7" t="s">
        <v>1352</v>
      </c>
      <c r="F145" s="7" t="s">
        <v>1351</v>
      </c>
      <c r="G145" s="7">
        <v>2019</v>
      </c>
      <c r="H145" s="7">
        <v>43368</v>
      </c>
      <c r="I145" s="7" t="s">
        <v>32</v>
      </c>
      <c r="J145" s="7" t="s">
        <v>32</v>
      </c>
      <c r="K145" s="7" t="s">
        <v>1350</v>
      </c>
      <c r="L145" s="7">
        <v>2</v>
      </c>
      <c r="M145" s="7" t="s">
        <v>32</v>
      </c>
      <c r="N145" s="7" t="s">
        <v>34</v>
      </c>
      <c r="O145" s="7" t="s">
        <v>190</v>
      </c>
      <c r="P145" s="7" t="s">
        <v>34</v>
      </c>
      <c r="Q145" s="7" t="s">
        <v>34</v>
      </c>
      <c r="R145" s="7" t="s">
        <v>34</v>
      </c>
      <c r="S145" s="7" t="s">
        <v>34</v>
      </c>
      <c r="T145" s="7" t="s">
        <v>34</v>
      </c>
      <c r="U145" s="7" t="s">
        <v>32</v>
      </c>
      <c r="V145" s="7">
        <v>1</v>
      </c>
      <c r="W145" s="7" t="s">
        <v>32</v>
      </c>
      <c r="X145" s="7" t="s">
        <v>32</v>
      </c>
      <c r="Y145" s="7" t="s">
        <v>32</v>
      </c>
      <c r="Z145" s="7" t="s">
        <v>32</v>
      </c>
      <c r="AA145" s="7">
        <v>30246290</v>
      </c>
      <c r="AB145" s="7">
        <v>1</v>
      </c>
      <c r="AD145" s="7">
        <v>4</v>
      </c>
      <c r="AE145" s="24">
        <v>18</v>
      </c>
      <c r="AF145" s="7">
        <v>9</v>
      </c>
      <c r="AG145" s="7">
        <v>9</v>
      </c>
      <c r="AH145" s="7" t="s">
        <v>1642</v>
      </c>
      <c r="AI145" s="7" t="s">
        <v>1642</v>
      </c>
      <c r="AK145" s="7">
        <v>325</v>
      </c>
      <c r="AN145" s="7">
        <v>325</v>
      </c>
      <c r="AP145" s="7">
        <v>2</v>
      </c>
      <c r="AQ145" s="7" t="s">
        <v>1877</v>
      </c>
      <c r="AR145" s="7" t="s">
        <v>1637</v>
      </c>
      <c r="AS145" s="7" t="s">
        <v>1667</v>
      </c>
      <c r="AT145" s="7" t="s">
        <v>1640</v>
      </c>
      <c r="AU145" s="7" t="s">
        <v>178</v>
      </c>
      <c r="AV145" s="7" t="s">
        <v>1641</v>
      </c>
      <c r="AW145" s="7" t="s">
        <v>1639</v>
      </c>
      <c r="AX145" s="7" t="s">
        <v>1971</v>
      </c>
      <c r="AY145" s="7" t="s">
        <v>1955</v>
      </c>
      <c r="AZ145" s="7" t="s">
        <v>1650</v>
      </c>
      <c r="BA145" s="7">
        <v>254</v>
      </c>
      <c r="BB145" s="7">
        <v>246</v>
      </c>
      <c r="BC145" s="7" t="s">
        <v>1976</v>
      </c>
      <c r="BD145" s="7">
        <v>70.457700000000003</v>
      </c>
      <c r="BF145" s="7">
        <f>73.1514-BD145</f>
        <v>2.6936999999999927</v>
      </c>
      <c r="BG145" s="7" t="s">
        <v>1980</v>
      </c>
      <c r="BH145" s="7">
        <v>63.802799999999998</v>
      </c>
      <c r="BJ145" s="7">
        <f>BH145-57.9401</f>
        <v>5.8626999999999967</v>
      </c>
    </row>
    <row r="146" spans="1:63" x14ac:dyDescent="0.2">
      <c r="A146" s="7">
        <v>40</v>
      </c>
      <c r="B146" s="7" t="s">
        <v>1355</v>
      </c>
      <c r="C146" s="7" t="s">
        <v>1354</v>
      </c>
      <c r="D146" s="7" t="s">
        <v>1353</v>
      </c>
      <c r="E146" s="7" t="s">
        <v>1352</v>
      </c>
      <c r="F146" s="7" t="s">
        <v>1351</v>
      </c>
      <c r="G146" s="7">
        <v>2019</v>
      </c>
      <c r="H146" s="7">
        <v>43368</v>
      </c>
      <c r="I146" s="7" t="s">
        <v>32</v>
      </c>
      <c r="J146" s="7" t="s">
        <v>32</v>
      </c>
      <c r="K146" s="7" t="s">
        <v>1350</v>
      </c>
      <c r="L146" s="7">
        <v>2</v>
      </c>
      <c r="M146" s="7" t="s">
        <v>32</v>
      </c>
      <c r="N146" s="7" t="s">
        <v>34</v>
      </c>
      <c r="O146" s="7" t="s">
        <v>190</v>
      </c>
      <c r="P146" s="7" t="s">
        <v>34</v>
      </c>
      <c r="Q146" s="7" t="s">
        <v>34</v>
      </c>
      <c r="R146" s="7" t="s">
        <v>34</v>
      </c>
      <c r="S146" s="7" t="s">
        <v>34</v>
      </c>
      <c r="T146" s="7" t="s">
        <v>34</v>
      </c>
      <c r="U146" s="7" t="s">
        <v>32</v>
      </c>
      <c r="V146" s="7">
        <v>1</v>
      </c>
      <c r="W146" s="7" t="s">
        <v>32</v>
      </c>
      <c r="X146" s="7" t="s">
        <v>32</v>
      </c>
      <c r="Y146" s="7" t="s">
        <v>32</v>
      </c>
      <c r="Z146" s="7" t="s">
        <v>32</v>
      </c>
      <c r="AA146" s="7">
        <v>30246290</v>
      </c>
      <c r="AB146" s="7">
        <v>1</v>
      </c>
      <c r="AD146" s="7">
        <v>4</v>
      </c>
      <c r="AE146" s="24">
        <v>18</v>
      </c>
      <c r="AF146" s="7">
        <v>9</v>
      </c>
      <c r="AG146" s="7">
        <v>9</v>
      </c>
      <c r="AH146" s="7" t="s">
        <v>1642</v>
      </c>
      <c r="AI146" s="7" t="s">
        <v>1642</v>
      </c>
      <c r="AK146" s="7">
        <v>325</v>
      </c>
      <c r="AN146" s="7">
        <v>325</v>
      </c>
      <c r="AP146" s="7">
        <v>2</v>
      </c>
      <c r="AQ146" s="7" t="s">
        <v>1877</v>
      </c>
      <c r="AR146" s="7" t="s">
        <v>1637</v>
      </c>
      <c r="AS146" s="7" t="s">
        <v>1667</v>
      </c>
      <c r="AT146" s="7" t="s">
        <v>1640</v>
      </c>
      <c r="AU146" s="7" t="s">
        <v>178</v>
      </c>
      <c r="AV146" s="7" t="s">
        <v>1641</v>
      </c>
      <c r="AW146" s="7" t="s">
        <v>1639</v>
      </c>
      <c r="AX146" s="7" t="s">
        <v>1971</v>
      </c>
      <c r="AY146" s="7" t="s">
        <v>1881</v>
      </c>
      <c r="AZ146" s="7" t="s">
        <v>1650</v>
      </c>
      <c r="BA146" s="7">
        <v>254</v>
      </c>
      <c r="BB146" s="7">
        <v>246</v>
      </c>
      <c r="BC146" s="7" t="s">
        <v>1977</v>
      </c>
      <c r="BD146" s="7">
        <v>59.049300000000002</v>
      </c>
      <c r="BF146" s="7">
        <f>63.169-BD146</f>
        <v>4.1196999999999946</v>
      </c>
      <c r="BG146" s="7" t="s">
        <v>1981</v>
      </c>
      <c r="BH146" s="7">
        <v>53.820399999999999</v>
      </c>
      <c r="BJ146" s="7">
        <f>BH146-47.1655</f>
        <v>6.6548999999999978</v>
      </c>
    </row>
    <row r="147" spans="1:63" x14ac:dyDescent="0.2">
      <c r="A147" s="7">
        <v>40</v>
      </c>
      <c r="B147" s="7" t="s">
        <v>1355</v>
      </c>
      <c r="C147" s="7" t="s">
        <v>1354</v>
      </c>
      <c r="D147" s="7" t="s">
        <v>1353</v>
      </c>
      <c r="E147" s="7" t="s">
        <v>1352</v>
      </c>
      <c r="F147" s="7" t="s">
        <v>1351</v>
      </c>
      <c r="G147" s="7">
        <v>2019</v>
      </c>
      <c r="H147" s="7">
        <v>43368</v>
      </c>
      <c r="I147" s="7" t="s">
        <v>32</v>
      </c>
      <c r="J147" s="7" t="s">
        <v>32</v>
      </c>
      <c r="K147" s="7" t="s">
        <v>1350</v>
      </c>
      <c r="L147" s="7">
        <v>2</v>
      </c>
      <c r="M147" s="7" t="s">
        <v>32</v>
      </c>
      <c r="N147" s="7" t="s">
        <v>34</v>
      </c>
      <c r="O147" s="7" t="s">
        <v>190</v>
      </c>
      <c r="P147" s="7" t="s">
        <v>34</v>
      </c>
      <c r="Q147" s="7" t="s">
        <v>34</v>
      </c>
      <c r="R147" s="7" t="s">
        <v>34</v>
      </c>
      <c r="S147" s="7" t="s">
        <v>34</v>
      </c>
      <c r="T147" s="7" t="s">
        <v>34</v>
      </c>
      <c r="U147" s="7" t="s">
        <v>32</v>
      </c>
      <c r="V147" s="7">
        <v>1</v>
      </c>
      <c r="W147" s="7" t="s">
        <v>32</v>
      </c>
      <c r="X147" s="7" t="s">
        <v>32</v>
      </c>
      <c r="Y147" s="7" t="s">
        <v>32</v>
      </c>
      <c r="Z147" s="7" t="s">
        <v>32</v>
      </c>
      <c r="AA147" s="7">
        <v>30246290</v>
      </c>
      <c r="AB147" s="7">
        <v>1</v>
      </c>
      <c r="AD147" s="7">
        <v>4</v>
      </c>
      <c r="AE147" s="24">
        <v>18</v>
      </c>
      <c r="AF147" s="7">
        <v>9</v>
      </c>
      <c r="AG147" s="7">
        <v>9</v>
      </c>
      <c r="AH147" s="7" t="s">
        <v>1642</v>
      </c>
      <c r="AI147" s="7" t="s">
        <v>1642</v>
      </c>
      <c r="AK147" s="7">
        <v>325</v>
      </c>
      <c r="AN147" s="7">
        <v>325</v>
      </c>
      <c r="AP147" s="7">
        <v>2</v>
      </c>
      <c r="AQ147" s="7" t="s">
        <v>1877</v>
      </c>
      <c r="AR147" s="7" t="s">
        <v>1637</v>
      </c>
      <c r="AS147" s="7" t="s">
        <v>1667</v>
      </c>
      <c r="AT147" s="7" t="s">
        <v>1640</v>
      </c>
      <c r="AU147" s="7" t="s">
        <v>178</v>
      </c>
      <c r="AV147" s="7" t="s">
        <v>1641</v>
      </c>
      <c r="AW147" s="7" t="s">
        <v>1639</v>
      </c>
      <c r="AX147" s="7" t="s">
        <v>1971</v>
      </c>
      <c r="AY147" s="7" t="s">
        <v>1955</v>
      </c>
      <c r="AZ147" s="7" t="s">
        <v>1650</v>
      </c>
      <c r="BA147" s="7">
        <v>255</v>
      </c>
      <c r="BB147" s="7">
        <v>247</v>
      </c>
      <c r="BC147" s="7" t="s">
        <v>1978</v>
      </c>
      <c r="BD147" s="7">
        <v>73.218500000000006</v>
      </c>
      <c r="BF147" s="7">
        <f>76.3501-BD147</f>
        <v>3.1315999999999917</v>
      </c>
      <c r="BG147" s="7" t="s">
        <v>1982</v>
      </c>
      <c r="BH147" s="7">
        <v>65.866299999999995</v>
      </c>
      <c r="BJ147" s="7">
        <f>70.6318-BH147</f>
        <v>4.765500000000003</v>
      </c>
    </row>
    <row r="148" spans="1:63" x14ac:dyDescent="0.2">
      <c r="A148" s="7">
        <v>40</v>
      </c>
      <c r="B148" s="7" t="s">
        <v>1355</v>
      </c>
      <c r="C148" s="7" t="s">
        <v>1354</v>
      </c>
      <c r="D148" s="7" t="s">
        <v>1353</v>
      </c>
      <c r="E148" s="7" t="s">
        <v>1352</v>
      </c>
      <c r="F148" s="7" t="s">
        <v>1351</v>
      </c>
      <c r="G148" s="7">
        <v>2019</v>
      </c>
      <c r="H148" s="7">
        <v>43368</v>
      </c>
      <c r="I148" s="7" t="s">
        <v>32</v>
      </c>
      <c r="J148" s="7" t="s">
        <v>32</v>
      </c>
      <c r="K148" s="7" t="s">
        <v>1350</v>
      </c>
      <c r="L148" s="7">
        <v>2</v>
      </c>
      <c r="M148" s="7" t="s">
        <v>32</v>
      </c>
      <c r="N148" s="7" t="s">
        <v>34</v>
      </c>
      <c r="O148" s="7" t="s">
        <v>190</v>
      </c>
      <c r="P148" s="7" t="s">
        <v>34</v>
      </c>
      <c r="Q148" s="7" t="s">
        <v>34</v>
      </c>
      <c r="R148" s="7" t="s">
        <v>34</v>
      </c>
      <c r="S148" s="7" t="s">
        <v>34</v>
      </c>
      <c r="T148" s="7" t="s">
        <v>34</v>
      </c>
      <c r="U148" s="7" t="s">
        <v>32</v>
      </c>
      <c r="V148" s="7">
        <v>1</v>
      </c>
      <c r="W148" s="7" t="s">
        <v>32</v>
      </c>
      <c r="X148" s="7" t="s">
        <v>32</v>
      </c>
      <c r="Y148" s="7" t="s">
        <v>32</v>
      </c>
      <c r="Z148" s="7" t="s">
        <v>32</v>
      </c>
      <c r="AA148" s="7">
        <v>30246290</v>
      </c>
      <c r="AB148" s="7">
        <v>1</v>
      </c>
      <c r="AD148" s="7">
        <v>4</v>
      </c>
      <c r="AE148" s="24">
        <v>18</v>
      </c>
      <c r="AF148" s="7">
        <v>9</v>
      </c>
      <c r="AG148" s="7">
        <v>9</v>
      </c>
      <c r="AH148" s="7" t="s">
        <v>1642</v>
      </c>
      <c r="AI148" s="7" t="s">
        <v>1642</v>
      </c>
      <c r="AK148" s="7">
        <v>325</v>
      </c>
      <c r="AN148" s="7">
        <v>325</v>
      </c>
      <c r="AP148" s="7">
        <v>2</v>
      </c>
      <c r="AQ148" s="7" t="s">
        <v>1877</v>
      </c>
      <c r="AR148" s="7" t="s">
        <v>1637</v>
      </c>
      <c r="AS148" s="7" t="s">
        <v>1667</v>
      </c>
      <c r="AT148" s="7" t="s">
        <v>1640</v>
      </c>
      <c r="AU148" s="7" t="s">
        <v>178</v>
      </c>
      <c r="AV148" s="7" t="s">
        <v>1641</v>
      </c>
      <c r="AW148" s="7" t="s">
        <v>1639</v>
      </c>
      <c r="AX148" s="7" t="s">
        <v>1971</v>
      </c>
      <c r="AY148" s="7" t="s">
        <v>1881</v>
      </c>
      <c r="AZ148" s="7" t="s">
        <v>1650</v>
      </c>
      <c r="BA148" s="7">
        <v>255</v>
      </c>
      <c r="BB148" s="7">
        <v>247</v>
      </c>
      <c r="BC148" s="7" t="s">
        <v>1979</v>
      </c>
      <c r="BD148" s="7">
        <v>70.018600000000006</v>
      </c>
      <c r="BF148" s="7">
        <f>77.5073-BD148</f>
        <v>7.4886999999999944</v>
      </c>
      <c r="BG148" s="7" t="s">
        <v>1983</v>
      </c>
      <c r="BH148" s="7">
        <v>58.853700000000003</v>
      </c>
      <c r="BJ148" s="7">
        <f>68.5209-BH148</f>
        <v>9.667199999999994</v>
      </c>
    </row>
    <row r="149" spans="1:63" x14ac:dyDescent="0.2">
      <c r="A149" s="7">
        <v>41</v>
      </c>
      <c r="B149" s="7" t="s">
        <v>1349</v>
      </c>
      <c r="C149" s="7" t="s">
        <v>1348</v>
      </c>
      <c r="D149" s="7" t="s">
        <v>1347</v>
      </c>
      <c r="E149" s="7" t="s">
        <v>1346</v>
      </c>
      <c r="F149" s="7" t="s">
        <v>1345</v>
      </c>
      <c r="G149" s="7">
        <v>2019</v>
      </c>
      <c r="H149" s="7">
        <v>43363</v>
      </c>
      <c r="I149" s="7" t="s">
        <v>32</v>
      </c>
      <c r="J149" s="7" t="s">
        <v>32</v>
      </c>
      <c r="K149" s="7" t="s">
        <v>1344</v>
      </c>
      <c r="L149" s="7">
        <v>2</v>
      </c>
      <c r="M149" s="7" t="s">
        <v>32</v>
      </c>
      <c r="N149" s="7" t="s">
        <v>34</v>
      </c>
      <c r="O149" s="7" t="s">
        <v>190</v>
      </c>
      <c r="P149" s="7" t="s">
        <v>34</v>
      </c>
      <c r="Q149" s="7" t="s">
        <v>34</v>
      </c>
      <c r="R149" s="7" t="s">
        <v>34</v>
      </c>
      <c r="S149" s="7" t="s">
        <v>34</v>
      </c>
      <c r="T149" s="7" t="s">
        <v>34</v>
      </c>
      <c r="U149" s="7" t="s">
        <v>32</v>
      </c>
      <c r="V149" s="7">
        <v>1</v>
      </c>
      <c r="W149" s="7" t="s">
        <v>32</v>
      </c>
      <c r="X149" s="7" t="s">
        <v>32</v>
      </c>
      <c r="Y149" s="7" t="s">
        <v>32</v>
      </c>
      <c r="Z149" s="7" t="s">
        <v>32</v>
      </c>
      <c r="AA149" s="7">
        <v>30228049</v>
      </c>
      <c r="AB149" s="7">
        <v>1</v>
      </c>
      <c r="AD149" s="7">
        <v>5</v>
      </c>
      <c r="AE149" s="24">
        <v>37</v>
      </c>
      <c r="AF149" s="7">
        <v>18.5</v>
      </c>
      <c r="AG149" s="7">
        <v>18.5</v>
      </c>
      <c r="AH149" s="7" t="s">
        <v>1642</v>
      </c>
      <c r="AI149" s="7" t="s">
        <v>1642</v>
      </c>
      <c r="AJ149" s="7" t="s">
        <v>1896</v>
      </c>
      <c r="AK149" s="7">
        <v>36</v>
      </c>
      <c r="AM149" s="7" t="s">
        <v>1896</v>
      </c>
      <c r="AN149" s="7">
        <v>36</v>
      </c>
      <c r="AP149" s="7">
        <v>1</v>
      </c>
      <c r="AQ149" s="7" t="s">
        <v>1787</v>
      </c>
      <c r="AR149" s="7" t="s">
        <v>1814</v>
      </c>
      <c r="AS149" s="7" t="s">
        <v>1667</v>
      </c>
      <c r="AT149" s="7" t="s">
        <v>1984</v>
      </c>
      <c r="AU149" s="7" t="s">
        <v>178</v>
      </c>
      <c r="AV149" s="7" t="s">
        <v>1697</v>
      </c>
      <c r="AW149" s="7" t="s">
        <v>1690</v>
      </c>
      <c r="AX149" s="7" t="s">
        <v>1985</v>
      </c>
      <c r="AY149" s="7" t="s">
        <v>2015</v>
      </c>
      <c r="AZ149" s="7" t="s">
        <v>1650</v>
      </c>
      <c r="BA149" s="7">
        <v>256</v>
      </c>
      <c r="BB149" s="7">
        <v>248</v>
      </c>
      <c r="BC149" s="7" t="s">
        <v>1988</v>
      </c>
      <c r="BD149" s="7">
        <v>42.753599999999999</v>
      </c>
      <c r="BF149" s="7">
        <f>49.0338-BD149</f>
        <v>6.2802000000000007</v>
      </c>
      <c r="BG149" s="7" t="s">
        <v>1989</v>
      </c>
      <c r="BH149" s="7">
        <v>66.666700000000006</v>
      </c>
      <c r="BJ149" s="7">
        <f>70.5314-BH149</f>
        <v>3.8646999999999991</v>
      </c>
      <c r="BK149" s="9" t="s">
        <v>2008</v>
      </c>
    </row>
    <row r="150" spans="1:63" x14ac:dyDescent="0.2">
      <c r="A150" s="7">
        <v>41</v>
      </c>
      <c r="B150" s="7" t="s">
        <v>1349</v>
      </c>
      <c r="C150" s="7" t="s">
        <v>1348</v>
      </c>
      <c r="D150" s="7" t="s">
        <v>1347</v>
      </c>
      <c r="E150" s="7" t="s">
        <v>1346</v>
      </c>
      <c r="F150" s="7" t="s">
        <v>1345</v>
      </c>
      <c r="G150" s="7">
        <v>2019</v>
      </c>
      <c r="H150" s="7">
        <v>43363</v>
      </c>
      <c r="I150" s="7" t="s">
        <v>32</v>
      </c>
      <c r="J150" s="7" t="s">
        <v>32</v>
      </c>
      <c r="K150" s="7" t="s">
        <v>1344</v>
      </c>
      <c r="L150" s="7">
        <v>2</v>
      </c>
      <c r="M150" s="7" t="s">
        <v>32</v>
      </c>
      <c r="N150" s="7" t="s">
        <v>34</v>
      </c>
      <c r="O150" s="7" t="s">
        <v>190</v>
      </c>
      <c r="P150" s="7" t="s">
        <v>34</v>
      </c>
      <c r="Q150" s="7" t="s">
        <v>34</v>
      </c>
      <c r="R150" s="7" t="s">
        <v>34</v>
      </c>
      <c r="S150" s="7" t="s">
        <v>34</v>
      </c>
      <c r="T150" s="7" t="s">
        <v>34</v>
      </c>
      <c r="U150" s="7" t="s">
        <v>32</v>
      </c>
      <c r="V150" s="7">
        <v>1</v>
      </c>
      <c r="W150" s="7" t="s">
        <v>32</v>
      </c>
      <c r="X150" s="7" t="s">
        <v>32</v>
      </c>
      <c r="Y150" s="7" t="s">
        <v>32</v>
      </c>
      <c r="Z150" s="7" t="s">
        <v>32</v>
      </c>
      <c r="AA150" s="7">
        <v>30228049</v>
      </c>
      <c r="AB150" s="7">
        <v>1</v>
      </c>
      <c r="AD150" s="7">
        <v>5</v>
      </c>
      <c r="AE150" s="24">
        <v>37</v>
      </c>
      <c r="AF150" s="7">
        <v>18.5</v>
      </c>
      <c r="AG150" s="7">
        <v>18.5</v>
      </c>
      <c r="AH150" s="7" t="s">
        <v>1642</v>
      </c>
      <c r="AI150" s="7" t="s">
        <v>1642</v>
      </c>
      <c r="AJ150" s="7" t="s">
        <v>1896</v>
      </c>
      <c r="AK150" s="7">
        <v>36</v>
      </c>
      <c r="AM150" s="7" t="s">
        <v>1896</v>
      </c>
      <c r="AN150" s="7">
        <v>36</v>
      </c>
      <c r="AP150" s="7">
        <v>1</v>
      </c>
      <c r="AQ150" s="7" t="s">
        <v>1787</v>
      </c>
      <c r="AR150" s="7" t="s">
        <v>1814</v>
      </c>
      <c r="AS150" s="7" t="s">
        <v>1667</v>
      </c>
      <c r="AT150" s="7" t="s">
        <v>1984</v>
      </c>
      <c r="AU150" s="7" t="s">
        <v>178</v>
      </c>
      <c r="AV150" s="7" t="s">
        <v>1898</v>
      </c>
      <c r="AW150" s="7" t="s">
        <v>1678</v>
      </c>
      <c r="AX150" s="7" t="s">
        <v>1985</v>
      </c>
      <c r="AY150" s="7" t="s">
        <v>1966</v>
      </c>
      <c r="AZ150" s="7" t="s">
        <v>1650</v>
      </c>
      <c r="BA150" s="7">
        <v>256</v>
      </c>
      <c r="BB150" s="7">
        <v>248</v>
      </c>
      <c r="BC150" s="7" t="s">
        <v>1986</v>
      </c>
      <c r="BD150" s="7">
        <v>182.321</v>
      </c>
      <c r="BF150" s="7">
        <f>197.321-BD150</f>
        <v>15</v>
      </c>
      <c r="BG150" s="7" t="s">
        <v>1987</v>
      </c>
      <c r="BH150" s="7">
        <v>5.9946999999999999</v>
      </c>
      <c r="BJ150" s="7">
        <f>9.85771-BH150</f>
        <v>3.8630100000000009</v>
      </c>
    </row>
    <row r="151" spans="1:63" x14ac:dyDescent="0.2">
      <c r="A151" s="7">
        <v>41</v>
      </c>
      <c r="B151" s="7" t="s">
        <v>1349</v>
      </c>
      <c r="C151" s="7" t="s">
        <v>1348</v>
      </c>
      <c r="D151" s="7" t="s">
        <v>1347</v>
      </c>
      <c r="E151" s="7" t="s">
        <v>1346</v>
      </c>
      <c r="F151" s="7" t="s">
        <v>1345</v>
      </c>
      <c r="G151" s="7">
        <v>2019</v>
      </c>
      <c r="H151" s="7">
        <v>43363</v>
      </c>
      <c r="I151" s="7" t="s">
        <v>32</v>
      </c>
      <c r="J151" s="7" t="s">
        <v>32</v>
      </c>
      <c r="K151" s="7" t="s">
        <v>1344</v>
      </c>
      <c r="L151" s="7">
        <v>2</v>
      </c>
      <c r="M151" s="7" t="s">
        <v>32</v>
      </c>
      <c r="N151" s="7" t="s">
        <v>34</v>
      </c>
      <c r="O151" s="7" t="s">
        <v>190</v>
      </c>
      <c r="P151" s="7" t="s">
        <v>34</v>
      </c>
      <c r="Q151" s="7" t="s">
        <v>34</v>
      </c>
      <c r="R151" s="7" t="s">
        <v>34</v>
      </c>
      <c r="S151" s="7" t="s">
        <v>34</v>
      </c>
      <c r="T151" s="7" t="s">
        <v>34</v>
      </c>
      <c r="U151" s="7" t="s">
        <v>32</v>
      </c>
      <c r="V151" s="7">
        <v>1</v>
      </c>
      <c r="W151" s="7" t="s">
        <v>32</v>
      </c>
      <c r="X151" s="7" t="s">
        <v>32</v>
      </c>
      <c r="Y151" s="7" t="s">
        <v>32</v>
      </c>
      <c r="Z151" s="7" t="s">
        <v>32</v>
      </c>
      <c r="AA151" s="7">
        <v>30228049</v>
      </c>
      <c r="AB151" s="7">
        <v>1</v>
      </c>
      <c r="AD151" s="7">
        <v>5</v>
      </c>
      <c r="AE151" s="24">
        <v>37</v>
      </c>
      <c r="AF151" s="7">
        <v>18.5</v>
      </c>
      <c r="AG151" s="7">
        <v>18.5</v>
      </c>
      <c r="AH151" s="7" t="s">
        <v>1642</v>
      </c>
      <c r="AI151" s="7" t="s">
        <v>1642</v>
      </c>
      <c r="AJ151" s="7" t="s">
        <v>1896</v>
      </c>
      <c r="AK151" s="7">
        <v>36</v>
      </c>
      <c r="AM151" s="7" t="s">
        <v>1896</v>
      </c>
      <c r="AN151" s="7">
        <v>36</v>
      </c>
      <c r="AP151" s="7">
        <v>1</v>
      </c>
      <c r="AQ151" s="7" t="s">
        <v>1787</v>
      </c>
      <c r="AR151" s="7" t="s">
        <v>1814</v>
      </c>
      <c r="AS151" s="7" t="s">
        <v>1667</v>
      </c>
      <c r="AT151" s="7" t="s">
        <v>1984</v>
      </c>
      <c r="AU151" s="7" t="s">
        <v>178</v>
      </c>
      <c r="AV151" s="7" t="s">
        <v>1697</v>
      </c>
      <c r="AW151" s="7" t="s">
        <v>1690</v>
      </c>
      <c r="AX151" s="7" t="s">
        <v>1985</v>
      </c>
      <c r="AY151" s="7" t="s">
        <v>2015</v>
      </c>
      <c r="AZ151" s="7" t="s">
        <v>1650</v>
      </c>
      <c r="BA151" s="36">
        <v>257</v>
      </c>
      <c r="BB151" s="36">
        <v>249</v>
      </c>
      <c r="BC151" s="36" t="s">
        <v>1990</v>
      </c>
      <c r="BD151" s="7">
        <v>32.8538</v>
      </c>
      <c r="BF151" s="7">
        <f>41.0796-BD151</f>
        <v>8.2257999999999996</v>
      </c>
      <c r="BG151" s="7" t="s">
        <v>1992</v>
      </c>
      <c r="BH151" s="7">
        <v>68.731099999999998</v>
      </c>
      <c r="BJ151" s="7">
        <f>73.8113-BH151</f>
        <v>5.0802000000000049</v>
      </c>
      <c r="BK151" s="9" t="s">
        <v>1994</v>
      </c>
    </row>
    <row r="152" spans="1:63" x14ac:dyDescent="0.2">
      <c r="A152" s="7">
        <v>41</v>
      </c>
      <c r="B152" s="7" t="s">
        <v>1349</v>
      </c>
      <c r="C152" s="7" t="s">
        <v>1348</v>
      </c>
      <c r="D152" s="7" t="s">
        <v>1347</v>
      </c>
      <c r="E152" s="7" t="s">
        <v>1346</v>
      </c>
      <c r="F152" s="7" t="s">
        <v>1345</v>
      </c>
      <c r="G152" s="7">
        <v>2019</v>
      </c>
      <c r="H152" s="7">
        <v>43363</v>
      </c>
      <c r="I152" s="7" t="s">
        <v>32</v>
      </c>
      <c r="J152" s="7" t="s">
        <v>32</v>
      </c>
      <c r="K152" s="7" t="s">
        <v>1344</v>
      </c>
      <c r="L152" s="7">
        <v>2</v>
      </c>
      <c r="M152" s="7" t="s">
        <v>32</v>
      </c>
      <c r="N152" s="7" t="s">
        <v>34</v>
      </c>
      <c r="O152" s="7" t="s">
        <v>190</v>
      </c>
      <c r="P152" s="7" t="s">
        <v>34</v>
      </c>
      <c r="Q152" s="7" t="s">
        <v>34</v>
      </c>
      <c r="R152" s="7" t="s">
        <v>34</v>
      </c>
      <c r="S152" s="7" t="s">
        <v>34</v>
      </c>
      <c r="T152" s="7" t="s">
        <v>34</v>
      </c>
      <c r="U152" s="7" t="s">
        <v>32</v>
      </c>
      <c r="V152" s="7">
        <v>1</v>
      </c>
      <c r="W152" s="7" t="s">
        <v>32</v>
      </c>
      <c r="X152" s="7" t="s">
        <v>32</v>
      </c>
      <c r="Y152" s="7" t="s">
        <v>32</v>
      </c>
      <c r="Z152" s="7" t="s">
        <v>32</v>
      </c>
      <c r="AA152" s="7">
        <v>30228049</v>
      </c>
      <c r="AB152" s="7">
        <v>1</v>
      </c>
      <c r="AD152" s="7">
        <v>5</v>
      </c>
      <c r="AE152" s="24">
        <v>37</v>
      </c>
      <c r="AF152" s="7">
        <v>18.5</v>
      </c>
      <c r="AG152" s="7">
        <v>18.5</v>
      </c>
      <c r="AH152" s="7" t="s">
        <v>1642</v>
      </c>
      <c r="AI152" s="7" t="s">
        <v>1642</v>
      </c>
      <c r="AJ152" s="7" t="s">
        <v>1896</v>
      </c>
      <c r="AK152" s="7">
        <v>36</v>
      </c>
      <c r="AM152" s="7" t="s">
        <v>1896</v>
      </c>
      <c r="AN152" s="7">
        <v>36</v>
      </c>
      <c r="AP152" s="7">
        <v>1</v>
      </c>
      <c r="AQ152" s="7" t="s">
        <v>1787</v>
      </c>
      <c r="AR152" s="7" t="s">
        <v>1814</v>
      </c>
      <c r="AS152" s="7" t="s">
        <v>1667</v>
      </c>
      <c r="AT152" s="7" t="s">
        <v>1984</v>
      </c>
      <c r="AU152" s="7" t="s">
        <v>178</v>
      </c>
      <c r="AV152" s="7" t="s">
        <v>1898</v>
      </c>
      <c r="AW152" s="7" t="s">
        <v>1678</v>
      </c>
      <c r="AX152" s="7" t="s">
        <v>1985</v>
      </c>
      <c r="AY152" s="7" t="s">
        <v>1966</v>
      </c>
      <c r="AZ152" s="7" t="s">
        <v>1650</v>
      </c>
      <c r="BA152" s="36">
        <v>257</v>
      </c>
      <c r="BB152" s="36">
        <v>249</v>
      </c>
      <c r="BC152" s="36" t="s">
        <v>1991</v>
      </c>
      <c r="BD152" s="7">
        <v>176.35</v>
      </c>
      <c r="BF152" s="7">
        <f>194.532-BD152</f>
        <v>18.182000000000016</v>
      </c>
      <c r="BG152" s="7" t="s">
        <v>1993</v>
      </c>
      <c r="BH152" s="7">
        <v>10.708399999999999</v>
      </c>
      <c r="BJ152" s="7">
        <f>17.5265-BH152</f>
        <v>6.8180999999999994</v>
      </c>
      <c r="BK152" s="9" t="s">
        <v>1994</v>
      </c>
    </row>
    <row r="153" spans="1:63" s="21" customFormat="1" x14ac:dyDescent="0.2">
      <c r="A153" s="21">
        <v>42</v>
      </c>
      <c r="B153" s="21" t="s">
        <v>1343</v>
      </c>
      <c r="C153" s="21" t="s">
        <v>1342</v>
      </c>
      <c r="D153" s="21" t="s">
        <v>1341</v>
      </c>
      <c r="E153" s="21" t="s">
        <v>1340</v>
      </c>
      <c r="F153" s="21" t="s">
        <v>1339</v>
      </c>
      <c r="G153" s="21">
        <v>2018</v>
      </c>
      <c r="H153" s="21">
        <v>43314</v>
      </c>
      <c r="I153" s="21" t="s">
        <v>32</v>
      </c>
      <c r="J153" s="21" t="s">
        <v>32</v>
      </c>
      <c r="K153" s="21" t="s">
        <v>1338</v>
      </c>
      <c r="L153" s="21">
        <v>2</v>
      </c>
      <c r="M153" s="21" t="s">
        <v>32</v>
      </c>
      <c r="N153" s="21" t="s">
        <v>34</v>
      </c>
      <c r="O153" s="21" t="s">
        <v>190</v>
      </c>
      <c r="P153" s="21" t="s">
        <v>34</v>
      </c>
      <c r="Q153" s="21" t="s">
        <v>34</v>
      </c>
      <c r="R153" s="21" t="s">
        <v>1337</v>
      </c>
      <c r="S153" s="21" t="s">
        <v>34</v>
      </c>
      <c r="T153" s="21" t="s">
        <v>34</v>
      </c>
      <c r="U153" s="21" t="s">
        <v>32</v>
      </c>
      <c r="V153" s="21">
        <v>1</v>
      </c>
      <c r="W153" s="21" t="s">
        <v>32</v>
      </c>
      <c r="X153" s="21" t="s">
        <v>32</v>
      </c>
      <c r="Y153" s="21" t="s">
        <v>32</v>
      </c>
      <c r="Z153" s="21" t="s">
        <v>32</v>
      </c>
      <c r="AA153" s="21">
        <v>30064318</v>
      </c>
      <c r="AB153" s="21">
        <v>1</v>
      </c>
      <c r="AD153" s="21">
        <v>4</v>
      </c>
      <c r="AE153" s="23">
        <v>11</v>
      </c>
      <c r="AF153" s="21">
        <v>4</v>
      </c>
      <c r="AG153" s="21">
        <v>7</v>
      </c>
      <c r="AH153" s="21" t="s">
        <v>1642</v>
      </c>
      <c r="AI153" s="21" t="s">
        <v>1642</v>
      </c>
      <c r="AJ153" s="21" t="s">
        <v>1995</v>
      </c>
      <c r="AK153" s="21">
        <v>375</v>
      </c>
      <c r="AM153" s="21" t="s">
        <v>1995</v>
      </c>
      <c r="AN153" s="21">
        <v>375</v>
      </c>
      <c r="AR153" s="21" t="s">
        <v>1675</v>
      </c>
      <c r="AS153" s="21" t="s">
        <v>1638</v>
      </c>
      <c r="AT153" s="21" t="s">
        <v>1996</v>
      </c>
      <c r="AU153" s="21" t="s">
        <v>34</v>
      </c>
      <c r="AV153" s="21" t="s">
        <v>1898</v>
      </c>
      <c r="AW153" s="21" t="s">
        <v>1678</v>
      </c>
      <c r="AX153" s="21" t="s">
        <v>1997</v>
      </c>
      <c r="AY153" s="21" t="s">
        <v>2016</v>
      </c>
      <c r="AZ153" s="21" t="s">
        <v>1768</v>
      </c>
      <c r="BA153" s="38">
        <v>258</v>
      </c>
      <c r="BB153" s="38">
        <v>250</v>
      </c>
      <c r="BC153" s="38" t="s">
        <v>1998</v>
      </c>
      <c r="BD153" s="21">
        <v>28.425999999999998</v>
      </c>
      <c r="BE153" s="21">
        <f>43.0337-BD153</f>
        <v>14.607700000000005</v>
      </c>
      <c r="BG153" s="21" t="s">
        <v>1999</v>
      </c>
      <c r="BH153" s="21">
        <v>170.839</v>
      </c>
      <c r="BI153" s="21">
        <f>197.933-BH153</f>
        <v>27.093999999999994</v>
      </c>
      <c r="BK153" s="40" t="s">
        <v>2019</v>
      </c>
    </row>
    <row r="154" spans="1:63" s="20" customFormat="1" x14ac:dyDescent="0.2">
      <c r="A154" s="20">
        <v>43</v>
      </c>
      <c r="B154" s="20" t="s">
        <v>1336</v>
      </c>
      <c r="C154" s="20" t="s">
        <v>1335</v>
      </c>
      <c r="D154" s="20" t="s">
        <v>1334</v>
      </c>
      <c r="E154" s="20" t="s">
        <v>1333</v>
      </c>
      <c r="F154" s="20" t="s">
        <v>1332</v>
      </c>
      <c r="G154" s="20">
        <v>2018</v>
      </c>
      <c r="H154" s="20">
        <v>43301</v>
      </c>
      <c r="I154" s="20" t="s">
        <v>1331</v>
      </c>
      <c r="J154" s="20" t="s">
        <v>32</v>
      </c>
      <c r="K154" s="20" t="s">
        <v>1330</v>
      </c>
      <c r="L154" s="20">
        <v>2</v>
      </c>
      <c r="M154" s="20" t="s">
        <v>32</v>
      </c>
      <c r="N154" s="20" t="s">
        <v>34</v>
      </c>
      <c r="O154" s="20" t="s">
        <v>190</v>
      </c>
      <c r="P154" s="20" t="s">
        <v>119</v>
      </c>
      <c r="Q154" s="20" t="s">
        <v>34</v>
      </c>
      <c r="R154" s="20" t="s">
        <v>34</v>
      </c>
      <c r="S154" s="20" t="s">
        <v>34</v>
      </c>
      <c r="T154" s="20" t="s">
        <v>34</v>
      </c>
      <c r="U154" s="20" t="s">
        <v>32</v>
      </c>
      <c r="V154" s="20">
        <v>1</v>
      </c>
      <c r="W154" s="20" t="s">
        <v>32</v>
      </c>
      <c r="X154" s="20" t="s">
        <v>32</v>
      </c>
      <c r="Y154" s="20" t="s">
        <v>32</v>
      </c>
      <c r="Z154" s="20" t="s">
        <v>32</v>
      </c>
      <c r="AA154" s="20">
        <v>30022871</v>
      </c>
      <c r="AB154" s="20">
        <v>0</v>
      </c>
      <c r="AC154" s="20" t="s">
        <v>2000</v>
      </c>
      <c r="AE154" s="26"/>
      <c r="BK154" s="41" t="s">
        <v>2000</v>
      </c>
    </row>
    <row r="155" spans="1:63" s="20" customFormat="1" x14ac:dyDescent="0.2">
      <c r="A155" s="20">
        <v>44</v>
      </c>
      <c r="B155" s="20" t="s">
        <v>1329</v>
      </c>
      <c r="C155" s="20" t="s">
        <v>1328</v>
      </c>
      <c r="D155" s="20" t="s">
        <v>1327</v>
      </c>
      <c r="E155" s="20" t="s">
        <v>1326</v>
      </c>
      <c r="F155" s="20" t="s">
        <v>1296</v>
      </c>
      <c r="G155" s="20">
        <v>2018</v>
      </c>
      <c r="H155" s="20">
        <v>43266</v>
      </c>
      <c r="I155" s="20" t="s">
        <v>32</v>
      </c>
      <c r="J155" s="20" t="s">
        <v>32</v>
      </c>
      <c r="K155" s="20" t="s">
        <v>1325</v>
      </c>
      <c r="L155" s="20">
        <v>2</v>
      </c>
      <c r="M155" s="20" t="s">
        <v>32</v>
      </c>
      <c r="N155" s="20" t="s">
        <v>34</v>
      </c>
      <c r="O155" s="20" t="s">
        <v>190</v>
      </c>
      <c r="P155" s="20" t="s">
        <v>34</v>
      </c>
      <c r="Q155" s="20" t="s">
        <v>34</v>
      </c>
      <c r="R155" s="20" t="s">
        <v>34</v>
      </c>
      <c r="S155" s="20" t="s">
        <v>34</v>
      </c>
      <c r="T155" s="20" t="s">
        <v>34</v>
      </c>
      <c r="U155" s="20" t="s">
        <v>32</v>
      </c>
      <c r="V155" s="20">
        <v>1</v>
      </c>
      <c r="W155" s="20" t="s">
        <v>32</v>
      </c>
      <c r="X155" s="20" t="s">
        <v>32</v>
      </c>
      <c r="Y155" s="20" t="s">
        <v>1324</v>
      </c>
      <c r="Z155" s="20" t="s">
        <v>32</v>
      </c>
      <c r="AA155" s="20">
        <v>29902501</v>
      </c>
      <c r="AB155" s="20">
        <v>0</v>
      </c>
      <c r="AC155" s="20" t="s">
        <v>2778</v>
      </c>
      <c r="AE155" s="26"/>
      <c r="BK155" s="41" t="s">
        <v>2017</v>
      </c>
    </row>
    <row r="156" spans="1:63" s="20" customFormat="1" x14ac:dyDescent="0.2">
      <c r="A156" s="20">
        <v>45</v>
      </c>
      <c r="B156" s="20" t="s">
        <v>1323</v>
      </c>
      <c r="C156" s="20" t="s">
        <v>1322</v>
      </c>
      <c r="D156" s="20" t="s">
        <v>1321</v>
      </c>
      <c r="E156" s="20" t="s">
        <v>1320</v>
      </c>
      <c r="F156" s="20" t="s">
        <v>336</v>
      </c>
      <c r="G156" s="20">
        <v>2018</v>
      </c>
      <c r="H156" s="20">
        <v>43264</v>
      </c>
      <c r="I156" s="20" t="s">
        <v>1319</v>
      </c>
      <c r="J156" s="20" t="s">
        <v>32</v>
      </c>
      <c r="K156" s="20" t="s">
        <v>1318</v>
      </c>
      <c r="L156" s="20">
        <v>2</v>
      </c>
      <c r="M156" s="20" t="s">
        <v>32</v>
      </c>
      <c r="N156" s="20" t="s">
        <v>34</v>
      </c>
      <c r="O156" s="20" t="s">
        <v>190</v>
      </c>
      <c r="P156" s="20" t="s">
        <v>34</v>
      </c>
      <c r="Q156" s="20" t="s">
        <v>34</v>
      </c>
      <c r="R156" s="20" t="s">
        <v>34</v>
      </c>
      <c r="S156" s="20" t="s">
        <v>34</v>
      </c>
      <c r="T156" s="20" t="s">
        <v>34</v>
      </c>
      <c r="U156" s="20" t="s">
        <v>32</v>
      </c>
      <c r="V156" s="20">
        <v>1</v>
      </c>
      <c r="W156" s="20" t="s">
        <v>32</v>
      </c>
      <c r="X156" s="20" t="s">
        <v>32</v>
      </c>
      <c r="Y156" s="20" t="s">
        <v>32</v>
      </c>
      <c r="Z156" s="20" t="s">
        <v>32</v>
      </c>
      <c r="AA156" s="20">
        <v>29892216</v>
      </c>
      <c r="AB156" s="20">
        <v>0</v>
      </c>
      <c r="AC156" s="20" t="s">
        <v>2001</v>
      </c>
      <c r="AE156" s="26"/>
      <c r="BK156" s="41"/>
    </row>
    <row r="157" spans="1:63" s="20" customFormat="1" x14ac:dyDescent="0.2">
      <c r="A157" s="20">
        <v>46</v>
      </c>
      <c r="B157" s="20" t="s">
        <v>1317</v>
      </c>
      <c r="C157" s="20" t="s">
        <v>1316</v>
      </c>
      <c r="D157" s="20" t="s">
        <v>1315</v>
      </c>
      <c r="E157" s="20" t="s">
        <v>1314</v>
      </c>
      <c r="F157" s="20" t="s">
        <v>300</v>
      </c>
      <c r="G157" s="20">
        <v>2018</v>
      </c>
      <c r="H157" s="20">
        <v>43215</v>
      </c>
      <c r="I157" s="20" t="s">
        <v>1313</v>
      </c>
      <c r="J157" s="20" t="s">
        <v>32</v>
      </c>
      <c r="K157" s="20" t="s">
        <v>1312</v>
      </c>
      <c r="L157" s="20">
        <v>2</v>
      </c>
      <c r="M157" s="20" t="s">
        <v>1311</v>
      </c>
      <c r="N157" s="20" t="s">
        <v>34</v>
      </c>
      <c r="O157" s="20" t="s">
        <v>34</v>
      </c>
      <c r="P157" s="20" t="s">
        <v>34</v>
      </c>
      <c r="Q157" s="20" t="s">
        <v>34</v>
      </c>
      <c r="R157" s="20" t="s">
        <v>34</v>
      </c>
      <c r="S157" s="20" t="s">
        <v>34</v>
      </c>
      <c r="T157" s="20" t="s">
        <v>34</v>
      </c>
      <c r="U157" s="20" t="s">
        <v>34</v>
      </c>
      <c r="V157" s="20">
        <v>1</v>
      </c>
      <c r="W157" s="20" t="s">
        <v>178</v>
      </c>
      <c r="X157" s="20">
        <v>1</v>
      </c>
      <c r="Y157" s="20" t="s">
        <v>1310</v>
      </c>
      <c r="Z157" s="20" t="s">
        <v>1309</v>
      </c>
      <c r="AA157" s="20">
        <v>29686048</v>
      </c>
      <c r="AB157" s="20">
        <v>0</v>
      </c>
      <c r="AC157" s="20" t="s">
        <v>2780</v>
      </c>
      <c r="AE157" s="26"/>
      <c r="BK157" s="41" t="s">
        <v>2002</v>
      </c>
    </row>
    <row r="158" spans="1:63" s="45" customFormat="1" x14ac:dyDescent="0.2">
      <c r="A158" s="45">
        <v>47</v>
      </c>
      <c r="B158" s="45" t="s">
        <v>1308</v>
      </c>
      <c r="C158" s="45" t="s">
        <v>1173</v>
      </c>
      <c r="D158" s="45" t="s">
        <v>1307</v>
      </c>
      <c r="E158" s="45" t="s">
        <v>1171</v>
      </c>
      <c r="F158" s="45" t="s">
        <v>185</v>
      </c>
      <c r="G158" s="45">
        <v>2018</v>
      </c>
      <c r="H158" s="45">
        <v>43186</v>
      </c>
      <c r="I158" s="45" t="s">
        <v>1306</v>
      </c>
      <c r="J158" s="45" t="s">
        <v>1305</v>
      </c>
      <c r="K158" s="45" t="s">
        <v>1304</v>
      </c>
      <c r="L158" s="45">
        <v>2</v>
      </c>
      <c r="M158" s="45" t="s">
        <v>1303</v>
      </c>
      <c r="N158" s="45" t="s">
        <v>34</v>
      </c>
      <c r="O158" s="45" t="s">
        <v>190</v>
      </c>
      <c r="P158" s="45" t="s">
        <v>34</v>
      </c>
      <c r="Q158" s="45" t="s">
        <v>34</v>
      </c>
      <c r="R158" s="45" t="s">
        <v>34</v>
      </c>
      <c r="S158" s="45" t="s">
        <v>34</v>
      </c>
      <c r="T158" s="45" t="s">
        <v>34</v>
      </c>
      <c r="U158" s="45" t="s">
        <v>34</v>
      </c>
      <c r="V158" s="45" t="s">
        <v>190</v>
      </c>
      <c r="W158" s="45" t="s">
        <v>32</v>
      </c>
      <c r="X158" s="45" t="s">
        <v>32</v>
      </c>
      <c r="Y158" s="45" t="s">
        <v>1302</v>
      </c>
      <c r="Z158" s="45" t="s">
        <v>1301</v>
      </c>
      <c r="AA158" s="45">
        <v>29578033</v>
      </c>
      <c r="AB158" s="45">
        <v>0</v>
      </c>
      <c r="AD158" s="45" t="s">
        <v>2020</v>
      </c>
      <c r="AE158" s="46"/>
      <c r="BK158" s="47"/>
    </row>
    <row r="159" spans="1:63" x14ac:dyDescent="0.2">
      <c r="A159" s="7">
        <v>48</v>
      </c>
      <c r="B159" s="7" t="s">
        <v>1300</v>
      </c>
      <c r="C159" s="7" t="s">
        <v>1299</v>
      </c>
      <c r="D159" s="7" t="s">
        <v>1298</v>
      </c>
      <c r="E159" s="7" t="s">
        <v>1297</v>
      </c>
      <c r="F159" s="7" t="s">
        <v>1296</v>
      </c>
      <c r="G159" s="7">
        <v>2018</v>
      </c>
      <c r="H159" s="7">
        <v>43181</v>
      </c>
      <c r="I159" s="7" t="s">
        <v>32</v>
      </c>
      <c r="J159" s="7" t="s">
        <v>32</v>
      </c>
      <c r="K159" s="7" t="s">
        <v>1295</v>
      </c>
      <c r="L159" s="7">
        <v>2</v>
      </c>
      <c r="M159" s="7" t="s">
        <v>32</v>
      </c>
      <c r="N159" s="7" t="s">
        <v>34</v>
      </c>
      <c r="O159" s="7" t="s">
        <v>190</v>
      </c>
      <c r="P159" s="7" t="s">
        <v>34</v>
      </c>
      <c r="Q159" s="7" t="s">
        <v>34</v>
      </c>
      <c r="R159" s="7" t="s">
        <v>34</v>
      </c>
      <c r="S159" s="7" t="s">
        <v>34</v>
      </c>
      <c r="T159" s="7" t="s">
        <v>34</v>
      </c>
      <c r="U159" s="7" t="s">
        <v>32</v>
      </c>
      <c r="V159" s="7">
        <v>1</v>
      </c>
      <c r="W159" s="7" t="s">
        <v>32</v>
      </c>
      <c r="X159" s="7" t="s">
        <v>32</v>
      </c>
      <c r="Y159" s="7" t="s">
        <v>32</v>
      </c>
      <c r="Z159" s="7" t="s">
        <v>32</v>
      </c>
      <c r="AA159" s="7">
        <v>29559394</v>
      </c>
      <c r="AB159" s="7">
        <v>1</v>
      </c>
      <c r="AD159" s="7">
        <v>4</v>
      </c>
      <c r="AE159" s="24">
        <v>27</v>
      </c>
      <c r="AF159" s="7">
        <v>13.5</v>
      </c>
      <c r="AG159" s="7">
        <v>13.5</v>
      </c>
      <c r="AH159" s="7" t="s">
        <v>1642</v>
      </c>
      <c r="AI159" s="7" t="s">
        <v>1642</v>
      </c>
      <c r="AK159" s="7">
        <v>175</v>
      </c>
      <c r="AN159" s="7">
        <v>175</v>
      </c>
      <c r="AR159" s="7" t="s">
        <v>1637</v>
      </c>
      <c r="AS159" s="7" t="s">
        <v>1638</v>
      </c>
      <c r="AT159" s="7" t="s">
        <v>1729</v>
      </c>
      <c r="AU159" s="7" t="s">
        <v>178</v>
      </c>
      <c r="AV159" s="21" t="s">
        <v>1898</v>
      </c>
      <c r="AW159" s="7" t="s">
        <v>1794</v>
      </c>
      <c r="AX159" s="7" t="s">
        <v>2021</v>
      </c>
      <c r="AY159" s="7" t="s">
        <v>1795</v>
      </c>
      <c r="AZ159" s="7" t="s">
        <v>1650</v>
      </c>
      <c r="BA159" s="7">
        <v>260</v>
      </c>
      <c r="BB159" s="7">
        <v>252</v>
      </c>
      <c r="BC159" s="7" t="s">
        <v>1796</v>
      </c>
      <c r="BD159" s="7">
        <v>5.0687699999999998</v>
      </c>
      <c r="BF159" s="7">
        <f>5.83829-BD159</f>
        <v>0.76951999999999998</v>
      </c>
      <c r="BG159" s="7" t="s">
        <v>1799</v>
      </c>
      <c r="BH159" s="7">
        <v>5.3029700000000002</v>
      </c>
      <c r="BJ159" s="7">
        <f>6.22305-BH159</f>
        <v>0.92007999999999956</v>
      </c>
    </row>
    <row r="160" spans="1:63" x14ac:dyDescent="0.2">
      <c r="A160" s="7">
        <v>48</v>
      </c>
      <c r="B160" s="7" t="s">
        <v>1300</v>
      </c>
      <c r="C160" s="7" t="s">
        <v>1299</v>
      </c>
      <c r="D160" s="7" t="s">
        <v>1298</v>
      </c>
      <c r="E160" s="7" t="s">
        <v>1297</v>
      </c>
      <c r="F160" s="7" t="s">
        <v>1296</v>
      </c>
      <c r="G160" s="7">
        <v>2018</v>
      </c>
      <c r="H160" s="7">
        <v>43181</v>
      </c>
      <c r="I160" s="7" t="s">
        <v>32</v>
      </c>
      <c r="J160" s="7" t="s">
        <v>32</v>
      </c>
      <c r="K160" s="7" t="s">
        <v>1295</v>
      </c>
      <c r="L160" s="7">
        <v>2</v>
      </c>
      <c r="M160" s="7" t="s">
        <v>32</v>
      </c>
      <c r="N160" s="7" t="s">
        <v>34</v>
      </c>
      <c r="O160" s="7" t="s">
        <v>190</v>
      </c>
      <c r="P160" s="7" t="s">
        <v>34</v>
      </c>
      <c r="Q160" s="7" t="s">
        <v>34</v>
      </c>
      <c r="R160" s="7" t="s">
        <v>34</v>
      </c>
      <c r="S160" s="7" t="s">
        <v>34</v>
      </c>
      <c r="T160" s="7" t="s">
        <v>34</v>
      </c>
      <c r="U160" s="7" t="s">
        <v>32</v>
      </c>
      <c r="V160" s="7">
        <v>1</v>
      </c>
      <c r="W160" s="7" t="s">
        <v>32</v>
      </c>
      <c r="X160" s="7" t="s">
        <v>32</v>
      </c>
      <c r="Y160" s="7" t="s">
        <v>32</v>
      </c>
      <c r="Z160" s="7" t="s">
        <v>32</v>
      </c>
      <c r="AA160" s="7">
        <v>29559394</v>
      </c>
      <c r="AB160" s="7">
        <v>1</v>
      </c>
      <c r="AD160" s="7">
        <v>4</v>
      </c>
      <c r="AE160" s="24">
        <v>27</v>
      </c>
      <c r="AF160" s="7">
        <v>13.5</v>
      </c>
      <c r="AG160" s="7">
        <v>13.5</v>
      </c>
      <c r="AH160" s="7" t="s">
        <v>1642</v>
      </c>
      <c r="AI160" s="7" t="s">
        <v>1642</v>
      </c>
      <c r="AK160" s="7">
        <v>175</v>
      </c>
      <c r="AN160" s="7">
        <v>175</v>
      </c>
      <c r="AR160" s="7" t="s">
        <v>1637</v>
      </c>
      <c r="AS160" s="7" t="s">
        <v>1638</v>
      </c>
      <c r="AT160" s="7" t="s">
        <v>1729</v>
      </c>
      <c r="AU160" s="7" t="s">
        <v>178</v>
      </c>
      <c r="AV160" s="21" t="s">
        <v>1898</v>
      </c>
      <c r="AW160" s="7" t="s">
        <v>1794</v>
      </c>
      <c r="AX160" s="7" t="s">
        <v>2021</v>
      </c>
      <c r="AY160" s="7" t="s">
        <v>1795</v>
      </c>
      <c r="AZ160" s="7" t="s">
        <v>1650</v>
      </c>
      <c r="BA160" s="7">
        <v>260</v>
      </c>
      <c r="BB160" s="7">
        <v>252</v>
      </c>
      <c r="BC160" s="7" t="s">
        <v>1797</v>
      </c>
      <c r="BD160" s="7">
        <v>2.6096699999999999</v>
      </c>
      <c r="BF160" s="7">
        <f>3.34572-BD160</f>
        <v>0.73605000000000009</v>
      </c>
      <c r="BG160" s="7" t="s">
        <v>1800</v>
      </c>
      <c r="BH160" s="7">
        <v>1.5055799999999999</v>
      </c>
      <c r="BJ160" s="7">
        <f>1.68959-BH160</f>
        <v>0.18401000000000001</v>
      </c>
    </row>
    <row r="161" spans="1:63" x14ac:dyDescent="0.2">
      <c r="A161" s="7">
        <v>48</v>
      </c>
      <c r="B161" s="7" t="s">
        <v>1300</v>
      </c>
      <c r="C161" s="7" t="s">
        <v>1299</v>
      </c>
      <c r="D161" s="7" t="s">
        <v>1298</v>
      </c>
      <c r="E161" s="7" t="s">
        <v>1297</v>
      </c>
      <c r="F161" s="7" t="s">
        <v>1296</v>
      </c>
      <c r="G161" s="7">
        <v>2018</v>
      </c>
      <c r="H161" s="7">
        <v>43181</v>
      </c>
      <c r="I161" s="7" t="s">
        <v>32</v>
      </c>
      <c r="J161" s="7" t="s">
        <v>32</v>
      </c>
      <c r="K161" s="7" t="s">
        <v>1295</v>
      </c>
      <c r="L161" s="7">
        <v>2</v>
      </c>
      <c r="M161" s="7" t="s">
        <v>32</v>
      </c>
      <c r="N161" s="7" t="s">
        <v>34</v>
      </c>
      <c r="O161" s="7" t="s">
        <v>190</v>
      </c>
      <c r="P161" s="7" t="s">
        <v>34</v>
      </c>
      <c r="Q161" s="7" t="s">
        <v>34</v>
      </c>
      <c r="R161" s="7" t="s">
        <v>34</v>
      </c>
      <c r="S161" s="7" t="s">
        <v>34</v>
      </c>
      <c r="T161" s="7" t="s">
        <v>34</v>
      </c>
      <c r="U161" s="7" t="s">
        <v>32</v>
      </c>
      <c r="V161" s="7">
        <v>1</v>
      </c>
      <c r="W161" s="7" t="s">
        <v>32</v>
      </c>
      <c r="X161" s="7" t="s">
        <v>32</v>
      </c>
      <c r="Y161" s="7" t="s">
        <v>32</v>
      </c>
      <c r="Z161" s="7" t="s">
        <v>32</v>
      </c>
      <c r="AA161" s="7">
        <v>29559394</v>
      </c>
      <c r="AB161" s="7">
        <v>1</v>
      </c>
      <c r="AD161" s="7">
        <v>4</v>
      </c>
      <c r="AE161" s="24">
        <v>27</v>
      </c>
      <c r="AF161" s="7">
        <v>13.5</v>
      </c>
      <c r="AG161" s="7">
        <v>13.5</v>
      </c>
      <c r="AH161" s="7" t="s">
        <v>1642</v>
      </c>
      <c r="AI161" s="7" t="s">
        <v>1642</v>
      </c>
      <c r="AK161" s="7">
        <v>175</v>
      </c>
      <c r="AN161" s="7">
        <v>175</v>
      </c>
      <c r="AR161" s="7" t="s">
        <v>1637</v>
      </c>
      <c r="AS161" s="7" t="s">
        <v>1638</v>
      </c>
      <c r="AT161" s="7" t="s">
        <v>1729</v>
      </c>
      <c r="AU161" s="7" t="s">
        <v>178</v>
      </c>
      <c r="AV161" s="21" t="s">
        <v>1898</v>
      </c>
      <c r="AW161" s="7" t="s">
        <v>1794</v>
      </c>
      <c r="AX161" s="7" t="s">
        <v>2021</v>
      </c>
      <c r="AY161" s="7" t="s">
        <v>1795</v>
      </c>
      <c r="AZ161" s="7" t="s">
        <v>1650</v>
      </c>
      <c r="BA161" s="7">
        <v>260</v>
      </c>
      <c r="BB161" s="7">
        <v>252</v>
      </c>
      <c r="BC161" s="7" t="s">
        <v>1798</v>
      </c>
      <c r="BD161" s="7">
        <v>0.45167299999999999</v>
      </c>
      <c r="BF161" s="7">
        <f>0.769517-BD161</f>
        <v>0.31784400000000002</v>
      </c>
      <c r="BG161" s="7" t="s">
        <v>1801</v>
      </c>
      <c r="BH161" s="7">
        <v>0.63568800000000003</v>
      </c>
      <c r="BJ161" s="7">
        <f>0.819703-BH161</f>
        <v>0.18401499999999993</v>
      </c>
    </row>
    <row r="162" spans="1:63" x14ac:dyDescent="0.2">
      <c r="A162" s="7">
        <v>48</v>
      </c>
      <c r="B162" s="7" t="s">
        <v>1300</v>
      </c>
      <c r="C162" s="7" t="s">
        <v>1299</v>
      </c>
      <c r="D162" s="7" t="s">
        <v>1298</v>
      </c>
      <c r="E162" s="7" t="s">
        <v>1297</v>
      </c>
      <c r="F162" s="7" t="s">
        <v>1296</v>
      </c>
      <c r="G162" s="7">
        <v>2018</v>
      </c>
      <c r="H162" s="7">
        <v>43181</v>
      </c>
      <c r="I162" s="7" t="s">
        <v>32</v>
      </c>
      <c r="J162" s="7" t="s">
        <v>32</v>
      </c>
      <c r="K162" s="7" t="s">
        <v>1295</v>
      </c>
      <c r="L162" s="7">
        <v>2</v>
      </c>
      <c r="M162" s="7" t="s">
        <v>32</v>
      </c>
      <c r="N162" s="7" t="s">
        <v>34</v>
      </c>
      <c r="O162" s="7" t="s">
        <v>190</v>
      </c>
      <c r="P162" s="7" t="s">
        <v>34</v>
      </c>
      <c r="Q162" s="7" t="s">
        <v>34</v>
      </c>
      <c r="R162" s="7" t="s">
        <v>34</v>
      </c>
      <c r="S162" s="7" t="s">
        <v>34</v>
      </c>
      <c r="T162" s="7" t="s">
        <v>34</v>
      </c>
      <c r="U162" s="7" t="s">
        <v>32</v>
      </c>
      <c r="V162" s="7">
        <v>1</v>
      </c>
      <c r="W162" s="7" t="s">
        <v>32</v>
      </c>
      <c r="X162" s="7" t="s">
        <v>32</v>
      </c>
      <c r="Y162" s="7" t="s">
        <v>32</v>
      </c>
      <c r="Z162" s="7" t="s">
        <v>32</v>
      </c>
      <c r="AA162" s="7">
        <v>29559394</v>
      </c>
      <c r="AB162" s="7">
        <v>1</v>
      </c>
      <c r="AD162" s="7">
        <v>4</v>
      </c>
      <c r="AE162" s="24">
        <v>27</v>
      </c>
      <c r="AF162" s="7">
        <v>13.5</v>
      </c>
      <c r="AG162" s="7">
        <v>13.5</v>
      </c>
      <c r="AH162" s="7" t="s">
        <v>1642</v>
      </c>
      <c r="AI162" s="7" t="s">
        <v>1642</v>
      </c>
      <c r="AK162" s="7">
        <v>175</v>
      </c>
      <c r="AN162" s="7">
        <v>175</v>
      </c>
      <c r="AR162" s="7" t="s">
        <v>1637</v>
      </c>
      <c r="AS162" s="7" t="s">
        <v>1638</v>
      </c>
      <c r="AT162" s="7" t="s">
        <v>1729</v>
      </c>
      <c r="AU162" s="7" t="s">
        <v>178</v>
      </c>
      <c r="AV162" s="21" t="s">
        <v>1898</v>
      </c>
      <c r="AW162" s="7" t="s">
        <v>1794</v>
      </c>
      <c r="AX162" s="7" t="s">
        <v>2021</v>
      </c>
      <c r="AY162" s="7" t="s">
        <v>1808</v>
      </c>
      <c r="AZ162" s="7" t="s">
        <v>1650</v>
      </c>
      <c r="BA162" s="7">
        <v>260</v>
      </c>
      <c r="BB162" s="7">
        <v>252</v>
      </c>
      <c r="BC162" s="7" t="s">
        <v>1802</v>
      </c>
      <c r="BD162" s="7">
        <v>3.3672300000000002</v>
      </c>
      <c r="BF162" s="7">
        <f>3.72655-BD162</f>
        <v>0.35931999999999986</v>
      </c>
      <c r="BG162" s="7" t="s">
        <v>1803</v>
      </c>
      <c r="BH162" s="7">
        <v>0.94011299999999998</v>
      </c>
      <c r="BJ162" s="7">
        <f>1.19096-BH162</f>
        <v>0.25084700000000004</v>
      </c>
    </row>
    <row r="163" spans="1:63" x14ac:dyDescent="0.2">
      <c r="A163" s="7">
        <v>48</v>
      </c>
      <c r="B163" s="7" t="s">
        <v>1300</v>
      </c>
      <c r="C163" s="7" t="s">
        <v>1299</v>
      </c>
      <c r="D163" s="7" t="s">
        <v>1298</v>
      </c>
      <c r="E163" s="7" t="s">
        <v>1297</v>
      </c>
      <c r="F163" s="7" t="s">
        <v>1296</v>
      </c>
      <c r="G163" s="7">
        <v>2018</v>
      </c>
      <c r="H163" s="7">
        <v>43181</v>
      </c>
      <c r="I163" s="7" t="s">
        <v>32</v>
      </c>
      <c r="J163" s="7" t="s">
        <v>32</v>
      </c>
      <c r="K163" s="7" t="s">
        <v>1295</v>
      </c>
      <c r="L163" s="7">
        <v>2</v>
      </c>
      <c r="M163" s="7" t="s">
        <v>32</v>
      </c>
      <c r="N163" s="7" t="s">
        <v>34</v>
      </c>
      <c r="O163" s="7" t="s">
        <v>190</v>
      </c>
      <c r="P163" s="7" t="s">
        <v>34</v>
      </c>
      <c r="Q163" s="7" t="s">
        <v>34</v>
      </c>
      <c r="R163" s="7" t="s">
        <v>34</v>
      </c>
      <c r="S163" s="7" t="s">
        <v>34</v>
      </c>
      <c r="T163" s="7" t="s">
        <v>34</v>
      </c>
      <c r="U163" s="7" t="s">
        <v>32</v>
      </c>
      <c r="V163" s="7">
        <v>1</v>
      </c>
      <c r="W163" s="7" t="s">
        <v>32</v>
      </c>
      <c r="X163" s="7" t="s">
        <v>32</v>
      </c>
      <c r="Y163" s="7" t="s">
        <v>32</v>
      </c>
      <c r="Z163" s="7" t="s">
        <v>32</v>
      </c>
      <c r="AA163" s="7">
        <v>29559394</v>
      </c>
      <c r="AB163" s="7">
        <v>1</v>
      </c>
      <c r="AD163" s="7">
        <v>4</v>
      </c>
      <c r="AE163" s="24">
        <v>27</v>
      </c>
      <c r="AF163" s="7">
        <v>13.5</v>
      </c>
      <c r="AG163" s="7">
        <v>13.5</v>
      </c>
      <c r="AH163" s="7" t="s">
        <v>1642</v>
      </c>
      <c r="AI163" s="7" t="s">
        <v>1642</v>
      </c>
      <c r="AK163" s="7">
        <v>175</v>
      </c>
      <c r="AN163" s="7">
        <v>175</v>
      </c>
      <c r="AR163" s="7" t="s">
        <v>1637</v>
      </c>
      <c r="AS163" s="7" t="s">
        <v>1638</v>
      </c>
      <c r="AT163" s="7" t="s">
        <v>1729</v>
      </c>
      <c r="AU163" s="7" t="s">
        <v>178</v>
      </c>
      <c r="AV163" s="21" t="s">
        <v>1898</v>
      </c>
      <c r="AW163" s="7" t="s">
        <v>1794</v>
      </c>
      <c r="AX163" s="7" t="s">
        <v>2021</v>
      </c>
      <c r="AY163" s="7" t="s">
        <v>1809</v>
      </c>
      <c r="AZ163" s="7" t="s">
        <v>1650</v>
      </c>
      <c r="BA163" s="7">
        <v>260</v>
      </c>
      <c r="BB163" s="7">
        <v>252</v>
      </c>
      <c r="BC163" s="7" t="s">
        <v>1804</v>
      </c>
      <c r="BD163" s="7">
        <v>3.1835</v>
      </c>
      <c r="BF163" s="7">
        <f>3.55932-BD163</f>
        <v>0.37582000000000004</v>
      </c>
      <c r="BG163" s="7" t="s">
        <v>1805</v>
      </c>
      <c r="BH163" s="7">
        <v>1.0230699999999999</v>
      </c>
      <c r="BJ163" s="7">
        <f>1.22746-BH163</f>
        <v>0.20439000000000007</v>
      </c>
    </row>
    <row r="164" spans="1:63" x14ac:dyDescent="0.2">
      <c r="A164" s="7">
        <v>48</v>
      </c>
      <c r="B164" s="7" t="s">
        <v>1300</v>
      </c>
      <c r="C164" s="7" t="s">
        <v>1299</v>
      </c>
      <c r="D164" s="7" t="s">
        <v>1298</v>
      </c>
      <c r="E164" s="7" t="s">
        <v>1297</v>
      </c>
      <c r="F164" s="7" t="s">
        <v>1296</v>
      </c>
      <c r="G164" s="7">
        <v>2018</v>
      </c>
      <c r="H164" s="7">
        <v>43181</v>
      </c>
      <c r="I164" s="7" t="s">
        <v>32</v>
      </c>
      <c r="J164" s="7" t="s">
        <v>32</v>
      </c>
      <c r="K164" s="7" t="s">
        <v>1295</v>
      </c>
      <c r="L164" s="7">
        <v>2</v>
      </c>
      <c r="M164" s="7" t="s">
        <v>32</v>
      </c>
      <c r="N164" s="7" t="s">
        <v>34</v>
      </c>
      <c r="O164" s="7" t="s">
        <v>190</v>
      </c>
      <c r="P164" s="7" t="s">
        <v>34</v>
      </c>
      <c r="Q164" s="7" t="s">
        <v>34</v>
      </c>
      <c r="R164" s="7" t="s">
        <v>34</v>
      </c>
      <c r="S164" s="7" t="s">
        <v>34</v>
      </c>
      <c r="T164" s="7" t="s">
        <v>34</v>
      </c>
      <c r="U164" s="7" t="s">
        <v>32</v>
      </c>
      <c r="V164" s="7">
        <v>1</v>
      </c>
      <c r="W164" s="7" t="s">
        <v>32</v>
      </c>
      <c r="X164" s="7" t="s">
        <v>32</v>
      </c>
      <c r="Y164" s="7" t="s">
        <v>32</v>
      </c>
      <c r="Z164" s="7" t="s">
        <v>32</v>
      </c>
      <c r="AA164" s="7">
        <v>29559394</v>
      </c>
      <c r="AB164" s="7">
        <v>1</v>
      </c>
      <c r="AD164" s="7">
        <v>4</v>
      </c>
      <c r="AE164" s="24">
        <v>27</v>
      </c>
      <c r="AF164" s="7">
        <v>13.5</v>
      </c>
      <c r="AG164" s="7">
        <v>13.5</v>
      </c>
      <c r="AH164" s="7" t="s">
        <v>1642</v>
      </c>
      <c r="AI164" s="7" t="s">
        <v>1642</v>
      </c>
      <c r="AK164" s="7">
        <v>175</v>
      </c>
      <c r="AN164" s="7">
        <v>175</v>
      </c>
      <c r="AR164" s="7" t="s">
        <v>1637</v>
      </c>
      <c r="AS164" s="7" t="s">
        <v>1638</v>
      </c>
      <c r="AT164" s="7" t="s">
        <v>1729</v>
      </c>
      <c r="AU164" s="7" t="s">
        <v>178</v>
      </c>
      <c r="AV164" s="21" t="s">
        <v>1898</v>
      </c>
      <c r="AW164" s="7" t="s">
        <v>1794</v>
      </c>
      <c r="AX164" s="7" t="s">
        <v>2021</v>
      </c>
      <c r="AY164" s="7" t="s">
        <v>1809</v>
      </c>
      <c r="AZ164" s="7" t="s">
        <v>1650</v>
      </c>
      <c r="BA164" s="7">
        <v>260</v>
      </c>
      <c r="BB164" s="7">
        <v>252</v>
      </c>
      <c r="BC164" s="7" t="s">
        <v>1806</v>
      </c>
      <c r="BD164" s="7">
        <v>2.9291200000000002</v>
      </c>
      <c r="BF164" s="7">
        <f>3.23253-BD164</f>
        <v>0.30340999999999996</v>
      </c>
      <c r="BG164" s="7" t="s">
        <v>1807</v>
      </c>
      <c r="BH164" s="7">
        <v>1.0160400000000001</v>
      </c>
      <c r="BJ164" s="7">
        <f>1.29565-BH164</f>
        <v>0.27960999999999991</v>
      </c>
    </row>
    <row r="165" spans="1:63" x14ac:dyDescent="0.2">
      <c r="A165" s="7">
        <v>49</v>
      </c>
      <c r="B165" s="7" t="s">
        <v>1294</v>
      </c>
      <c r="C165" s="7" t="s">
        <v>1293</v>
      </c>
      <c r="D165" s="7" t="s">
        <v>1292</v>
      </c>
      <c r="E165" s="7" t="s">
        <v>1291</v>
      </c>
      <c r="F165" s="7" t="s">
        <v>824</v>
      </c>
      <c r="G165" s="7">
        <v>2018</v>
      </c>
      <c r="H165" s="7">
        <v>43169</v>
      </c>
      <c r="I165" s="7" t="s">
        <v>32</v>
      </c>
      <c r="J165" s="7" t="s">
        <v>32</v>
      </c>
      <c r="K165" s="7" t="s">
        <v>1290</v>
      </c>
      <c r="L165" s="7">
        <v>2</v>
      </c>
      <c r="M165" s="7" t="s">
        <v>32</v>
      </c>
      <c r="N165" s="7" t="s">
        <v>34</v>
      </c>
      <c r="O165" s="7" t="s">
        <v>190</v>
      </c>
      <c r="P165" s="7" t="s">
        <v>34</v>
      </c>
      <c r="Q165" s="7" t="s">
        <v>34</v>
      </c>
      <c r="R165" s="7" t="s">
        <v>739</v>
      </c>
      <c r="S165" s="7" t="s">
        <v>34</v>
      </c>
      <c r="T165" s="7" t="s">
        <v>34</v>
      </c>
      <c r="U165" s="7" t="s">
        <v>32</v>
      </c>
      <c r="V165" s="7">
        <v>1</v>
      </c>
      <c r="W165" s="7" t="s">
        <v>32</v>
      </c>
      <c r="X165" s="7" t="s">
        <v>32</v>
      </c>
      <c r="Y165" s="7" t="s">
        <v>32</v>
      </c>
      <c r="Z165" s="7" t="s">
        <v>32</v>
      </c>
      <c r="AA165" s="7">
        <v>29519609</v>
      </c>
      <c r="AB165" s="7">
        <v>1</v>
      </c>
      <c r="AD165" s="7">
        <v>4</v>
      </c>
      <c r="AE165" s="24">
        <v>16</v>
      </c>
      <c r="AF165" s="7">
        <v>8</v>
      </c>
      <c r="AG165" s="7">
        <v>8</v>
      </c>
      <c r="AH165" s="7" t="s">
        <v>1642</v>
      </c>
      <c r="AI165" s="7" t="s">
        <v>1642</v>
      </c>
      <c r="AJ165" s="7" t="s">
        <v>2024</v>
      </c>
      <c r="AK165" s="7">
        <v>250</v>
      </c>
      <c r="AM165" s="7" t="s">
        <v>2024</v>
      </c>
      <c r="AN165" s="7">
        <v>250</v>
      </c>
      <c r="AP165" s="7">
        <v>1</v>
      </c>
      <c r="AQ165" s="7" t="s">
        <v>1787</v>
      </c>
      <c r="AR165" s="7" t="s">
        <v>1814</v>
      </c>
      <c r="AS165" s="7" t="s">
        <v>1667</v>
      </c>
      <c r="AT165" s="7" t="s">
        <v>1640</v>
      </c>
      <c r="AU165" s="7" t="s">
        <v>178</v>
      </c>
      <c r="AV165" s="7" t="s">
        <v>1888</v>
      </c>
      <c r="AW165" s="7" t="s">
        <v>1678</v>
      </c>
      <c r="AX165" s="7" t="s">
        <v>2026</v>
      </c>
      <c r="AY165" s="7" t="s">
        <v>1900</v>
      </c>
      <c r="AZ165" s="7" t="s">
        <v>1650</v>
      </c>
      <c r="BA165" s="7">
        <v>261</v>
      </c>
      <c r="BB165" s="7">
        <v>253</v>
      </c>
      <c r="BC165" s="7" t="s">
        <v>2027</v>
      </c>
      <c r="BD165" s="7">
        <v>243.542</v>
      </c>
      <c r="BF165" s="7">
        <f>268.042-BD165</f>
        <v>24.499999999999972</v>
      </c>
      <c r="BG165" s="7" t="s">
        <v>2031</v>
      </c>
      <c r="BH165" s="7">
        <v>23.625</v>
      </c>
      <c r="BJ165" s="7">
        <f>27.4167-BH165</f>
        <v>3.7916999999999987</v>
      </c>
    </row>
    <row r="166" spans="1:63" x14ac:dyDescent="0.2">
      <c r="A166" s="7">
        <v>49</v>
      </c>
      <c r="B166" s="7" t="s">
        <v>1294</v>
      </c>
      <c r="C166" s="7" t="s">
        <v>1293</v>
      </c>
      <c r="D166" s="7" t="s">
        <v>1292</v>
      </c>
      <c r="E166" s="7" t="s">
        <v>1291</v>
      </c>
      <c r="F166" s="7" t="s">
        <v>824</v>
      </c>
      <c r="G166" s="7">
        <v>2018</v>
      </c>
      <c r="H166" s="7">
        <v>43169</v>
      </c>
      <c r="I166" s="7" t="s">
        <v>32</v>
      </c>
      <c r="J166" s="7" t="s">
        <v>32</v>
      </c>
      <c r="K166" s="7" t="s">
        <v>1290</v>
      </c>
      <c r="L166" s="7">
        <v>2</v>
      </c>
      <c r="M166" s="7" t="s">
        <v>32</v>
      </c>
      <c r="N166" s="7" t="s">
        <v>34</v>
      </c>
      <c r="O166" s="7" t="s">
        <v>190</v>
      </c>
      <c r="P166" s="7" t="s">
        <v>34</v>
      </c>
      <c r="Q166" s="7" t="s">
        <v>34</v>
      </c>
      <c r="R166" s="7" t="s">
        <v>739</v>
      </c>
      <c r="S166" s="7" t="s">
        <v>34</v>
      </c>
      <c r="T166" s="7" t="s">
        <v>34</v>
      </c>
      <c r="U166" s="7" t="s">
        <v>32</v>
      </c>
      <c r="V166" s="7">
        <v>1</v>
      </c>
      <c r="W166" s="7" t="s">
        <v>32</v>
      </c>
      <c r="X166" s="7" t="s">
        <v>32</v>
      </c>
      <c r="Y166" s="7" t="s">
        <v>32</v>
      </c>
      <c r="Z166" s="7" t="s">
        <v>32</v>
      </c>
      <c r="AA166" s="7">
        <v>29519609</v>
      </c>
      <c r="AB166" s="7">
        <v>1</v>
      </c>
      <c r="AD166" s="7">
        <v>4</v>
      </c>
      <c r="AE166" s="24">
        <v>16</v>
      </c>
      <c r="AF166" s="7">
        <v>8</v>
      </c>
      <c r="AG166" s="7">
        <v>8</v>
      </c>
      <c r="AH166" s="7" t="s">
        <v>1642</v>
      </c>
      <c r="AI166" s="7" t="s">
        <v>1642</v>
      </c>
      <c r="AJ166" s="7" t="s">
        <v>2024</v>
      </c>
      <c r="AK166" s="7">
        <v>250</v>
      </c>
      <c r="AM166" s="7" t="s">
        <v>2024</v>
      </c>
      <c r="AN166" s="7">
        <v>250</v>
      </c>
      <c r="AP166" s="7">
        <v>1</v>
      </c>
      <c r="AQ166" s="7" t="s">
        <v>1787</v>
      </c>
      <c r="AR166" s="7" t="s">
        <v>1814</v>
      </c>
      <c r="AS166" s="7" t="s">
        <v>1667</v>
      </c>
      <c r="AT166" s="7" t="s">
        <v>1640</v>
      </c>
      <c r="AU166" s="7" t="s">
        <v>178</v>
      </c>
      <c r="AV166" s="7" t="s">
        <v>2040</v>
      </c>
      <c r="AW166" s="7" t="s">
        <v>1678</v>
      </c>
      <c r="AX166" s="7" t="s">
        <v>2026</v>
      </c>
      <c r="AY166" s="7" t="s">
        <v>2039</v>
      </c>
      <c r="AZ166" s="7" t="s">
        <v>1650</v>
      </c>
      <c r="BA166" s="7">
        <v>261</v>
      </c>
      <c r="BB166" s="7">
        <v>253</v>
      </c>
      <c r="BC166" s="7" t="s">
        <v>2028</v>
      </c>
      <c r="BD166" s="7">
        <v>162.167</v>
      </c>
      <c r="BF166" s="7">
        <f>198.042-BD166</f>
        <v>35.875</v>
      </c>
      <c r="BG166" s="7" t="s">
        <v>2032</v>
      </c>
      <c r="BH166" s="7">
        <v>12.833299999999999</v>
      </c>
      <c r="BJ166" s="7">
        <f>16.0417-BH166</f>
        <v>3.2083999999999993</v>
      </c>
    </row>
    <row r="167" spans="1:63" x14ac:dyDescent="0.2">
      <c r="A167" s="7">
        <v>49</v>
      </c>
      <c r="B167" s="7" t="s">
        <v>1294</v>
      </c>
      <c r="C167" s="7" t="s">
        <v>1293</v>
      </c>
      <c r="D167" s="7" t="s">
        <v>1292</v>
      </c>
      <c r="E167" s="7" t="s">
        <v>1291</v>
      </c>
      <c r="F167" s="7" t="s">
        <v>824</v>
      </c>
      <c r="G167" s="7">
        <v>2018</v>
      </c>
      <c r="H167" s="7">
        <v>43169</v>
      </c>
      <c r="I167" s="7" t="s">
        <v>32</v>
      </c>
      <c r="J167" s="7" t="s">
        <v>32</v>
      </c>
      <c r="K167" s="7" t="s">
        <v>1290</v>
      </c>
      <c r="L167" s="7">
        <v>2</v>
      </c>
      <c r="M167" s="7" t="s">
        <v>32</v>
      </c>
      <c r="N167" s="7" t="s">
        <v>34</v>
      </c>
      <c r="O167" s="7" t="s">
        <v>190</v>
      </c>
      <c r="P167" s="7" t="s">
        <v>34</v>
      </c>
      <c r="Q167" s="7" t="s">
        <v>34</v>
      </c>
      <c r="R167" s="7" t="s">
        <v>739</v>
      </c>
      <c r="S167" s="7" t="s">
        <v>34</v>
      </c>
      <c r="T167" s="7" t="s">
        <v>34</v>
      </c>
      <c r="U167" s="7" t="s">
        <v>32</v>
      </c>
      <c r="V167" s="7">
        <v>1</v>
      </c>
      <c r="W167" s="7" t="s">
        <v>32</v>
      </c>
      <c r="X167" s="7" t="s">
        <v>32</v>
      </c>
      <c r="Y167" s="7" t="s">
        <v>32</v>
      </c>
      <c r="Z167" s="7" t="s">
        <v>32</v>
      </c>
      <c r="AA167" s="7">
        <v>29519609</v>
      </c>
      <c r="AB167" s="7">
        <v>1</v>
      </c>
      <c r="AD167" s="7">
        <v>4</v>
      </c>
      <c r="AE167" s="24">
        <v>16</v>
      </c>
      <c r="AF167" s="7">
        <v>8</v>
      </c>
      <c r="AG167" s="7">
        <v>8</v>
      </c>
      <c r="AH167" s="7" t="s">
        <v>1642</v>
      </c>
      <c r="AI167" s="7" t="s">
        <v>1642</v>
      </c>
      <c r="AJ167" s="7" t="s">
        <v>2024</v>
      </c>
      <c r="AK167" s="7">
        <v>250</v>
      </c>
      <c r="AM167" s="7" t="s">
        <v>2024</v>
      </c>
      <c r="AN167" s="7">
        <v>250</v>
      </c>
      <c r="AP167" s="7">
        <v>1</v>
      </c>
      <c r="AQ167" s="7" t="s">
        <v>1787</v>
      </c>
      <c r="AR167" s="7" t="s">
        <v>1814</v>
      </c>
      <c r="AS167" s="7" t="s">
        <v>1667</v>
      </c>
      <c r="AT167" s="7" t="s">
        <v>1640</v>
      </c>
      <c r="AU167" s="7" t="s">
        <v>178</v>
      </c>
      <c r="AV167" s="7" t="s">
        <v>2041</v>
      </c>
      <c r="AW167" s="7" t="s">
        <v>1678</v>
      </c>
      <c r="AX167" s="7" t="s">
        <v>2026</v>
      </c>
      <c r="AY167" s="7" t="s">
        <v>2039</v>
      </c>
      <c r="AZ167" s="7" t="s">
        <v>1650</v>
      </c>
      <c r="BA167" s="7">
        <v>261</v>
      </c>
      <c r="BB167" s="7">
        <v>253</v>
      </c>
      <c r="BC167" s="7" t="s">
        <v>2029</v>
      </c>
      <c r="BD167" s="7">
        <v>93.333299999999994</v>
      </c>
      <c r="BF167" s="7">
        <f>114.333-BD167</f>
        <v>20.999700000000004</v>
      </c>
      <c r="BG167" s="7" t="s">
        <v>2033</v>
      </c>
      <c r="BH167" s="7">
        <v>7.875</v>
      </c>
      <c r="BJ167" s="7">
        <f>10.2083-BH167</f>
        <v>2.3332999999999995</v>
      </c>
    </row>
    <row r="168" spans="1:63" x14ac:dyDescent="0.2">
      <c r="A168" s="7">
        <v>49</v>
      </c>
      <c r="B168" s="7" t="s">
        <v>1294</v>
      </c>
      <c r="C168" s="7" t="s">
        <v>1293</v>
      </c>
      <c r="D168" s="7" t="s">
        <v>1292</v>
      </c>
      <c r="E168" s="7" t="s">
        <v>1291</v>
      </c>
      <c r="F168" s="7" t="s">
        <v>824</v>
      </c>
      <c r="G168" s="7">
        <v>2018</v>
      </c>
      <c r="H168" s="7">
        <v>43169</v>
      </c>
      <c r="I168" s="7" t="s">
        <v>32</v>
      </c>
      <c r="J168" s="7" t="s">
        <v>32</v>
      </c>
      <c r="K168" s="7" t="s">
        <v>1290</v>
      </c>
      <c r="L168" s="7">
        <v>2</v>
      </c>
      <c r="M168" s="7" t="s">
        <v>32</v>
      </c>
      <c r="N168" s="7" t="s">
        <v>34</v>
      </c>
      <c r="O168" s="7" t="s">
        <v>190</v>
      </c>
      <c r="P168" s="7" t="s">
        <v>34</v>
      </c>
      <c r="Q168" s="7" t="s">
        <v>34</v>
      </c>
      <c r="R168" s="7" t="s">
        <v>739</v>
      </c>
      <c r="S168" s="7" t="s">
        <v>34</v>
      </c>
      <c r="T168" s="7" t="s">
        <v>34</v>
      </c>
      <c r="U168" s="7" t="s">
        <v>32</v>
      </c>
      <c r="V168" s="7">
        <v>1</v>
      </c>
      <c r="W168" s="7" t="s">
        <v>32</v>
      </c>
      <c r="X168" s="7" t="s">
        <v>32</v>
      </c>
      <c r="Y168" s="7" t="s">
        <v>32</v>
      </c>
      <c r="Z168" s="7" t="s">
        <v>32</v>
      </c>
      <c r="AA168" s="7">
        <v>29519609</v>
      </c>
      <c r="AB168" s="7">
        <v>1</v>
      </c>
      <c r="AD168" s="7">
        <v>4</v>
      </c>
      <c r="AE168" s="24">
        <v>16</v>
      </c>
      <c r="AF168" s="7">
        <v>8</v>
      </c>
      <c r="AG168" s="7">
        <v>8</v>
      </c>
      <c r="AH168" s="7" t="s">
        <v>1642</v>
      </c>
      <c r="AI168" s="7" t="s">
        <v>1642</v>
      </c>
      <c r="AJ168" s="7" t="s">
        <v>2024</v>
      </c>
      <c r="AK168" s="7">
        <v>250</v>
      </c>
      <c r="AM168" s="7" t="s">
        <v>2024</v>
      </c>
      <c r="AN168" s="7">
        <v>250</v>
      </c>
      <c r="AP168" s="7">
        <v>1</v>
      </c>
      <c r="AQ168" s="7" t="s">
        <v>1787</v>
      </c>
      <c r="AR168" s="7" t="s">
        <v>1814</v>
      </c>
      <c r="AS168" s="7" t="s">
        <v>1667</v>
      </c>
      <c r="AT168" s="7" t="s">
        <v>1640</v>
      </c>
      <c r="AU168" s="7" t="s">
        <v>178</v>
      </c>
      <c r="AV168" s="7" t="s">
        <v>2042</v>
      </c>
      <c r="AW168" s="7" t="s">
        <v>1678</v>
      </c>
      <c r="AX168" s="7" t="s">
        <v>2026</v>
      </c>
      <c r="AY168" s="7" t="s">
        <v>2039</v>
      </c>
      <c r="AZ168" s="7" t="s">
        <v>1650</v>
      </c>
      <c r="BA168" s="7">
        <v>261</v>
      </c>
      <c r="BB168" s="7">
        <v>253</v>
      </c>
      <c r="BC168" s="7" t="s">
        <v>2030</v>
      </c>
      <c r="BD168" s="7">
        <v>69.708299999999994</v>
      </c>
      <c r="BF168" s="7">
        <f>84.2917-BD168</f>
        <v>14.583400000000012</v>
      </c>
      <c r="BG168" s="7" t="s">
        <v>2034</v>
      </c>
      <c r="BH168" s="7">
        <v>6.7083300000000001</v>
      </c>
      <c r="BJ168" s="7">
        <f>8.75-BH168</f>
        <v>2.0416699999999999</v>
      </c>
    </row>
    <row r="169" spans="1:63" x14ac:dyDescent="0.2">
      <c r="A169" s="7">
        <v>49</v>
      </c>
      <c r="B169" s="7" t="s">
        <v>1294</v>
      </c>
      <c r="C169" s="7" t="s">
        <v>1293</v>
      </c>
      <c r="D169" s="7" t="s">
        <v>1292</v>
      </c>
      <c r="E169" s="7" t="s">
        <v>1291</v>
      </c>
      <c r="F169" s="7" t="s">
        <v>824</v>
      </c>
      <c r="G169" s="7">
        <v>2018</v>
      </c>
      <c r="H169" s="7">
        <v>43169</v>
      </c>
      <c r="I169" s="7" t="s">
        <v>32</v>
      </c>
      <c r="J169" s="7" t="s">
        <v>32</v>
      </c>
      <c r="K169" s="7" t="s">
        <v>1290</v>
      </c>
      <c r="L169" s="7">
        <v>2</v>
      </c>
      <c r="M169" s="7" t="s">
        <v>32</v>
      </c>
      <c r="N169" s="7" t="s">
        <v>34</v>
      </c>
      <c r="O169" s="7" t="s">
        <v>190</v>
      </c>
      <c r="P169" s="7" t="s">
        <v>34</v>
      </c>
      <c r="Q169" s="7" t="s">
        <v>34</v>
      </c>
      <c r="R169" s="7" t="s">
        <v>739</v>
      </c>
      <c r="S169" s="7" t="s">
        <v>34</v>
      </c>
      <c r="T169" s="7" t="s">
        <v>34</v>
      </c>
      <c r="U169" s="7" t="s">
        <v>32</v>
      </c>
      <c r="V169" s="7">
        <v>1</v>
      </c>
      <c r="W169" s="7" t="s">
        <v>32</v>
      </c>
      <c r="X169" s="7" t="s">
        <v>32</v>
      </c>
      <c r="Y169" s="7" t="s">
        <v>32</v>
      </c>
      <c r="Z169" s="7" t="s">
        <v>32</v>
      </c>
      <c r="AA169" s="7">
        <v>29519609</v>
      </c>
      <c r="AB169" s="7">
        <v>1</v>
      </c>
      <c r="AD169" s="7">
        <v>4</v>
      </c>
      <c r="AE169" s="24">
        <v>16</v>
      </c>
      <c r="AF169" s="7">
        <v>8</v>
      </c>
      <c r="AG169" s="7">
        <v>8</v>
      </c>
      <c r="AH169" s="7" t="s">
        <v>1642</v>
      </c>
      <c r="AI169" s="7" t="s">
        <v>1642</v>
      </c>
      <c r="AJ169" s="7" t="s">
        <v>2024</v>
      </c>
      <c r="AK169" s="7">
        <v>250</v>
      </c>
      <c r="AM169" s="7" t="s">
        <v>2024</v>
      </c>
      <c r="AN169" s="7">
        <v>250</v>
      </c>
      <c r="AP169" s="7">
        <v>1</v>
      </c>
      <c r="AQ169" s="7" t="s">
        <v>1787</v>
      </c>
      <c r="AR169" s="7" t="s">
        <v>2025</v>
      </c>
      <c r="AS169" s="7" t="s">
        <v>1667</v>
      </c>
      <c r="AT169" s="7" t="s">
        <v>1640</v>
      </c>
      <c r="AU169" s="7" t="s">
        <v>178</v>
      </c>
      <c r="AV169" s="7" t="s">
        <v>1888</v>
      </c>
      <c r="AW169" s="7" t="s">
        <v>1678</v>
      </c>
      <c r="AX169" s="7" t="s">
        <v>2026</v>
      </c>
      <c r="AY169" s="7" t="s">
        <v>1900</v>
      </c>
      <c r="AZ169" s="7" t="s">
        <v>1650</v>
      </c>
      <c r="BA169" s="7">
        <v>262</v>
      </c>
      <c r="BB169" s="7">
        <v>254</v>
      </c>
      <c r="BC169" s="7" t="s">
        <v>2035</v>
      </c>
      <c r="BD169" s="7">
        <v>273.29199999999997</v>
      </c>
      <c r="BF169" s="7">
        <f>297.792-BD169</f>
        <v>24.5</v>
      </c>
      <c r="BG169" s="7" t="s">
        <v>1818</v>
      </c>
      <c r="BH169" s="7">
        <v>26.833300000000001</v>
      </c>
      <c r="BJ169" s="7">
        <f>31.2083-BH169</f>
        <v>4.375</v>
      </c>
      <c r="BK169" s="9" t="s">
        <v>2843</v>
      </c>
    </row>
    <row r="170" spans="1:63" x14ac:dyDescent="0.2">
      <c r="A170" s="7">
        <v>49</v>
      </c>
      <c r="B170" s="7" t="s">
        <v>1294</v>
      </c>
      <c r="C170" s="7" t="s">
        <v>1293</v>
      </c>
      <c r="D170" s="7" t="s">
        <v>1292</v>
      </c>
      <c r="E170" s="7" t="s">
        <v>1291</v>
      </c>
      <c r="F170" s="7" t="s">
        <v>824</v>
      </c>
      <c r="G170" s="7">
        <v>2018</v>
      </c>
      <c r="H170" s="7">
        <v>43169</v>
      </c>
      <c r="I170" s="7" t="s">
        <v>32</v>
      </c>
      <c r="J170" s="7" t="s">
        <v>32</v>
      </c>
      <c r="K170" s="7" t="s">
        <v>1290</v>
      </c>
      <c r="L170" s="7">
        <v>2</v>
      </c>
      <c r="M170" s="7" t="s">
        <v>32</v>
      </c>
      <c r="N170" s="7" t="s">
        <v>34</v>
      </c>
      <c r="O170" s="7" t="s">
        <v>190</v>
      </c>
      <c r="P170" s="7" t="s">
        <v>34</v>
      </c>
      <c r="Q170" s="7" t="s">
        <v>34</v>
      </c>
      <c r="R170" s="7" t="s">
        <v>739</v>
      </c>
      <c r="S170" s="7" t="s">
        <v>34</v>
      </c>
      <c r="T170" s="7" t="s">
        <v>34</v>
      </c>
      <c r="U170" s="7" t="s">
        <v>32</v>
      </c>
      <c r="V170" s="7">
        <v>1</v>
      </c>
      <c r="W170" s="7" t="s">
        <v>32</v>
      </c>
      <c r="X170" s="7" t="s">
        <v>32</v>
      </c>
      <c r="Y170" s="7" t="s">
        <v>32</v>
      </c>
      <c r="Z170" s="7" t="s">
        <v>32</v>
      </c>
      <c r="AA170" s="7">
        <v>29519609</v>
      </c>
      <c r="AB170" s="7">
        <v>1</v>
      </c>
      <c r="AD170" s="7">
        <v>4</v>
      </c>
      <c r="AE170" s="24">
        <v>16</v>
      </c>
      <c r="AF170" s="7">
        <v>8</v>
      </c>
      <c r="AG170" s="7">
        <v>8</v>
      </c>
      <c r="AH170" s="7" t="s">
        <v>1642</v>
      </c>
      <c r="AI170" s="7" t="s">
        <v>1642</v>
      </c>
      <c r="AJ170" s="7" t="s">
        <v>2024</v>
      </c>
      <c r="AK170" s="7">
        <v>250</v>
      </c>
      <c r="AM170" s="7" t="s">
        <v>2024</v>
      </c>
      <c r="AN170" s="7">
        <v>250</v>
      </c>
      <c r="AP170" s="7">
        <v>1</v>
      </c>
      <c r="AQ170" s="7" t="s">
        <v>1787</v>
      </c>
      <c r="AR170" s="7" t="s">
        <v>2025</v>
      </c>
      <c r="AS170" s="7" t="s">
        <v>1667</v>
      </c>
      <c r="AT170" s="7" t="s">
        <v>1640</v>
      </c>
      <c r="AU170" s="7" t="s">
        <v>178</v>
      </c>
      <c r="AV170" s="7" t="s">
        <v>2040</v>
      </c>
      <c r="AW170" s="7" t="s">
        <v>1678</v>
      </c>
      <c r="AX170" s="7" t="s">
        <v>2026</v>
      </c>
      <c r="AY170" s="7" t="s">
        <v>2039</v>
      </c>
      <c r="AZ170" s="7" t="s">
        <v>1650</v>
      </c>
      <c r="BA170" s="7">
        <v>262</v>
      </c>
      <c r="BB170" s="7">
        <v>254</v>
      </c>
      <c r="BC170" s="7" t="s">
        <v>2036</v>
      </c>
      <c r="BD170" s="7">
        <v>274.75</v>
      </c>
      <c r="BF170" s="7">
        <f>293.708-BD170</f>
        <v>18.958000000000027</v>
      </c>
      <c r="BG170" s="7" t="s">
        <v>1819</v>
      </c>
      <c r="BH170" s="7">
        <v>15.166700000000001</v>
      </c>
      <c r="BJ170" s="7">
        <f>19.8333-BH170</f>
        <v>4.6666000000000007</v>
      </c>
      <c r="BK170" s="9" t="s">
        <v>2843</v>
      </c>
    </row>
    <row r="171" spans="1:63" s="21" customFormat="1" x14ac:dyDescent="0.2">
      <c r="A171" s="21">
        <v>49</v>
      </c>
      <c r="B171" s="21" t="s">
        <v>1294</v>
      </c>
      <c r="C171" s="21" t="s">
        <v>1293</v>
      </c>
      <c r="D171" s="21" t="s">
        <v>1292</v>
      </c>
      <c r="E171" s="21" t="s">
        <v>1291</v>
      </c>
      <c r="F171" s="21" t="s">
        <v>824</v>
      </c>
      <c r="G171" s="21">
        <v>2018</v>
      </c>
      <c r="H171" s="21">
        <v>43169</v>
      </c>
      <c r="I171" s="21" t="s">
        <v>32</v>
      </c>
      <c r="J171" s="21" t="s">
        <v>32</v>
      </c>
      <c r="K171" s="21" t="s">
        <v>1290</v>
      </c>
      <c r="L171" s="21">
        <v>2</v>
      </c>
      <c r="M171" s="21" t="s">
        <v>32</v>
      </c>
      <c r="N171" s="21" t="s">
        <v>34</v>
      </c>
      <c r="O171" s="21" t="s">
        <v>190</v>
      </c>
      <c r="P171" s="21" t="s">
        <v>34</v>
      </c>
      <c r="Q171" s="21" t="s">
        <v>34</v>
      </c>
      <c r="R171" s="21" t="s">
        <v>739</v>
      </c>
      <c r="S171" s="21" t="s">
        <v>34</v>
      </c>
      <c r="T171" s="21" t="s">
        <v>34</v>
      </c>
      <c r="U171" s="21" t="s">
        <v>32</v>
      </c>
      <c r="V171" s="21">
        <v>1</v>
      </c>
      <c r="W171" s="21" t="s">
        <v>32</v>
      </c>
      <c r="X171" s="21" t="s">
        <v>32</v>
      </c>
      <c r="Y171" s="21" t="s">
        <v>32</v>
      </c>
      <c r="Z171" s="21" t="s">
        <v>32</v>
      </c>
      <c r="AA171" s="21">
        <v>29519609</v>
      </c>
      <c r="AB171" s="21">
        <v>1</v>
      </c>
      <c r="AD171" s="21">
        <v>4</v>
      </c>
      <c r="AE171" s="23">
        <v>16</v>
      </c>
      <c r="AF171" s="21">
        <v>8</v>
      </c>
      <c r="AG171" s="21">
        <v>8</v>
      </c>
      <c r="AH171" s="21" t="s">
        <v>1642</v>
      </c>
      <c r="AI171" s="21" t="s">
        <v>1642</v>
      </c>
      <c r="AJ171" s="21" t="s">
        <v>2024</v>
      </c>
      <c r="AK171" s="21">
        <v>250</v>
      </c>
      <c r="AM171" s="21" t="s">
        <v>2024</v>
      </c>
      <c r="AN171" s="21">
        <v>250</v>
      </c>
      <c r="AP171" s="21">
        <v>1</v>
      </c>
      <c r="AQ171" s="21" t="s">
        <v>1787</v>
      </c>
      <c r="AR171" s="21" t="s">
        <v>2025</v>
      </c>
      <c r="AS171" s="21" t="s">
        <v>1667</v>
      </c>
      <c r="AT171" s="21" t="s">
        <v>1640</v>
      </c>
      <c r="AU171" s="21" t="s">
        <v>178</v>
      </c>
      <c r="AV171" s="21" t="s">
        <v>2041</v>
      </c>
      <c r="AW171" s="21" t="s">
        <v>1678</v>
      </c>
      <c r="AX171" s="21" t="s">
        <v>2026</v>
      </c>
      <c r="AY171" s="21" t="s">
        <v>2039</v>
      </c>
      <c r="AZ171" s="21" t="s">
        <v>1650</v>
      </c>
      <c r="BA171" s="21">
        <v>262</v>
      </c>
      <c r="BB171" s="21">
        <v>254</v>
      </c>
      <c r="BC171" s="21" t="s">
        <v>2037</v>
      </c>
      <c r="BD171" s="21">
        <v>157.792</v>
      </c>
      <c r="BF171" s="21">
        <f>200.667-BD171</f>
        <v>42.875</v>
      </c>
      <c r="BG171" s="21" t="s">
        <v>1820</v>
      </c>
      <c r="BH171" s="21">
        <v>10.5</v>
      </c>
      <c r="BJ171" s="21">
        <f>14.2917-BH171</f>
        <v>3.7917000000000005</v>
      </c>
      <c r="BK171" s="40" t="s">
        <v>2843</v>
      </c>
    </row>
    <row r="172" spans="1:63" s="21" customFormat="1" x14ac:dyDescent="0.2">
      <c r="A172" s="21">
        <v>49</v>
      </c>
      <c r="B172" s="21" t="s">
        <v>1294</v>
      </c>
      <c r="C172" s="21" t="s">
        <v>1293</v>
      </c>
      <c r="D172" s="21" t="s">
        <v>1292</v>
      </c>
      <c r="E172" s="21" t="s">
        <v>1291</v>
      </c>
      <c r="F172" s="21" t="s">
        <v>824</v>
      </c>
      <c r="G172" s="21">
        <v>2018</v>
      </c>
      <c r="H172" s="21">
        <v>43169</v>
      </c>
      <c r="I172" s="21" t="s">
        <v>32</v>
      </c>
      <c r="J172" s="21" t="s">
        <v>32</v>
      </c>
      <c r="K172" s="21" t="s">
        <v>1290</v>
      </c>
      <c r="L172" s="21">
        <v>2</v>
      </c>
      <c r="M172" s="21" t="s">
        <v>32</v>
      </c>
      <c r="N172" s="21" t="s">
        <v>34</v>
      </c>
      <c r="O172" s="21" t="s">
        <v>190</v>
      </c>
      <c r="P172" s="21" t="s">
        <v>34</v>
      </c>
      <c r="Q172" s="21" t="s">
        <v>34</v>
      </c>
      <c r="R172" s="21" t="s">
        <v>739</v>
      </c>
      <c r="S172" s="21" t="s">
        <v>34</v>
      </c>
      <c r="T172" s="21" t="s">
        <v>34</v>
      </c>
      <c r="U172" s="21" t="s">
        <v>32</v>
      </c>
      <c r="V172" s="21">
        <v>1</v>
      </c>
      <c r="W172" s="21" t="s">
        <v>32</v>
      </c>
      <c r="X172" s="21" t="s">
        <v>32</v>
      </c>
      <c r="Y172" s="21" t="s">
        <v>32</v>
      </c>
      <c r="Z172" s="21" t="s">
        <v>32</v>
      </c>
      <c r="AA172" s="21">
        <v>29519609</v>
      </c>
      <c r="AB172" s="21">
        <v>1</v>
      </c>
      <c r="AD172" s="21">
        <v>4</v>
      </c>
      <c r="AE172" s="23">
        <v>16</v>
      </c>
      <c r="AF172" s="21">
        <v>8</v>
      </c>
      <c r="AG172" s="21">
        <v>8</v>
      </c>
      <c r="AH172" s="21" t="s">
        <v>1642</v>
      </c>
      <c r="AI172" s="21" t="s">
        <v>1642</v>
      </c>
      <c r="AJ172" s="21" t="s">
        <v>2024</v>
      </c>
      <c r="AK172" s="21">
        <v>250</v>
      </c>
      <c r="AM172" s="21" t="s">
        <v>2024</v>
      </c>
      <c r="AN172" s="21">
        <v>250</v>
      </c>
      <c r="AP172" s="21">
        <v>1</v>
      </c>
      <c r="AQ172" s="21" t="s">
        <v>1787</v>
      </c>
      <c r="AR172" s="21" t="s">
        <v>2025</v>
      </c>
      <c r="AS172" s="21" t="s">
        <v>1667</v>
      </c>
      <c r="AT172" s="21" t="s">
        <v>1640</v>
      </c>
      <c r="AU172" s="21" t="s">
        <v>178</v>
      </c>
      <c r="AV172" s="21" t="s">
        <v>2042</v>
      </c>
      <c r="AW172" s="21" t="s">
        <v>1678</v>
      </c>
      <c r="AX172" s="21" t="s">
        <v>2026</v>
      </c>
      <c r="AY172" s="21" t="s">
        <v>2039</v>
      </c>
      <c r="AZ172" s="21" t="s">
        <v>1650</v>
      </c>
      <c r="BA172" s="21">
        <v>262</v>
      </c>
      <c r="BB172" s="21">
        <v>254</v>
      </c>
      <c r="BC172" s="21" t="s">
        <v>2038</v>
      </c>
      <c r="BD172" s="21">
        <v>123.958</v>
      </c>
      <c r="BF172" s="21">
        <f>163.917-BD172</f>
        <v>39.959000000000003</v>
      </c>
      <c r="BG172" s="21" t="s">
        <v>1821</v>
      </c>
      <c r="BH172" s="21">
        <v>7.875</v>
      </c>
      <c r="BJ172" s="21">
        <f>9.91667-BH172</f>
        <v>2.0416699999999999</v>
      </c>
      <c r="BK172" s="40" t="s">
        <v>2843</v>
      </c>
    </row>
    <row r="173" spans="1:63" s="21" customFormat="1" x14ac:dyDescent="0.2">
      <c r="A173" s="21">
        <v>49</v>
      </c>
      <c r="B173" s="21" t="s">
        <v>1294</v>
      </c>
      <c r="C173" s="21" t="s">
        <v>1293</v>
      </c>
      <c r="D173" s="21" t="s">
        <v>1292</v>
      </c>
      <c r="E173" s="21" t="s">
        <v>1291</v>
      </c>
      <c r="F173" s="21" t="s">
        <v>824</v>
      </c>
      <c r="G173" s="21">
        <v>2018</v>
      </c>
      <c r="H173" s="21">
        <v>43169</v>
      </c>
      <c r="I173" s="21" t="s">
        <v>32</v>
      </c>
      <c r="J173" s="21" t="s">
        <v>32</v>
      </c>
      <c r="K173" s="21" t="s">
        <v>1290</v>
      </c>
      <c r="L173" s="21">
        <v>2</v>
      </c>
      <c r="M173" s="21" t="s">
        <v>32</v>
      </c>
      <c r="N173" s="21" t="s">
        <v>34</v>
      </c>
      <c r="O173" s="21" t="s">
        <v>190</v>
      </c>
      <c r="P173" s="21" t="s">
        <v>34</v>
      </c>
      <c r="Q173" s="21" t="s">
        <v>34</v>
      </c>
      <c r="R173" s="21" t="s">
        <v>739</v>
      </c>
      <c r="S173" s="21" t="s">
        <v>34</v>
      </c>
      <c r="T173" s="21" t="s">
        <v>34</v>
      </c>
      <c r="U173" s="21" t="s">
        <v>32</v>
      </c>
      <c r="V173" s="21">
        <v>1</v>
      </c>
      <c r="W173" s="21" t="s">
        <v>32</v>
      </c>
      <c r="X173" s="21" t="s">
        <v>32</v>
      </c>
      <c r="Y173" s="21" t="s">
        <v>32</v>
      </c>
      <c r="Z173" s="21" t="s">
        <v>32</v>
      </c>
      <c r="AA173" s="21">
        <v>29519609</v>
      </c>
      <c r="AB173" s="21">
        <v>1</v>
      </c>
      <c r="AD173" s="21">
        <v>4</v>
      </c>
      <c r="AE173" s="23">
        <v>16</v>
      </c>
      <c r="AF173" s="21">
        <v>8</v>
      </c>
      <c r="AG173" s="21">
        <v>8</v>
      </c>
      <c r="AH173" s="21" t="s">
        <v>1642</v>
      </c>
      <c r="AI173" s="21" t="s">
        <v>1642</v>
      </c>
      <c r="AJ173" s="21" t="s">
        <v>2024</v>
      </c>
      <c r="AK173" s="21">
        <v>250</v>
      </c>
      <c r="AM173" s="21" t="s">
        <v>2024</v>
      </c>
      <c r="AN173" s="21">
        <v>250</v>
      </c>
      <c r="AP173" s="21">
        <v>1</v>
      </c>
      <c r="AQ173" s="21" t="s">
        <v>1787</v>
      </c>
      <c r="AR173" s="21" t="s">
        <v>2025</v>
      </c>
      <c r="AS173" s="21" t="s">
        <v>1667</v>
      </c>
      <c r="AT173" s="21" t="s">
        <v>1640</v>
      </c>
      <c r="AU173" s="21" t="s">
        <v>178</v>
      </c>
      <c r="AV173" s="21" t="s">
        <v>1888</v>
      </c>
      <c r="AW173" s="21" t="s">
        <v>1678</v>
      </c>
      <c r="AX173" s="21" t="s">
        <v>2026</v>
      </c>
      <c r="AY173" s="21" t="s">
        <v>1900</v>
      </c>
      <c r="AZ173" s="21" t="s">
        <v>1650</v>
      </c>
      <c r="BA173" s="21">
        <v>1262</v>
      </c>
      <c r="BB173" s="21">
        <v>254</v>
      </c>
      <c r="BC173" s="21" t="s">
        <v>2831</v>
      </c>
      <c r="BD173" s="21">
        <v>236.99100000000001</v>
      </c>
      <c r="BF173" s="21">
        <f>265.307-BD173</f>
        <v>28.316000000000003</v>
      </c>
      <c r="BG173" s="21" t="s">
        <v>1818</v>
      </c>
      <c r="BH173" s="21">
        <v>26.833300000000001</v>
      </c>
      <c r="BJ173" s="21">
        <f>31.2083-BH173</f>
        <v>4.375</v>
      </c>
      <c r="BK173" s="40" t="s">
        <v>2843</v>
      </c>
    </row>
    <row r="174" spans="1:63" s="21" customFormat="1" x14ac:dyDescent="0.2">
      <c r="A174" s="21">
        <v>49</v>
      </c>
      <c r="B174" s="21" t="s">
        <v>1294</v>
      </c>
      <c r="C174" s="21" t="s">
        <v>1293</v>
      </c>
      <c r="D174" s="21" t="s">
        <v>1292</v>
      </c>
      <c r="E174" s="21" t="s">
        <v>1291</v>
      </c>
      <c r="F174" s="21" t="s">
        <v>824</v>
      </c>
      <c r="G174" s="21">
        <v>2018</v>
      </c>
      <c r="H174" s="21">
        <v>43169</v>
      </c>
      <c r="I174" s="21" t="s">
        <v>32</v>
      </c>
      <c r="J174" s="21" t="s">
        <v>32</v>
      </c>
      <c r="K174" s="21" t="s">
        <v>1290</v>
      </c>
      <c r="L174" s="21">
        <v>2</v>
      </c>
      <c r="M174" s="21" t="s">
        <v>32</v>
      </c>
      <c r="N174" s="21" t="s">
        <v>34</v>
      </c>
      <c r="O174" s="21" t="s">
        <v>190</v>
      </c>
      <c r="P174" s="21" t="s">
        <v>34</v>
      </c>
      <c r="Q174" s="21" t="s">
        <v>34</v>
      </c>
      <c r="R174" s="21" t="s">
        <v>739</v>
      </c>
      <c r="S174" s="21" t="s">
        <v>34</v>
      </c>
      <c r="T174" s="21" t="s">
        <v>34</v>
      </c>
      <c r="U174" s="21" t="s">
        <v>32</v>
      </c>
      <c r="V174" s="21">
        <v>1</v>
      </c>
      <c r="W174" s="21" t="s">
        <v>32</v>
      </c>
      <c r="X174" s="21" t="s">
        <v>32</v>
      </c>
      <c r="Y174" s="21" t="s">
        <v>32</v>
      </c>
      <c r="Z174" s="21" t="s">
        <v>32</v>
      </c>
      <c r="AA174" s="21">
        <v>29519609</v>
      </c>
      <c r="AB174" s="21">
        <v>1</v>
      </c>
      <c r="AD174" s="21">
        <v>4</v>
      </c>
      <c r="AE174" s="23">
        <v>16</v>
      </c>
      <c r="AF174" s="21">
        <v>8</v>
      </c>
      <c r="AG174" s="21">
        <v>8</v>
      </c>
      <c r="AH174" s="21" t="s">
        <v>1642</v>
      </c>
      <c r="AI174" s="21" t="s">
        <v>1642</v>
      </c>
      <c r="AJ174" s="21" t="s">
        <v>2024</v>
      </c>
      <c r="AK174" s="21">
        <v>250</v>
      </c>
      <c r="AM174" s="21" t="s">
        <v>2024</v>
      </c>
      <c r="AN174" s="21">
        <v>250</v>
      </c>
      <c r="AP174" s="21">
        <v>1</v>
      </c>
      <c r="AQ174" s="21" t="s">
        <v>1787</v>
      </c>
      <c r="AR174" s="21" t="s">
        <v>2025</v>
      </c>
      <c r="AS174" s="21" t="s">
        <v>1667</v>
      </c>
      <c r="AT174" s="21" t="s">
        <v>1640</v>
      </c>
      <c r="AU174" s="21" t="s">
        <v>178</v>
      </c>
      <c r="AV174" s="21" t="s">
        <v>2040</v>
      </c>
      <c r="AW174" s="21" t="s">
        <v>1678</v>
      </c>
      <c r="AX174" s="21" t="s">
        <v>2026</v>
      </c>
      <c r="AY174" s="21" t="s">
        <v>2039</v>
      </c>
      <c r="AZ174" s="21" t="s">
        <v>1650</v>
      </c>
      <c r="BA174" s="21">
        <v>1262</v>
      </c>
      <c r="BB174" s="21">
        <v>254</v>
      </c>
      <c r="BC174" s="21" t="s">
        <v>2832</v>
      </c>
      <c r="BD174" s="21">
        <v>204.91200000000001</v>
      </c>
      <c r="BF174" s="21">
        <f>246.045-BD174</f>
        <v>41.132999999999981</v>
      </c>
      <c r="BG174" s="21" t="s">
        <v>1819</v>
      </c>
      <c r="BH174" s="21">
        <v>15.166700000000001</v>
      </c>
      <c r="BJ174" s="21">
        <f>19.8333-BH174</f>
        <v>4.6666000000000007</v>
      </c>
      <c r="BK174" s="40" t="s">
        <v>2843</v>
      </c>
    </row>
    <row r="175" spans="1:63" s="21" customFormat="1" x14ac:dyDescent="0.2">
      <c r="A175" s="21">
        <v>49</v>
      </c>
      <c r="B175" s="21" t="s">
        <v>1294</v>
      </c>
      <c r="C175" s="21" t="s">
        <v>1293</v>
      </c>
      <c r="D175" s="21" t="s">
        <v>1292</v>
      </c>
      <c r="E175" s="21" t="s">
        <v>1291</v>
      </c>
      <c r="F175" s="21" t="s">
        <v>824</v>
      </c>
      <c r="G175" s="21">
        <v>2018</v>
      </c>
      <c r="H175" s="21">
        <v>43169</v>
      </c>
      <c r="I175" s="21" t="s">
        <v>32</v>
      </c>
      <c r="J175" s="21" t="s">
        <v>32</v>
      </c>
      <c r="K175" s="21" t="s">
        <v>1290</v>
      </c>
      <c r="L175" s="21">
        <v>2</v>
      </c>
      <c r="M175" s="21" t="s">
        <v>32</v>
      </c>
      <c r="N175" s="21" t="s">
        <v>34</v>
      </c>
      <c r="O175" s="21" t="s">
        <v>190</v>
      </c>
      <c r="P175" s="21" t="s">
        <v>34</v>
      </c>
      <c r="Q175" s="21" t="s">
        <v>34</v>
      </c>
      <c r="R175" s="21" t="s">
        <v>739</v>
      </c>
      <c r="S175" s="21" t="s">
        <v>34</v>
      </c>
      <c r="T175" s="21" t="s">
        <v>34</v>
      </c>
      <c r="U175" s="21" t="s">
        <v>32</v>
      </c>
      <c r="V175" s="21">
        <v>1</v>
      </c>
      <c r="W175" s="21" t="s">
        <v>32</v>
      </c>
      <c r="X175" s="21" t="s">
        <v>32</v>
      </c>
      <c r="Y175" s="21" t="s">
        <v>32</v>
      </c>
      <c r="Z175" s="21" t="s">
        <v>32</v>
      </c>
      <c r="AA175" s="21">
        <v>29519609</v>
      </c>
      <c r="AB175" s="21">
        <v>1</v>
      </c>
      <c r="AD175" s="21">
        <v>4</v>
      </c>
      <c r="AE175" s="23">
        <v>16</v>
      </c>
      <c r="AF175" s="21">
        <v>8</v>
      </c>
      <c r="AG175" s="21">
        <v>8</v>
      </c>
      <c r="AH175" s="21" t="s">
        <v>1642</v>
      </c>
      <c r="AI175" s="21" t="s">
        <v>1642</v>
      </c>
      <c r="AJ175" s="21" t="s">
        <v>2024</v>
      </c>
      <c r="AK175" s="21">
        <v>250</v>
      </c>
      <c r="AM175" s="21" t="s">
        <v>2024</v>
      </c>
      <c r="AN175" s="21">
        <v>250</v>
      </c>
      <c r="AP175" s="21">
        <v>1</v>
      </c>
      <c r="AQ175" s="21" t="s">
        <v>1787</v>
      </c>
      <c r="AR175" s="21" t="s">
        <v>2025</v>
      </c>
      <c r="AS175" s="21" t="s">
        <v>1667</v>
      </c>
      <c r="AT175" s="21" t="s">
        <v>1640</v>
      </c>
      <c r="AU175" s="21" t="s">
        <v>178</v>
      </c>
      <c r="AV175" s="21" t="s">
        <v>2041</v>
      </c>
      <c r="AW175" s="21" t="s">
        <v>1678</v>
      </c>
      <c r="AX175" s="21" t="s">
        <v>2026</v>
      </c>
      <c r="AY175" s="21" t="s">
        <v>2039</v>
      </c>
      <c r="AZ175" s="21" t="s">
        <v>1650</v>
      </c>
      <c r="BA175" s="21">
        <v>1262</v>
      </c>
      <c r="BB175" s="21">
        <v>254</v>
      </c>
      <c r="BC175" s="21" t="s">
        <v>2833</v>
      </c>
      <c r="BD175" s="21">
        <v>159.71799999999999</v>
      </c>
      <c r="BF175" s="21">
        <f>204.129-BD175</f>
        <v>44.411000000000001</v>
      </c>
      <c r="BG175" s="21" t="s">
        <v>1820</v>
      </c>
      <c r="BH175" s="21">
        <v>10.5</v>
      </c>
      <c r="BJ175" s="21">
        <f>14.2917-BH175</f>
        <v>3.7917000000000005</v>
      </c>
      <c r="BK175" s="40" t="s">
        <v>2843</v>
      </c>
    </row>
    <row r="176" spans="1:63" s="21" customFormat="1" x14ac:dyDescent="0.2">
      <c r="A176" s="21">
        <v>49</v>
      </c>
      <c r="B176" s="21" t="s">
        <v>1294</v>
      </c>
      <c r="C176" s="21" t="s">
        <v>1293</v>
      </c>
      <c r="D176" s="21" t="s">
        <v>1292</v>
      </c>
      <c r="E176" s="21" t="s">
        <v>1291</v>
      </c>
      <c r="F176" s="21" t="s">
        <v>824</v>
      </c>
      <c r="G176" s="21">
        <v>2018</v>
      </c>
      <c r="H176" s="21">
        <v>43169</v>
      </c>
      <c r="I176" s="21" t="s">
        <v>32</v>
      </c>
      <c r="J176" s="21" t="s">
        <v>32</v>
      </c>
      <c r="K176" s="21" t="s">
        <v>1290</v>
      </c>
      <c r="L176" s="21">
        <v>2</v>
      </c>
      <c r="M176" s="21" t="s">
        <v>32</v>
      </c>
      <c r="N176" s="21" t="s">
        <v>34</v>
      </c>
      <c r="O176" s="21" t="s">
        <v>190</v>
      </c>
      <c r="P176" s="21" t="s">
        <v>34</v>
      </c>
      <c r="Q176" s="21" t="s">
        <v>34</v>
      </c>
      <c r="R176" s="21" t="s">
        <v>739</v>
      </c>
      <c r="S176" s="21" t="s">
        <v>34</v>
      </c>
      <c r="T176" s="21" t="s">
        <v>34</v>
      </c>
      <c r="U176" s="21" t="s">
        <v>32</v>
      </c>
      <c r="V176" s="21">
        <v>1</v>
      </c>
      <c r="W176" s="21" t="s">
        <v>32</v>
      </c>
      <c r="X176" s="21" t="s">
        <v>32</v>
      </c>
      <c r="Y176" s="21" t="s">
        <v>32</v>
      </c>
      <c r="Z176" s="21" t="s">
        <v>32</v>
      </c>
      <c r="AA176" s="21">
        <v>29519609</v>
      </c>
      <c r="AB176" s="21">
        <v>1</v>
      </c>
      <c r="AD176" s="21">
        <v>4</v>
      </c>
      <c r="AE176" s="23">
        <v>16</v>
      </c>
      <c r="AF176" s="21">
        <v>8</v>
      </c>
      <c r="AG176" s="21">
        <v>8</v>
      </c>
      <c r="AH176" s="21" t="s">
        <v>1642</v>
      </c>
      <c r="AI176" s="21" t="s">
        <v>1642</v>
      </c>
      <c r="AJ176" s="21" t="s">
        <v>2024</v>
      </c>
      <c r="AK176" s="21">
        <v>250</v>
      </c>
      <c r="AM176" s="21" t="s">
        <v>2024</v>
      </c>
      <c r="AN176" s="21">
        <v>250</v>
      </c>
      <c r="AP176" s="21">
        <v>1</v>
      </c>
      <c r="AQ176" s="21" t="s">
        <v>1787</v>
      </c>
      <c r="AR176" s="21" t="s">
        <v>2025</v>
      </c>
      <c r="AS176" s="21" t="s">
        <v>1667</v>
      </c>
      <c r="AT176" s="21" t="s">
        <v>1640</v>
      </c>
      <c r="AU176" s="21" t="s">
        <v>178</v>
      </c>
      <c r="AV176" s="21" t="s">
        <v>2042</v>
      </c>
      <c r="AW176" s="21" t="s">
        <v>1678</v>
      </c>
      <c r="AX176" s="21" t="s">
        <v>2026</v>
      </c>
      <c r="AY176" s="21" t="s">
        <v>2039</v>
      </c>
      <c r="AZ176" s="21" t="s">
        <v>1650</v>
      </c>
      <c r="BA176" s="21">
        <v>1262</v>
      </c>
      <c r="BB176" s="21">
        <v>254</v>
      </c>
      <c r="BC176" s="21" t="s">
        <v>2834</v>
      </c>
      <c r="BD176" s="21">
        <v>121.38</v>
      </c>
      <c r="BF176" s="21">
        <f>165.194-BD176</f>
        <v>43.813999999999993</v>
      </c>
      <c r="BG176" s="21" t="s">
        <v>1821</v>
      </c>
      <c r="BH176" s="21">
        <v>7.875</v>
      </c>
      <c r="BJ176" s="21">
        <f>9.91667-BH176</f>
        <v>2.0416699999999999</v>
      </c>
      <c r="BK176" s="40" t="s">
        <v>2843</v>
      </c>
    </row>
    <row r="177" spans="1:63" s="21" customFormat="1" x14ac:dyDescent="0.2">
      <c r="A177" s="21">
        <v>49</v>
      </c>
      <c r="B177" s="21" t="s">
        <v>1294</v>
      </c>
      <c r="C177" s="21" t="s">
        <v>1293</v>
      </c>
      <c r="D177" s="21" t="s">
        <v>1292</v>
      </c>
      <c r="E177" s="21" t="s">
        <v>1291</v>
      </c>
      <c r="F177" s="21" t="s">
        <v>824</v>
      </c>
      <c r="G177" s="21">
        <v>2018</v>
      </c>
      <c r="H177" s="21">
        <v>43169</v>
      </c>
      <c r="I177" s="21" t="s">
        <v>32</v>
      </c>
      <c r="J177" s="21" t="s">
        <v>32</v>
      </c>
      <c r="K177" s="21" t="s">
        <v>1290</v>
      </c>
      <c r="L177" s="21">
        <v>2</v>
      </c>
      <c r="M177" s="21" t="s">
        <v>32</v>
      </c>
      <c r="N177" s="21" t="s">
        <v>34</v>
      </c>
      <c r="O177" s="21" t="s">
        <v>190</v>
      </c>
      <c r="P177" s="21" t="s">
        <v>34</v>
      </c>
      <c r="Q177" s="21" t="s">
        <v>34</v>
      </c>
      <c r="R177" s="21" t="s">
        <v>739</v>
      </c>
      <c r="S177" s="21" t="s">
        <v>34</v>
      </c>
      <c r="T177" s="21" t="s">
        <v>34</v>
      </c>
      <c r="U177" s="21" t="s">
        <v>32</v>
      </c>
      <c r="V177" s="21">
        <v>1</v>
      </c>
      <c r="W177" s="21" t="s">
        <v>32</v>
      </c>
      <c r="X177" s="21" t="s">
        <v>32</v>
      </c>
      <c r="Y177" s="21" t="s">
        <v>32</v>
      </c>
      <c r="Z177" s="21" t="s">
        <v>32</v>
      </c>
      <c r="AA177" s="21">
        <v>29519609</v>
      </c>
      <c r="AB177" s="21">
        <v>1</v>
      </c>
      <c r="AD177" s="21">
        <v>4</v>
      </c>
      <c r="AE177" s="23">
        <v>16</v>
      </c>
      <c r="AF177" s="21">
        <v>8</v>
      </c>
      <c r="AG177" s="21">
        <v>8</v>
      </c>
      <c r="AH177" s="21" t="s">
        <v>1642</v>
      </c>
      <c r="AI177" s="21" t="s">
        <v>1642</v>
      </c>
      <c r="AJ177" s="21" t="s">
        <v>2024</v>
      </c>
      <c r="AK177" s="21">
        <v>250</v>
      </c>
      <c r="AM177" s="21" t="s">
        <v>2024</v>
      </c>
      <c r="AN177" s="21">
        <v>250</v>
      </c>
      <c r="AP177" s="21">
        <v>1</v>
      </c>
      <c r="AQ177" s="21" t="s">
        <v>1787</v>
      </c>
      <c r="AR177" s="21" t="s">
        <v>2025</v>
      </c>
      <c r="AS177" s="21" t="s">
        <v>1667</v>
      </c>
      <c r="AT177" s="21" t="s">
        <v>1640</v>
      </c>
      <c r="AU177" s="21" t="s">
        <v>178</v>
      </c>
      <c r="AV177" s="21" t="s">
        <v>1888</v>
      </c>
      <c r="AW177" s="21" t="s">
        <v>1678</v>
      </c>
      <c r="AX177" s="21" t="s">
        <v>2026</v>
      </c>
      <c r="AY177" s="21" t="s">
        <v>1900</v>
      </c>
      <c r="AZ177" s="21" t="s">
        <v>1650</v>
      </c>
      <c r="BA177" s="21">
        <v>2262</v>
      </c>
      <c r="BB177" s="21">
        <v>254</v>
      </c>
      <c r="BC177" s="21" t="s">
        <v>2835</v>
      </c>
      <c r="BD177" s="21">
        <v>271.67599999999999</v>
      </c>
      <c r="BF177" s="21">
        <f>295.272-BD177</f>
        <v>23.596000000000004</v>
      </c>
      <c r="BG177" s="21" t="s">
        <v>1818</v>
      </c>
      <c r="BH177" s="21">
        <v>26.833300000000001</v>
      </c>
      <c r="BJ177" s="21">
        <f>31.2083-BH177</f>
        <v>4.375</v>
      </c>
      <c r="BK177" s="40" t="s">
        <v>2843</v>
      </c>
    </row>
    <row r="178" spans="1:63" s="21" customFormat="1" x14ac:dyDescent="0.2">
      <c r="A178" s="21">
        <v>49</v>
      </c>
      <c r="B178" s="21" t="s">
        <v>1294</v>
      </c>
      <c r="C178" s="21" t="s">
        <v>1293</v>
      </c>
      <c r="D178" s="21" t="s">
        <v>1292</v>
      </c>
      <c r="E178" s="21" t="s">
        <v>1291</v>
      </c>
      <c r="F178" s="21" t="s">
        <v>824</v>
      </c>
      <c r="G178" s="21">
        <v>2018</v>
      </c>
      <c r="H178" s="21">
        <v>43169</v>
      </c>
      <c r="I178" s="21" t="s">
        <v>32</v>
      </c>
      <c r="J178" s="21" t="s">
        <v>32</v>
      </c>
      <c r="K178" s="21" t="s">
        <v>1290</v>
      </c>
      <c r="L178" s="21">
        <v>2</v>
      </c>
      <c r="M178" s="21" t="s">
        <v>32</v>
      </c>
      <c r="N178" s="21" t="s">
        <v>34</v>
      </c>
      <c r="O178" s="21" t="s">
        <v>190</v>
      </c>
      <c r="P178" s="21" t="s">
        <v>34</v>
      </c>
      <c r="Q178" s="21" t="s">
        <v>34</v>
      </c>
      <c r="R178" s="21" t="s">
        <v>739</v>
      </c>
      <c r="S178" s="21" t="s">
        <v>34</v>
      </c>
      <c r="T178" s="21" t="s">
        <v>34</v>
      </c>
      <c r="U178" s="21" t="s">
        <v>32</v>
      </c>
      <c r="V178" s="21">
        <v>1</v>
      </c>
      <c r="W178" s="21" t="s">
        <v>32</v>
      </c>
      <c r="X178" s="21" t="s">
        <v>32</v>
      </c>
      <c r="Y178" s="21" t="s">
        <v>32</v>
      </c>
      <c r="Z178" s="21" t="s">
        <v>32</v>
      </c>
      <c r="AA178" s="21">
        <v>29519609</v>
      </c>
      <c r="AB178" s="21">
        <v>1</v>
      </c>
      <c r="AD178" s="21">
        <v>4</v>
      </c>
      <c r="AE178" s="23">
        <v>16</v>
      </c>
      <c r="AF178" s="21">
        <v>8</v>
      </c>
      <c r="AG178" s="21">
        <v>8</v>
      </c>
      <c r="AH178" s="21" t="s">
        <v>1642</v>
      </c>
      <c r="AI178" s="21" t="s">
        <v>1642</v>
      </c>
      <c r="AJ178" s="21" t="s">
        <v>2024</v>
      </c>
      <c r="AK178" s="21">
        <v>250</v>
      </c>
      <c r="AM178" s="21" t="s">
        <v>2024</v>
      </c>
      <c r="AN178" s="21">
        <v>250</v>
      </c>
      <c r="AP178" s="21">
        <v>1</v>
      </c>
      <c r="AQ178" s="21" t="s">
        <v>1787</v>
      </c>
      <c r="AR178" s="21" t="s">
        <v>2025</v>
      </c>
      <c r="AS178" s="21" t="s">
        <v>1667</v>
      </c>
      <c r="AT178" s="21" t="s">
        <v>1640</v>
      </c>
      <c r="AU178" s="21" t="s">
        <v>178</v>
      </c>
      <c r="AV178" s="21" t="s">
        <v>2040</v>
      </c>
      <c r="AW178" s="21" t="s">
        <v>1678</v>
      </c>
      <c r="AX178" s="21" t="s">
        <v>2026</v>
      </c>
      <c r="AY178" s="21" t="s">
        <v>2039</v>
      </c>
      <c r="AZ178" s="21" t="s">
        <v>1650</v>
      </c>
      <c r="BA178" s="21">
        <v>2262</v>
      </c>
      <c r="BB178" s="21">
        <v>254</v>
      </c>
      <c r="BC178" s="21" t="s">
        <v>2836</v>
      </c>
      <c r="BD178" s="21">
        <v>231.36699999999999</v>
      </c>
      <c r="BF178" s="21">
        <f>266.105-BD178</f>
        <v>34.738000000000028</v>
      </c>
      <c r="BG178" s="21" t="s">
        <v>1819</v>
      </c>
      <c r="BH178" s="21">
        <v>15.166700000000001</v>
      </c>
      <c r="BJ178" s="21">
        <f>19.8333-BH178</f>
        <v>4.6666000000000007</v>
      </c>
      <c r="BK178" s="40" t="s">
        <v>2843</v>
      </c>
    </row>
    <row r="179" spans="1:63" s="21" customFormat="1" x14ac:dyDescent="0.2">
      <c r="A179" s="21">
        <v>49</v>
      </c>
      <c r="B179" s="21" t="s">
        <v>1294</v>
      </c>
      <c r="C179" s="21" t="s">
        <v>1293</v>
      </c>
      <c r="D179" s="21" t="s">
        <v>1292</v>
      </c>
      <c r="E179" s="21" t="s">
        <v>1291</v>
      </c>
      <c r="F179" s="21" t="s">
        <v>824</v>
      </c>
      <c r="G179" s="21">
        <v>2018</v>
      </c>
      <c r="H179" s="21">
        <v>43169</v>
      </c>
      <c r="I179" s="21" t="s">
        <v>32</v>
      </c>
      <c r="J179" s="21" t="s">
        <v>32</v>
      </c>
      <c r="K179" s="21" t="s">
        <v>1290</v>
      </c>
      <c r="L179" s="21">
        <v>2</v>
      </c>
      <c r="M179" s="21" t="s">
        <v>32</v>
      </c>
      <c r="N179" s="21" t="s">
        <v>34</v>
      </c>
      <c r="O179" s="21" t="s">
        <v>190</v>
      </c>
      <c r="P179" s="21" t="s">
        <v>34</v>
      </c>
      <c r="Q179" s="21" t="s">
        <v>34</v>
      </c>
      <c r="R179" s="21" t="s">
        <v>739</v>
      </c>
      <c r="S179" s="21" t="s">
        <v>34</v>
      </c>
      <c r="T179" s="21" t="s">
        <v>34</v>
      </c>
      <c r="U179" s="21" t="s">
        <v>32</v>
      </c>
      <c r="V179" s="21">
        <v>1</v>
      </c>
      <c r="W179" s="21" t="s">
        <v>32</v>
      </c>
      <c r="X179" s="21" t="s">
        <v>32</v>
      </c>
      <c r="Y179" s="21" t="s">
        <v>32</v>
      </c>
      <c r="Z179" s="21" t="s">
        <v>32</v>
      </c>
      <c r="AA179" s="21">
        <v>29519609</v>
      </c>
      <c r="AB179" s="21">
        <v>1</v>
      </c>
      <c r="AD179" s="21">
        <v>4</v>
      </c>
      <c r="AE179" s="23">
        <v>16</v>
      </c>
      <c r="AF179" s="21">
        <v>8</v>
      </c>
      <c r="AG179" s="21">
        <v>8</v>
      </c>
      <c r="AH179" s="21" t="s">
        <v>1642</v>
      </c>
      <c r="AI179" s="21" t="s">
        <v>1642</v>
      </c>
      <c r="AJ179" s="21" t="s">
        <v>2024</v>
      </c>
      <c r="AK179" s="21">
        <v>250</v>
      </c>
      <c r="AM179" s="21" t="s">
        <v>2024</v>
      </c>
      <c r="AN179" s="21">
        <v>250</v>
      </c>
      <c r="AP179" s="21">
        <v>1</v>
      </c>
      <c r="AQ179" s="21" t="s">
        <v>1787</v>
      </c>
      <c r="AR179" s="21" t="s">
        <v>2025</v>
      </c>
      <c r="AS179" s="21" t="s">
        <v>1667</v>
      </c>
      <c r="AT179" s="21" t="s">
        <v>1640</v>
      </c>
      <c r="AU179" s="21" t="s">
        <v>178</v>
      </c>
      <c r="AV179" s="21" t="s">
        <v>2041</v>
      </c>
      <c r="AW179" s="21" t="s">
        <v>1678</v>
      </c>
      <c r="AX179" s="21" t="s">
        <v>2026</v>
      </c>
      <c r="AY179" s="21" t="s">
        <v>2039</v>
      </c>
      <c r="AZ179" s="21" t="s">
        <v>1650</v>
      </c>
      <c r="BA179" s="21">
        <v>2262</v>
      </c>
      <c r="BB179" s="21">
        <v>254</v>
      </c>
      <c r="BC179" s="21" t="s">
        <v>2837</v>
      </c>
      <c r="BD179" s="21">
        <v>135.67400000000001</v>
      </c>
      <c r="BF179" s="21">
        <f>186.142-BD179</f>
        <v>50.467999999999989</v>
      </c>
      <c r="BG179" s="21" t="s">
        <v>1820</v>
      </c>
      <c r="BH179" s="21">
        <v>10.5</v>
      </c>
      <c r="BJ179" s="21">
        <f>14.2917-BH179</f>
        <v>3.7917000000000005</v>
      </c>
      <c r="BK179" s="40" t="s">
        <v>2843</v>
      </c>
    </row>
    <row r="180" spans="1:63" s="21" customFormat="1" x14ac:dyDescent="0.2">
      <c r="A180" s="21">
        <v>49</v>
      </c>
      <c r="B180" s="21" t="s">
        <v>1294</v>
      </c>
      <c r="C180" s="21" t="s">
        <v>1293</v>
      </c>
      <c r="D180" s="21" t="s">
        <v>1292</v>
      </c>
      <c r="E180" s="21" t="s">
        <v>1291</v>
      </c>
      <c r="F180" s="21" t="s">
        <v>824</v>
      </c>
      <c r="G180" s="21">
        <v>2018</v>
      </c>
      <c r="H180" s="21">
        <v>43169</v>
      </c>
      <c r="I180" s="21" t="s">
        <v>32</v>
      </c>
      <c r="J180" s="21" t="s">
        <v>32</v>
      </c>
      <c r="K180" s="21" t="s">
        <v>1290</v>
      </c>
      <c r="L180" s="21">
        <v>2</v>
      </c>
      <c r="M180" s="21" t="s">
        <v>32</v>
      </c>
      <c r="N180" s="21" t="s">
        <v>34</v>
      </c>
      <c r="O180" s="21" t="s">
        <v>190</v>
      </c>
      <c r="P180" s="21" t="s">
        <v>34</v>
      </c>
      <c r="Q180" s="21" t="s">
        <v>34</v>
      </c>
      <c r="R180" s="21" t="s">
        <v>739</v>
      </c>
      <c r="S180" s="21" t="s">
        <v>34</v>
      </c>
      <c r="T180" s="21" t="s">
        <v>34</v>
      </c>
      <c r="U180" s="21" t="s">
        <v>32</v>
      </c>
      <c r="V180" s="21">
        <v>1</v>
      </c>
      <c r="W180" s="21" t="s">
        <v>32</v>
      </c>
      <c r="X180" s="21" t="s">
        <v>32</v>
      </c>
      <c r="Y180" s="21" t="s">
        <v>32</v>
      </c>
      <c r="Z180" s="21" t="s">
        <v>32</v>
      </c>
      <c r="AA180" s="21">
        <v>29519609</v>
      </c>
      <c r="AB180" s="21">
        <v>1</v>
      </c>
      <c r="AD180" s="21">
        <v>4</v>
      </c>
      <c r="AE180" s="23">
        <v>16</v>
      </c>
      <c r="AF180" s="21">
        <v>8</v>
      </c>
      <c r="AG180" s="21">
        <v>8</v>
      </c>
      <c r="AH180" s="21" t="s">
        <v>1642</v>
      </c>
      <c r="AI180" s="21" t="s">
        <v>1642</v>
      </c>
      <c r="AJ180" s="21" t="s">
        <v>2024</v>
      </c>
      <c r="AK180" s="21">
        <v>250</v>
      </c>
      <c r="AM180" s="21" t="s">
        <v>2024</v>
      </c>
      <c r="AN180" s="21">
        <v>250</v>
      </c>
      <c r="AP180" s="21">
        <v>1</v>
      </c>
      <c r="AQ180" s="21" t="s">
        <v>1787</v>
      </c>
      <c r="AR180" s="21" t="s">
        <v>2025</v>
      </c>
      <c r="AS180" s="21" t="s">
        <v>1667</v>
      </c>
      <c r="AT180" s="21" t="s">
        <v>1640</v>
      </c>
      <c r="AU180" s="21" t="s">
        <v>178</v>
      </c>
      <c r="AV180" s="21" t="s">
        <v>2042</v>
      </c>
      <c r="AW180" s="21" t="s">
        <v>1678</v>
      </c>
      <c r="AX180" s="21" t="s">
        <v>2026</v>
      </c>
      <c r="AY180" s="21" t="s">
        <v>2039</v>
      </c>
      <c r="AZ180" s="21" t="s">
        <v>1650</v>
      </c>
      <c r="BA180" s="21">
        <v>2262</v>
      </c>
      <c r="BB180" s="21">
        <v>254</v>
      </c>
      <c r="BC180" s="21" t="s">
        <v>2838</v>
      </c>
      <c r="BD180" s="21">
        <v>96.348299999999995</v>
      </c>
      <c r="BF180" s="21">
        <f>132.297-BD180</f>
        <v>35.948700000000002</v>
      </c>
      <c r="BG180" s="21" t="s">
        <v>1821</v>
      </c>
      <c r="BH180" s="21">
        <v>7.875</v>
      </c>
      <c r="BJ180" s="21">
        <f>9.91667-BH180</f>
        <v>2.0416699999999999</v>
      </c>
      <c r="BK180" s="40" t="s">
        <v>2843</v>
      </c>
    </row>
    <row r="181" spans="1:63" s="21" customFormat="1" x14ac:dyDescent="0.2">
      <c r="A181" s="21">
        <v>49</v>
      </c>
      <c r="B181" s="21" t="s">
        <v>1294</v>
      </c>
      <c r="C181" s="21" t="s">
        <v>1293</v>
      </c>
      <c r="D181" s="21" t="s">
        <v>1292</v>
      </c>
      <c r="E181" s="21" t="s">
        <v>1291</v>
      </c>
      <c r="F181" s="21" t="s">
        <v>824</v>
      </c>
      <c r="G181" s="21">
        <v>2018</v>
      </c>
      <c r="H181" s="21">
        <v>43169</v>
      </c>
      <c r="I181" s="21" t="s">
        <v>32</v>
      </c>
      <c r="J181" s="21" t="s">
        <v>32</v>
      </c>
      <c r="K181" s="21" t="s">
        <v>1290</v>
      </c>
      <c r="L181" s="21">
        <v>2</v>
      </c>
      <c r="M181" s="21" t="s">
        <v>32</v>
      </c>
      <c r="N181" s="21" t="s">
        <v>34</v>
      </c>
      <c r="O181" s="21" t="s">
        <v>190</v>
      </c>
      <c r="P181" s="21" t="s">
        <v>34</v>
      </c>
      <c r="Q181" s="21" t="s">
        <v>34</v>
      </c>
      <c r="R181" s="21" t="s">
        <v>739</v>
      </c>
      <c r="S181" s="21" t="s">
        <v>34</v>
      </c>
      <c r="T181" s="21" t="s">
        <v>34</v>
      </c>
      <c r="U181" s="21" t="s">
        <v>32</v>
      </c>
      <c r="V181" s="21">
        <v>1</v>
      </c>
      <c r="W181" s="21" t="s">
        <v>32</v>
      </c>
      <c r="X181" s="21" t="s">
        <v>32</v>
      </c>
      <c r="Y181" s="21" t="s">
        <v>32</v>
      </c>
      <c r="Z181" s="21" t="s">
        <v>32</v>
      </c>
      <c r="AA181" s="21">
        <v>29519609</v>
      </c>
      <c r="AB181" s="21">
        <v>1</v>
      </c>
      <c r="AD181" s="21">
        <v>4</v>
      </c>
      <c r="AE181" s="23">
        <v>16</v>
      </c>
      <c r="AF181" s="21">
        <v>8</v>
      </c>
      <c r="AG181" s="21">
        <v>8</v>
      </c>
      <c r="AH181" s="21" t="s">
        <v>1642</v>
      </c>
      <c r="AI181" s="21" t="s">
        <v>1642</v>
      </c>
      <c r="AJ181" s="21" t="s">
        <v>2024</v>
      </c>
      <c r="AK181" s="21">
        <v>250</v>
      </c>
      <c r="AM181" s="21" t="s">
        <v>2024</v>
      </c>
      <c r="AN181" s="21">
        <v>250</v>
      </c>
      <c r="AP181" s="21">
        <v>1</v>
      </c>
      <c r="AQ181" s="21" t="s">
        <v>1787</v>
      </c>
      <c r="AR181" s="21" t="s">
        <v>2025</v>
      </c>
      <c r="AS181" s="21" t="s">
        <v>1667</v>
      </c>
      <c r="AT181" s="21" t="s">
        <v>1640</v>
      </c>
      <c r="AU181" s="21" t="s">
        <v>178</v>
      </c>
      <c r="AV181" s="21" t="s">
        <v>1888</v>
      </c>
      <c r="AW181" s="21" t="s">
        <v>1678</v>
      </c>
      <c r="AX181" s="21" t="s">
        <v>2026</v>
      </c>
      <c r="AY181" s="21" t="s">
        <v>1900</v>
      </c>
      <c r="AZ181" s="21" t="s">
        <v>1650</v>
      </c>
      <c r="BA181" s="21">
        <v>3262</v>
      </c>
      <c r="BB181" s="21">
        <v>254</v>
      </c>
      <c r="BC181" s="21" t="s">
        <v>2839</v>
      </c>
      <c r="BD181" s="21">
        <v>254.86099999999999</v>
      </c>
      <c r="BF181" s="21">
        <f>271.645-BD181</f>
        <v>16.783999999999992</v>
      </c>
      <c r="BG181" s="21" t="s">
        <v>1818</v>
      </c>
      <c r="BH181" s="21">
        <v>26.833300000000001</v>
      </c>
      <c r="BJ181" s="21">
        <f>31.2083-BH181</f>
        <v>4.375</v>
      </c>
      <c r="BK181" s="40" t="s">
        <v>2843</v>
      </c>
    </row>
    <row r="182" spans="1:63" s="21" customFormat="1" x14ac:dyDescent="0.2">
      <c r="A182" s="21">
        <v>49</v>
      </c>
      <c r="B182" s="21" t="s">
        <v>1294</v>
      </c>
      <c r="C182" s="21" t="s">
        <v>1293</v>
      </c>
      <c r="D182" s="21" t="s">
        <v>1292</v>
      </c>
      <c r="E182" s="21" t="s">
        <v>1291</v>
      </c>
      <c r="F182" s="21" t="s">
        <v>824</v>
      </c>
      <c r="G182" s="21">
        <v>2018</v>
      </c>
      <c r="H182" s="21">
        <v>43169</v>
      </c>
      <c r="I182" s="21" t="s">
        <v>32</v>
      </c>
      <c r="J182" s="21" t="s">
        <v>32</v>
      </c>
      <c r="K182" s="21" t="s">
        <v>1290</v>
      </c>
      <c r="L182" s="21">
        <v>2</v>
      </c>
      <c r="M182" s="21" t="s">
        <v>32</v>
      </c>
      <c r="N182" s="21" t="s">
        <v>34</v>
      </c>
      <c r="O182" s="21" t="s">
        <v>190</v>
      </c>
      <c r="P182" s="21" t="s">
        <v>34</v>
      </c>
      <c r="Q182" s="21" t="s">
        <v>34</v>
      </c>
      <c r="R182" s="21" t="s">
        <v>739</v>
      </c>
      <c r="S182" s="21" t="s">
        <v>34</v>
      </c>
      <c r="T182" s="21" t="s">
        <v>34</v>
      </c>
      <c r="U182" s="21" t="s">
        <v>32</v>
      </c>
      <c r="V182" s="21">
        <v>1</v>
      </c>
      <c r="W182" s="21" t="s">
        <v>32</v>
      </c>
      <c r="X182" s="21" t="s">
        <v>32</v>
      </c>
      <c r="Y182" s="21" t="s">
        <v>32</v>
      </c>
      <c r="Z182" s="21" t="s">
        <v>32</v>
      </c>
      <c r="AA182" s="21">
        <v>29519609</v>
      </c>
      <c r="AB182" s="21">
        <v>1</v>
      </c>
      <c r="AD182" s="21">
        <v>4</v>
      </c>
      <c r="AE182" s="23">
        <v>16</v>
      </c>
      <c r="AF182" s="21">
        <v>8</v>
      </c>
      <c r="AG182" s="21">
        <v>8</v>
      </c>
      <c r="AH182" s="21" t="s">
        <v>1642</v>
      </c>
      <c r="AI182" s="21" t="s">
        <v>1642</v>
      </c>
      <c r="AJ182" s="21" t="s">
        <v>2024</v>
      </c>
      <c r="AK182" s="21">
        <v>250</v>
      </c>
      <c r="AM182" s="21" t="s">
        <v>2024</v>
      </c>
      <c r="AN182" s="21">
        <v>250</v>
      </c>
      <c r="AP182" s="21">
        <v>1</v>
      </c>
      <c r="AQ182" s="21" t="s">
        <v>1787</v>
      </c>
      <c r="AR182" s="21" t="s">
        <v>2025</v>
      </c>
      <c r="AS182" s="21" t="s">
        <v>1667</v>
      </c>
      <c r="AT182" s="21" t="s">
        <v>1640</v>
      </c>
      <c r="AU182" s="21" t="s">
        <v>178</v>
      </c>
      <c r="AV182" s="21" t="s">
        <v>2040</v>
      </c>
      <c r="AW182" s="21" t="s">
        <v>1678</v>
      </c>
      <c r="AX182" s="21" t="s">
        <v>2026</v>
      </c>
      <c r="AY182" s="21" t="s">
        <v>2039</v>
      </c>
      <c r="AZ182" s="21" t="s">
        <v>1650</v>
      </c>
      <c r="BA182" s="21">
        <v>3262</v>
      </c>
      <c r="BB182" s="21">
        <v>254</v>
      </c>
      <c r="BC182" s="21" t="s">
        <v>2840</v>
      </c>
      <c r="BD182" s="21">
        <v>211.624</v>
      </c>
      <c r="BF182" s="21">
        <f>235.648-BD182</f>
        <v>24.024000000000001</v>
      </c>
      <c r="BG182" s="21" t="s">
        <v>1819</v>
      </c>
      <c r="BH182" s="21">
        <v>15.166700000000001</v>
      </c>
      <c r="BJ182" s="21">
        <f>19.8333-BH182</f>
        <v>4.6666000000000007</v>
      </c>
      <c r="BK182" s="40" t="s">
        <v>2843</v>
      </c>
    </row>
    <row r="183" spans="1:63" s="21" customFormat="1" x14ac:dyDescent="0.2">
      <c r="A183" s="21">
        <v>49</v>
      </c>
      <c r="B183" s="21" t="s">
        <v>1294</v>
      </c>
      <c r="C183" s="21" t="s">
        <v>1293</v>
      </c>
      <c r="D183" s="21" t="s">
        <v>1292</v>
      </c>
      <c r="E183" s="21" t="s">
        <v>1291</v>
      </c>
      <c r="F183" s="21" t="s">
        <v>824</v>
      </c>
      <c r="G183" s="21">
        <v>2018</v>
      </c>
      <c r="H183" s="21">
        <v>43169</v>
      </c>
      <c r="I183" s="21" t="s">
        <v>32</v>
      </c>
      <c r="J183" s="21" t="s">
        <v>32</v>
      </c>
      <c r="K183" s="21" t="s">
        <v>1290</v>
      </c>
      <c r="L183" s="21">
        <v>2</v>
      </c>
      <c r="M183" s="21" t="s">
        <v>32</v>
      </c>
      <c r="N183" s="21" t="s">
        <v>34</v>
      </c>
      <c r="O183" s="21" t="s">
        <v>190</v>
      </c>
      <c r="P183" s="21" t="s">
        <v>34</v>
      </c>
      <c r="Q183" s="21" t="s">
        <v>34</v>
      </c>
      <c r="R183" s="21" t="s">
        <v>739</v>
      </c>
      <c r="S183" s="21" t="s">
        <v>34</v>
      </c>
      <c r="T183" s="21" t="s">
        <v>34</v>
      </c>
      <c r="U183" s="21" t="s">
        <v>32</v>
      </c>
      <c r="V183" s="21">
        <v>1</v>
      </c>
      <c r="W183" s="21" t="s">
        <v>32</v>
      </c>
      <c r="X183" s="21" t="s">
        <v>32</v>
      </c>
      <c r="Y183" s="21" t="s">
        <v>32</v>
      </c>
      <c r="Z183" s="21" t="s">
        <v>32</v>
      </c>
      <c r="AA183" s="21">
        <v>29519609</v>
      </c>
      <c r="AB183" s="21">
        <v>1</v>
      </c>
      <c r="AD183" s="21">
        <v>4</v>
      </c>
      <c r="AE183" s="23">
        <v>16</v>
      </c>
      <c r="AF183" s="21">
        <v>8</v>
      </c>
      <c r="AG183" s="21">
        <v>8</v>
      </c>
      <c r="AH183" s="21" t="s">
        <v>1642</v>
      </c>
      <c r="AI183" s="21" t="s">
        <v>1642</v>
      </c>
      <c r="AJ183" s="21" t="s">
        <v>2024</v>
      </c>
      <c r="AK183" s="21">
        <v>250</v>
      </c>
      <c r="AM183" s="21" t="s">
        <v>2024</v>
      </c>
      <c r="AN183" s="21">
        <v>250</v>
      </c>
      <c r="AP183" s="21">
        <v>1</v>
      </c>
      <c r="AQ183" s="21" t="s">
        <v>1787</v>
      </c>
      <c r="AR183" s="21" t="s">
        <v>2025</v>
      </c>
      <c r="AS183" s="21" t="s">
        <v>1667</v>
      </c>
      <c r="AT183" s="21" t="s">
        <v>1640</v>
      </c>
      <c r="AU183" s="21" t="s">
        <v>178</v>
      </c>
      <c r="AV183" s="21" t="s">
        <v>2041</v>
      </c>
      <c r="AW183" s="21" t="s">
        <v>1678</v>
      </c>
      <c r="AX183" s="21" t="s">
        <v>2026</v>
      </c>
      <c r="AY183" s="21" t="s">
        <v>2039</v>
      </c>
      <c r="AZ183" s="21" t="s">
        <v>1650</v>
      </c>
      <c r="BA183" s="21">
        <v>3262</v>
      </c>
      <c r="BB183" s="21">
        <v>254</v>
      </c>
      <c r="BC183" s="21" t="s">
        <v>2841</v>
      </c>
      <c r="BD183" s="21">
        <v>145.679</v>
      </c>
      <c r="BF183" s="21">
        <f>173.323-BD183</f>
        <v>27.644000000000005</v>
      </c>
      <c r="BG183" s="21" t="s">
        <v>1820</v>
      </c>
      <c r="BH183" s="21">
        <v>10.5</v>
      </c>
      <c r="BJ183" s="21">
        <f>14.2917-BH183</f>
        <v>3.7917000000000005</v>
      </c>
      <c r="BK183" s="40" t="s">
        <v>2843</v>
      </c>
    </row>
    <row r="184" spans="1:63" s="21" customFormat="1" x14ac:dyDescent="0.2">
      <c r="A184" s="21">
        <v>49</v>
      </c>
      <c r="B184" s="21" t="s">
        <v>1294</v>
      </c>
      <c r="C184" s="21" t="s">
        <v>1293</v>
      </c>
      <c r="D184" s="21" t="s">
        <v>1292</v>
      </c>
      <c r="E184" s="21" t="s">
        <v>1291</v>
      </c>
      <c r="F184" s="21" t="s">
        <v>824</v>
      </c>
      <c r="G184" s="21">
        <v>2018</v>
      </c>
      <c r="H184" s="21">
        <v>43169</v>
      </c>
      <c r="I184" s="21" t="s">
        <v>32</v>
      </c>
      <c r="J184" s="21" t="s">
        <v>32</v>
      </c>
      <c r="K184" s="21" t="s">
        <v>1290</v>
      </c>
      <c r="L184" s="21">
        <v>2</v>
      </c>
      <c r="M184" s="21" t="s">
        <v>32</v>
      </c>
      <c r="N184" s="21" t="s">
        <v>34</v>
      </c>
      <c r="O184" s="21" t="s">
        <v>190</v>
      </c>
      <c r="P184" s="21" t="s">
        <v>34</v>
      </c>
      <c r="Q184" s="21" t="s">
        <v>34</v>
      </c>
      <c r="R184" s="21" t="s">
        <v>739</v>
      </c>
      <c r="S184" s="21" t="s">
        <v>34</v>
      </c>
      <c r="T184" s="21" t="s">
        <v>34</v>
      </c>
      <c r="U184" s="21" t="s">
        <v>32</v>
      </c>
      <c r="V184" s="21">
        <v>1</v>
      </c>
      <c r="W184" s="21" t="s">
        <v>32</v>
      </c>
      <c r="X184" s="21" t="s">
        <v>32</v>
      </c>
      <c r="Y184" s="21" t="s">
        <v>32</v>
      </c>
      <c r="Z184" s="21" t="s">
        <v>32</v>
      </c>
      <c r="AA184" s="21">
        <v>29519609</v>
      </c>
      <c r="AB184" s="21">
        <v>1</v>
      </c>
      <c r="AD184" s="21">
        <v>4</v>
      </c>
      <c r="AE184" s="23">
        <v>16</v>
      </c>
      <c r="AF184" s="21">
        <v>8</v>
      </c>
      <c r="AG184" s="21">
        <v>8</v>
      </c>
      <c r="AH184" s="21" t="s">
        <v>1642</v>
      </c>
      <c r="AI184" s="21" t="s">
        <v>1642</v>
      </c>
      <c r="AJ184" s="21" t="s">
        <v>2024</v>
      </c>
      <c r="AK184" s="21">
        <v>250</v>
      </c>
      <c r="AM184" s="21" t="s">
        <v>2024</v>
      </c>
      <c r="AN184" s="21">
        <v>250</v>
      </c>
      <c r="AP184" s="21">
        <v>1</v>
      </c>
      <c r="AQ184" s="21" t="s">
        <v>1787</v>
      </c>
      <c r="AR184" s="21" t="s">
        <v>2025</v>
      </c>
      <c r="AS184" s="21" t="s">
        <v>1667</v>
      </c>
      <c r="AT184" s="21" t="s">
        <v>1640</v>
      </c>
      <c r="AU184" s="21" t="s">
        <v>178</v>
      </c>
      <c r="AV184" s="21" t="s">
        <v>2042</v>
      </c>
      <c r="AW184" s="21" t="s">
        <v>1678</v>
      </c>
      <c r="AX184" s="21" t="s">
        <v>2026</v>
      </c>
      <c r="AY184" s="21" t="s">
        <v>2039</v>
      </c>
      <c r="AZ184" s="21" t="s">
        <v>1650</v>
      </c>
      <c r="BA184" s="21">
        <v>3262</v>
      </c>
      <c r="BB184" s="21">
        <v>254</v>
      </c>
      <c r="BC184" s="21" t="s">
        <v>2842</v>
      </c>
      <c r="BD184" s="21">
        <v>84.011799999999994</v>
      </c>
      <c r="BF184" s="21">
        <f>103.099-BD184</f>
        <v>19.08720000000001</v>
      </c>
      <c r="BG184" s="21" t="s">
        <v>1821</v>
      </c>
      <c r="BH184" s="21">
        <v>7.875</v>
      </c>
      <c r="BJ184" s="21">
        <f>9.91667-BH184</f>
        <v>2.0416699999999999</v>
      </c>
      <c r="BK184" s="40" t="s">
        <v>2843</v>
      </c>
    </row>
    <row r="185" spans="1:63" x14ac:dyDescent="0.2">
      <c r="A185" s="7">
        <v>50</v>
      </c>
      <c r="B185" s="7" t="s">
        <v>1289</v>
      </c>
      <c r="C185" s="7" t="s">
        <v>1288</v>
      </c>
      <c r="D185" s="7" t="s">
        <v>1287</v>
      </c>
      <c r="E185" s="7" t="s">
        <v>1286</v>
      </c>
      <c r="F185" s="7" t="s">
        <v>153</v>
      </c>
      <c r="G185" s="7">
        <v>2018</v>
      </c>
      <c r="H185" s="7">
        <v>43151</v>
      </c>
      <c r="I185" s="7" t="s">
        <v>32</v>
      </c>
      <c r="J185" s="7" t="s">
        <v>32</v>
      </c>
      <c r="K185" s="7" t="s">
        <v>1285</v>
      </c>
      <c r="L185" s="7">
        <v>2</v>
      </c>
      <c r="M185" s="7" t="s">
        <v>32</v>
      </c>
      <c r="N185" s="7" t="s">
        <v>34</v>
      </c>
      <c r="O185" s="7" t="s">
        <v>190</v>
      </c>
      <c r="P185" s="7" t="s">
        <v>34</v>
      </c>
      <c r="Q185" s="7" t="s">
        <v>34</v>
      </c>
      <c r="R185" s="7" t="s">
        <v>739</v>
      </c>
      <c r="S185" s="7" t="s">
        <v>34</v>
      </c>
      <c r="T185" s="7" t="s">
        <v>34</v>
      </c>
      <c r="U185" s="7" t="s">
        <v>32</v>
      </c>
      <c r="V185" s="7">
        <v>1</v>
      </c>
      <c r="W185" s="7" t="s">
        <v>32</v>
      </c>
      <c r="X185" s="7" t="s">
        <v>32</v>
      </c>
      <c r="Y185" s="7" t="s">
        <v>32</v>
      </c>
      <c r="Z185" s="7" t="s">
        <v>32</v>
      </c>
      <c r="AA185" s="7">
        <v>29458190</v>
      </c>
      <c r="AB185" s="7">
        <v>1</v>
      </c>
      <c r="AD185" s="7">
        <v>4</v>
      </c>
      <c r="AE185" s="24">
        <v>16</v>
      </c>
      <c r="AF185" s="7">
        <v>8</v>
      </c>
      <c r="AG185" s="7">
        <v>8</v>
      </c>
      <c r="AH185" s="7" t="s">
        <v>1642</v>
      </c>
      <c r="AI185" s="7" t="s">
        <v>1642</v>
      </c>
      <c r="AJ185" s="7" t="s">
        <v>2024</v>
      </c>
      <c r="AK185" s="7">
        <v>300</v>
      </c>
      <c r="AM185" s="7" t="s">
        <v>2024</v>
      </c>
      <c r="AN185" s="7">
        <v>300</v>
      </c>
      <c r="AP185" s="7">
        <v>1</v>
      </c>
      <c r="AQ185" s="7" t="s">
        <v>1787</v>
      </c>
      <c r="AR185" s="7" t="s">
        <v>2025</v>
      </c>
      <c r="AS185" s="7" t="s">
        <v>1667</v>
      </c>
      <c r="AT185" s="7" t="s">
        <v>1640</v>
      </c>
      <c r="AU185" s="7" t="s">
        <v>178</v>
      </c>
      <c r="AV185" s="7" t="s">
        <v>2044</v>
      </c>
      <c r="AW185" s="7" t="s">
        <v>1678</v>
      </c>
      <c r="AX185" s="7" t="s">
        <v>2043</v>
      </c>
      <c r="AY185" s="7" t="s">
        <v>1900</v>
      </c>
      <c r="AZ185" s="7" t="s">
        <v>1650</v>
      </c>
      <c r="BA185" s="7">
        <v>263</v>
      </c>
      <c r="BB185" s="7">
        <v>255</v>
      </c>
      <c r="BC185" s="7" t="s">
        <v>2045</v>
      </c>
      <c r="BD185" s="7">
        <v>299.90800000000002</v>
      </c>
      <c r="BF185" s="7">
        <f>304.446-BD185</f>
        <v>4.5380000000000109</v>
      </c>
      <c r="BG185" s="7" t="s">
        <v>1818</v>
      </c>
      <c r="BH185" s="7">
        <v>25.1312</v>
      </c>
      <c r="BJ185" s="7">
        <f>30.9084-BH185</f>
        <v>5.7772000000000006</v>
      </c>
    </row>
    <row r="186" spans="1:63" x14ac:dyDescent="0.2">
      <c r="A186" s="7">
        <v>50</v>
      </c>
      <c r="B186" s="7" t="s">
        <v>1289</v>
      </c>
      <c r="C186" s="7" t="s">
        <v>1288</v>
      </c>
      <c r="D186" s="7" t="s">
        <v>1287</v>
      </c>
      <c r="E186" s="7" t="s">
        <v>1286</v>
      </c>
      <c r="F186" s="7" t="s">
        <v>153</v>
      </c>
      <c r="G186" s="7">
        <v>2018</v>
      </c>
      <c r="H186" s="7">
        <v>43151</v>
      </c>
      <c r="I186" s="7" t="s">
        <v>32</v>
      </c>
      <c r="J186" s="7" t="s">
        <v>32</v>
      </c>
      <c r="K186" s="7" t="s">
        <v>1285</v>
      </c>
      <c r="L186" s="7">
        <v>2</v>
      </c>
      <c r="M186" s="7" t="s">
        <v>32</v>
      </c>
      <c r="N186" s="7" t="s">
        <v>34</v>
      </c>
      <c r="O186" s="7" t="s">
        <v>190</v>
      </c>
      <c r="P186" s="7" t="s">
        <v>34</v>
      </c>
      <c r="Q186" s="7" t="s">
        <v>34</v>
      </c>
      <c r="R186" s="7" t="s">
        <v>739</v>
      </c>
      <c r="S186" s="7" t="s">
        <v>34</v>
      </c>
      <c r="T186" s="7" t="s">
        <v>34</v>
      </c>
      <c r="U186" s="7" t="s">
        <v>32</v>
      </c>
      <c r="V186" s="7">
        <v>1</v>
      </c>
      <c r="W186" s="7" t="s">
        <v>32</v>
      </c>
      <c r="X186" s="7" t="s">
        <v>32</v>
      </c>
      <c r="Y186" s="7" t="s">
        <v>32</v>
      </c>
      <c r="Z186" s="7" t="s">
        <v>32</v>
      </c>
      <c r="AA186" s="7">
        <v>29458190</v>
      </c>
      <c r="AB186" s="7">
        <v>1</v>
      </c>
      <c r="AD186" s="7">
        <v>4</v>
      </c>
      <c r="AE186" s="24">
        <v>16</v>
      </c>
      <c r="AF186" s="7">
        <v>8</v>
      </c>
      <c r="AG186" s="7">
        <v>8</v>
      </c>
      <c r="AH186" s="7" t="s">
        <v>1642</v>
      </c>
      <c r="AI186" s="7" t="s">
        <v>1642</v>
      </c>
      <c r="AJ186" s="7" t="s">
        <v>2024</v>
      </c>
      <c r="AK186" s="7">
        <v>300</v>
      </c>
      <c r="AM186" s="7" t="s">
        <v>2024</v>
      </c>
      <c r="AN186" s="7">
        <v>300</v>
      </c>
      <c r="AP186" s="7">
        <v>1</v>
      </c>
      <c r="AQ186" s="7" t="s">
        <v>1787</v>
      </c>
      <c r="AR186" s="7" t="s">
        <v>2025</v>
      </c>
      <c r="AS186" s="7" t="s">
        <v>1667</v>
      </c>
      <c r="AT186" s="7" t="s">
        <v>1640</v>
      </c>
      <c r="AU186" s="7" t="s">
        <v>178</v>
      </c>
      <c r="AV186" s="7" t="s">
        <v>2049</v>
      </c>
      <c r="AW186" s="7" t="s">
        <v>1678</v>
      </c>
      <c r="AX186" s="7" t="s">
        <v>2043</v>
      </c>
      <c r="AY186" s="7" t="s">
        <v>2039</v>
      </c>
      <c r="AZ186" s="7" t="s">
        <v>1650</v>
      </c>
      <c r="BA186" s="7">
        <v>263</v>
      </c>
      <c r="BB186" s="7">
        <v>255</v>
      </c>
      <c r="BC186" s="7" t="s">
        <v>2046</v>
      </c>
      <c r="BD186" s="7">
        <v>280.58600000000001</v>
      </c>
      <c r="BF186" s="7">
        <f>299.977-BD186</f>
        <v>19.390999999999963</v>
      </c>
      <c r="BG186" s="7" t="s">
        <v>1819</v>
      </c>
      <c r="BH186" s="7">
        <v>14.8865</v>
      </c>
      <c r="BJ186" s="7">
        <f>20.6625-BH186</f>
        <v>5.7760000000000016</v>
      </c>
    </row>
    <row r="187" spans="1:63" x14ac:dyDescent="0.2">
      <c r="A187" s="7">
        <v>50</v>
      </c>
      <c r="B187" s="7" t="s">
        <v>1289</v>
      </c>
      <c r="C187" s="7" t="s">
        <v>1288</v>
      </c>
      <c r="D187" s="7" t="s">
        <v>1287</v>
      </c>
      <c r="E187" s="7" t="s">
        <v>1286</v>
      </c>
      <c r="F187" s="7" t="s">
        <v>153</v>
      </c>
      <c r="G187" s="7">
        <v>2018</v>
      </c>
      <c r="H187" s="7">
        <v>43151</v>
      </c>
      <c r="I187" s="7" t="s">
        <v>32</v>
      </c>
      <c r="J187" s="7" t="s">
        <v>32</v>
      </c>
      <c r="K187" s="7" t="s">
        <v>1285</v>
      </c>
      <c r="L187" s="7">
        <v>2</v>
      </c>
      <c r="M187" s="7" t="s">
        <v>32</v>
      </c>
      <c r="N187" s="7" t="s">
        <v>34</v>
      </c>
      <c r="O187" s="7" t="s">
        <v>190</v>
      </c>
      <c r="P187" s="7" t="s">
        <v>34</v>
      </c>
      <c r="Q187" s="7" t="s">
        <v>34</v>
      </c>
      <c r="R187" s="7" t="s">
        <v>739</v>
      </c>
      <c r="S187" s="7" t="s">
        <v>34</v>
      </c>
      <c r="T187" s="7" t="s">
        <v>34</v>
      </c>
      <c r="U187" s="7" t="s">
        <v>32</v>
      </c>
      <c r="V187" s="7">
        <v>1</v>
      </c>
      <c r="W187" s="7" t="s">
        <v>32</v>
      </c>
      <c r="X187" s="7" t="s">
        <v>32</v>
      </c>
      <c r="Y187" s="7" t="s">
        <v>32</v>
      </c>
      <c r="Z187" s="7" t="s">
        <v>32</v>
      </c>
      <c r="AA187" s="7">
        <v>29458190</v>
      </c>
      <c r="AB187" s="7">
        <v>1</v>
      </c>
      <c r="AD187" s="7">
        <v>4</v>
      </c>
      <c r="AE187" s="24">
        <v>16</v>
      </c>
      <c r="AF187" s="7">
        <v>8</v>
      </c>
      <c r="AG187" s="7">
        <v>8</v>
      </c>
      <c r="AH187" s="7" t="s">
        <v>1642</v>
      </c>
      <c r="AI187" s="7" t="s">
        <v>1642</v>
      </c>
      <c r="AJ187" s="7" t="s">
        <v>2024</v>
      </c>
      <c r="AK187" s="7">
        <v>300</v>
      </c>
      <c r="AM187" s="7" t="s">
        <v>2024</v>
      </c>
      <c r="AN187" s="7">
        <v>300</v>
      </c>
      <c r="AP187" s="7">
        <v>1</v>
      </c>
      <c r="AQ187" s="7" t="s">
        <v>1787</v>
      </c>
      <c r="AR187" s="7" t="s">
        <v>2025</v>
      </c>
      <c r="AS187" s="7" t="s">
        <v>1667</v>
      </c>
      <c r="AT187" s="7" t="s">
        <v>1640</v>
      </c>
      <c r="AU187" s="7" t="s">
        <v>178</v>
      </c>
      <c r="AV187" s="7" t="s">
        <v>2050</v>
      </c>
      <c r="AW187" s="7" t="s">
        <v>1678</v>
      </c>
      <c r="AX187" s="7" t="s">
        <v>2043</v>
      </c>
      <c r="AY187" s="7" t="s">
        <v>2039</v>
      </c>
      <c r="AZ187" s="7" t="s">
        <v>1650</v>
      </c>
      <c r="BA187" s="7">
        <v>263</v>
      </c>
      <c r="BB187" s="7">
        <v>255</v>
      </c>
      <c r="BC187" s="7" t="s">
        <v>2047</v>
      </c>
      <c r="BD187" s="7">
        <v>270.34100000000001</v>
      </c>
      <c r="BF187" s="7">
        <f>290.557-BD187</f>
        <v>20.216000000000008</v>
      </c>
      <c r="BG187" s="7" t="s">
        <v>1820</v>
      </c>
      <c r="BH187" s="7">
        <v>6.7046299999999999</v>
      </c>
      <c r="BJ187" s="7">
        <f>11.243-BH187</f>
        <v>4.5383700000000005</v>
      </c>
    </row>
    <row r="188" spans="1:63" x14ac:dyDescent="0.2">
      <c r="A188" s="7">
        <v>50</v>
      </c>
      <c r="B188" s="7" t="s">
        <v>1289</v>
      </c>
      <c r="C188" s="7" t="s">
        <v>1288</v>
      </c>
      <c r="D188" s="7" t="s">
        <v>1287</v>
      </c>
      <c r="E188" s="7" t="s">
        <v>1286</v>
      </c>
      <c r="F188" s="7" t="s">
        <v>153</v>
      </c>
      <c r="G188" s="7">
        <v>2018</v>
      </c>
      <c r="H188" s="7">
        <v>43151</v>
      </c>
      <c r="I188" s="7" t="s">
        <v>32</v>
      </c>
      <c r="J188" s="7" t="s">
        <v>32</v>
      </c>
      <c r="K188" s="7" t="s">
        <v>1285</v>
      </c>
      <c r="L188" s="7">
        <v>2</v>
      </c>
      <c r="M188" s="7" t="s">
        <v>32</v>
      </c>
      <c r="N188" s="7" t="s">
        <v>34</v>
      </c>
      <c r="O188" s="7" t="s">
        <v>190</v>
      </c>
      <c r="P188" s="7" t="s">
        <v>34</v>
      </c>
      <c r="Q188" s="7" t="s">
        <v>34</v>
      </c>
      <c r="R188" s="7" t="s">
        <v>739</v>
      </c>
      <c r="S188" s="7" t="s">
        <v>34</v>
      </c>
      <c r="T188" s="7" t="s">
        <v>34</v>
      </c>
      <c r="U188" s="7" t="s">
        <v>32</v>
      </c>
      <c r="V188" s="7">
        <v>1</v>
      </c>
      <c r="W188" s="7" t="s">
        <v>32</v>
      </c>
      <c r="X188" s="7" t="s">
        <v>32</v>
      </c>
      <c r="Y188" s="7" t="s">
        <v>32</v>
      </c>
      <c r="Z188" s="7" t="s">
        <v>32</v>
      </c>
      <c r="AA188" s="7">
        <v>29458190</v>
      </c>
      <c r="AB188" s="7">
        <v>1</v>
      </c>
      <c r="AD188" s="7">
        <v>4</v>
      </c>
      <c r="AE188" s="24">
        <v>16</v>
      </c>
      <c r="AF188" s="7">
        <v>8</v>
      </c>
      <c r="AG188" s="7">
        <v>8</v>
      </c>
      <c r="AH188" s="7" t="s">
        <v>1642</v>
      </c>
      <c r="AI188" s="7" t="s">
        <v>1642</v>
      </c>
      <c r="AJ188" s="7" t="s">
        <v>2024</v>
      </c>
      <c r="AK188" s="7">
        <v>300</v>
      </c>
      <c r="AM188" s="7" t="s">
        <v>2024</v>
      </c>
      <c r="AN188" s="7">
        <v>300</v>
      </c>
      <c r="AP188" s="7">
        <v>1</v>
      </c>
      <c r="AQ188" s="7" t="s">
        <v>1787</v>
      </c>
      <c r="AR188" s="7" t="s">
        <v>2025</v>
      </c>
      <c r="AS188" s="7" t="s">
        <v>1667</v>
      </c>
      <c r="AT188" s="7" t="s">
        <v>1640</v>
      </c>
      <c r="AU188" s="7" t="s">
        <v>178</v>
      </c>
      <c r="AV188" s="7" t="s">
        <v>1870</v>
      </c>
      <c r="AW188" s="7" t="s">
        <v>1678</v>
      </c>
      <c r="AX188" s="7" t="s">
        <v>2043</v>
      </c>
      <c r="AY188" s="7" t="s">
        <v>2039</v>
      </c>
      <c r="AZ188" s="7" t="s">
        <v>1650</v>
      </c>
      <c r="BA188" s="7">
        <v>263</v>
      </c>
      <c r="BB188" s="7">
        <v>255</v>
      </c>
      <c r="BC188" s="7" t="s">
        <v>2048</v>
      </c>
      <c r="BD188" s="7">
        <v>105.38</v>
      </c>
      <c r="BF188" s="7">
        <f>142.925-BD188</f>
        <v>37.545000000000016</v>
      </c>
      <c r="BG188" s="7" t="s">
        <v>1821</v>
      </c>
      <c r="BH188" s="7">
        <v>6.36172</v>
      </c>
      <c r="BJ188" s="7">
        <f>10.0749-BH188</f>
        <v>3.7131799999999995</v>
      </c>
    </row>
    <row r="189" spans="1:63" s="20" customFormat="1" x14ac:dyDescent="0.2">
      <c r="A189" s="20">
        <v>51</v>
      </c>
      <c r="B189" s="20" t="s">
        <v>1284</v>
      </c>
      <c r="C189" s="20" t="s">
        <v>1283</v>
      </c>
      <c r="D189" s="20" t="s">
        <v>1282</v>
      </c>
      <c r="E189" s="20" t="s">
        <v>1281</v>
      </c>
      <c r="F189" s="20" t="s">
        <v>1280</v>
      </c>
      <c r="G189" s="20">
        <v>2018</v>
      </c>
      <c r="H189" s="20">
        <v>43119</v>
      </c>
      <c r="I189" s="20" t="s">
        <v>32</v>
      </c>
      <c r="J189" s="20" t="s">
        <v>32</v>
      </c>
      <c r="K189" s="20" t="s">
        <v>1279</v>
      </c>
      <c r="L189" s="20">
        <v>2</v>
      </c>
      <c r="M189" s="20" t="s">
        <v>1278</v>
      </c>
      <c r="N189" s="20" t="s">
        <v>34</v>
      </c>
      <c r="O189" s="20" t="s">
        <v>190</v>
      </c>
      <c r="P189" s="20" t="s">
        <v>34</v>
      </c>
      <c r="Q189" s="20" t="s">
        <v>34</v>
      </c>
      <c r="R189" s="20" t="s">
        <v>34</v>
      </c>
      <c r="S189" s="20" t="s">
        <v>34</v>
      </c>
      <c r="T189" s="20" t="s">
        <v>34</v>
      </c>
      <c r="U189" s="20" t="s">
        <v>32</v>
      </c>
      <c r="V189" s="20">
        <v>1</v>
      </c>
      <c r="W189" s="20" t="s">
        <v>32</v>
      </c>
      <c r="X189" s="20" t="s">
        <v>32</v>
      </c>
      <c r="Y189" s="20" t="s">
        <v>32</v>
      </c>
      <c r="Z189" s="20" t="s">
        <v>32</v>
      </c>
      <c r="AA189" s="20">
        <v>29346627</v>
      </c>
      <c r="AB189" s="20">
        <v>0</v>
      </c>
      <c r="AC189" s="20" t="s">
        <v>2051</v>
      </c>
      <c r="AD189" s="20">
        <v>5</v>
      </c>
      <c r="AE189" s="26"/>
      <c r="AH189" s="20" t="s">
        <v>1642</v>
      </c>
      <c r="AI189" s="20" t="s">
        <v>1642</v>
      </c>
      <c r="AT189" s="20" t="s">
        <v>1895</v>
      </c>
      <c r="BK189" s="41"/>
    </row>
    <row r="190" spans="1:63" s="20" customFormat="1" x14ac:dyDescent="0.2">
      <c r="A190" s="20">
        <v>52</v>
      </c>
      <c r="B190" s="20" t="s">
        <v>1277</v>
      </c>
      <c r="C190" s="20" t="s">
        <v>1276</v>
      </c>
      <c r="D190" s="20" t="s">
        <v>1275</v>
      </c>
      <c r="E190" s="20" t="s">
        <v>1274</v>
      </c>
      <c r="F190" s="20" t="s">
        <v>1273</v>
      </c>
      <c r="G190" s="20">
        <v>2018</v>
      </c>
      <c r="H190" s="20">
        <v>42989</v>
      </c>
      <c r="I190" s="20" t="s">
        <v>32</v>
      </c>
      <c r="J190" s="20" t="s">
        <v>32</v>
      </c>
      <c r="K190" s="20" t="s">
        <v>1272</v>
      </c>
      <c r="L190" s="20">
        <v>2</v>
      </c>
      <c r="M190" s="20" t="s">
        <v>1271</v>
      </c>
      <c r="N190" s="20" t="s">
        <v>34</v>
      </c>
      <c r="O190" s="20" t="s">
        <v>34</v>
      </c>
      <c r="P190" s="20" t="s">
        <v>34</v>
      </c>
      <c r="Q190" s="20" t="s">
        <v>34</v>
      </c>
      <c r="R190" s="20" t="s">
        <v>739</v>
      </c>
      <c r="S190" s="20" t="s">
        <v>34</v>
      </c>
      <c r="T190" s="20" t="s">
        <v>34</v>
      </c>
      <c r="U190" s="20" t="s">
        <v>32</v>
      </c>
      <c r="V190" s="20">
        <v>1</v>
      </c>
      <c r="W190" s="20" t="s">
        <v>32</v>
      </c>
      <c r="X190" s="20" t="s">
        <v>32</v>
      </c>
      <c r="Y190" s="20" t="s">
        <v>32</v>
      </c>
      <c r="Z190" s="20" t="s">
        <v>32</v>
      </c>
      <c r="AA190" s="20">
        <v>28889197</v>
      </c>
      <c r="AB190" s="20">
        <v>0</v>
      </c>
      <c r="AC190" s="20" t="s">
        <v>2051</v>
      </c>
      <c r="AE190" s="26"/>
      <c r="BK190" s="41"/>
    </row>
    <row r="191" spans="1:63" x14ac:dyDescent="0.2">
      <c r="A191" s="7">
        <v>53</v>
      </c>
      <c r="B191" s="7" t="s">
        <v>1270</v>
      </c>
      <c r="C191" s="7" t="s">
        <v>1269</v>
      </c>
      <c r="D191" s="7" t="s">
        <v>1268</v>
      </c>
      <c r="E191" s="7" t="s">
        <v>1267</v>
      </c>
      <c r="F191" s="7" t="s">
        <v>203</v>
      </c>
      <c r="G191" s="7">
        <v>2017</v>
      </c>
      <c r="H191" s="7">
        <v>42966</v>
      </c>
      <c r="I191" s="7" t="s">
        <v>32</v>
      </c>
      <c r="J191" s="7" t="s">
        <v>32</v>
      </c>
      <c r="K191" s="7" t="s">
        <v>1266</v>
      </c>
      <c r="L191" s="7">
        <v>2</v>
      </c>
      <c r="M191" s="7" t="s">
        <v>1265</v>
      </c>
      <c r="N191" s="7" t="s">
        <v>34</v>
      </c>
      <c r="O191" s="7" t="s">
        <v>190</v>
      </c>
      <c r="P191" s="7" t="s">
        <v>34</v>
      </c>
      <c r="Q191" s="7" t="s">
        <v>34</v>
      </c>
      <c r="R191" s="7" t="s">
        <v>739</v>
      </c>
      <c r="S191" s="7" t="s">
        <v>34</v>
      </c>
      <c r="T191" s="7" t="s">
        <v>34</v>
      </c>
      <c r="U191" s="7" t="s">
        <v>32</v>
      </c>
      <c r="V191" s="7">
        <v>1</v>
      </c>
      <c r="W191" s="7" t="s">
        <v>32</v>
      </c>
      <c r="X191" s="7" t="s">
        <v>32</v>
      </c>
      <c r="Y191" s="7" t="s">
        <v>32</v>
      </c>
      <c r="Z191" s="7" t="s">
        <v>32</v>
      </c>
      <c r="AA191" s="7">
        <v>28818702</v>
      </c>
      <c r="AB191" s="7">
        <v>1</v>
      </c>
      <c r="AD191" s="7">
        <v>4</v>
      </c>
      <c r="AE191" s="24">
        <v>18</v>
      </c>
      <c r="AF191" s="7">
        <v>9</v>
      </c>
      <c r="AG191" s="7">
        <v>9</v>
      </c>
      <c r="AH191" s="7" t="s">
        <v>1642</v>
      </c>
      <c r="AI191" s="7" t="s">
        <v>1642</v>
      </c>
      <c r="AJ191" s="7" t="s">
        <v>2024</v>
      </c>
      <c r="AK191" s="7">
        <v>300</v>
      </c>
      <c r="AM191" s="7" t="s">
        <v>2024</v>
      </c>
      <c r="AN191" s="7">
        <v>300</v>
      </c>
      <c r="AP191" s="7">
        <v>1</v>
      </c>
      <c r="AQ191" s="7" t="s">
        <v>1787</v>
      </c>
      <c r="AR191" s="7" t="s">
        <v>1814</v>
      </c>
      <c r="AS191" s="7" t="s">
        <v>1667</v>
      </c>
      <c r="AT191" s="7" t="s">
        <v>1640</v>
      </c>
      <c r="AU191" s="7" t="s">
        <v>178</v>
      </c>
      <c r="AV191" s="7" t="s">
        <v>1870</v>
      </c>
      <c r="AW191" s="7" t="s">
        <v>1678</v>
      </c>
      <c r="AX191" s="7" t="s">
        <v>2052</v>
      </c>
      <c r="AY191" s="7" t="s">
        <v>1900</v>
      </c>
      <c r="AZ191" s="7" t="s">
        <v>1650</v>
      </c>
      <c r="BA191" s="7">
        <v>264</v>
      </c>
      <c r="BB191" s="7">
        <v>256</v>
      </c>
      <c r="BC191" s="7" t="s">
        <v>2027</v>
      </c>
      <c r="BD191" s="7">
        <v>210.53800000000001</v>
      </c>
      <c r="BF191" s="7">
        <f>255.254-BD191</f>
        <v>44.71599999999998</v>
      </c>
      <c r="BG191" s="7" t="s">
        <v>2031</v>
      </c>
      <c r="BH191" s="7">
        <v>25.2563</v>
      </c>
      <c r="BJ191" s="7">
        <f>31.4669-BH191</f>
        <v>6.2105999999999995</v>
      </c>
    </row>
    <row r="192" spans="1:63" x14ac:dyDescent="0.2">
      <c r="A192" s="7">
        <v>53</v>
      </c>
      <c r="B192" s="7" t="s">
        <v>1270</v>
      </c>
      <c r="C192" s="7" t="s">
        <v>1269</v>
      </c>
      <c r="D192" s="7" t="s">
        <v>1268</v>
      </c>
      <c r="E192" s="7" t="s">
        <v>1267</v>
      </c>
      <c r="F192" s="7" t="s">
        <v>203</v>
      </c>
      <c r="G192" s="7">
        <v>2017</v>
      </c>
      <c r="H192" s="7">
        <v>42966</v>
      </c>
      <c r="I192" s="7" t="s">
        <v>32</v>
      </c>
      <c r="J192" s="7" t="s">
        <v>32</v>
      </c>
      <c r="K192" s="7" t="s">
        <v>1266</v>
      </c>
      <c r="L192" s="7">
        <v>2</v>
      </c>
      <c r="M192" s="7" t="s">
        <v>1265</v>
      </c>
      <c r="N192" s="7" t="s">
        <v>34</v>
      </c>
      <c r="O192" s="7" t="s">
        <v>190</v>
      </c>
      <c r="P192" s="7" t="s">
        <v>34</v>
      </c>
      <c r="Q192" s="7" t="s">
        <v>34</v>
      </c>
      <c r="R192" s="7" t="s">
        <v>739</v>
      </c>
      <c r="S192" s="7" t="s">
        <v>34</v>
      </c>
      <c r="T192" s="7" t="s">
        <v>34</v>
      </c>
      <c r="U192" s="7" t="s">
        <v>32</v>
      </c>
      <c r="V192" s="7">
        <v>1</v>
      </c>
      <c r="W192" s="7" t="s">
        <v>32</v>
      </c>
      <c r="X192" s="7" t="s">
        <v>32</v>
      </c>
      <c r="Y192" s="7" t="s">
        <v>32</v>
      </c>
      <c r="Z192" s="7" t="s">
        <v>32</v>
      </c>
      <c r="AA192" s="7">
        <v>28818702</v>
      </c>
      <c r="AB192" s="7">
        <v>1</v>
      </c>
      <c r="AD192" s="7">
        <v>4</v>
      </c>
      <c r="AE192" s="24">
        <v>18</v>
      </c>
      <c r="AF192" s="7">
        <v>9</v>
      </c>
      <c r="AG192" s="7">
        <v>9</v>
      </c>
      <c r="AH192" s="7" t="s">
        <v>1642</v>
      </c>
      <c r="AI192" s="7" t="s">
        <v>1642</v>
      </c>
      <c r="AJ192" s="7" t="s">
        <v>2024</v>
      </c>
      <c r="AK192" s="7">
        <v>300</v>
      </c>
      <c r="AM192" s="7" t="s">
        <v>2024</v>
      </c>
      <c r="AN192" s="7">
        <v>300</v>
      </c>
      <c r="AP192" s="7">
        <v>1</v>
      </c>
      <c r="AQ192" s="7" t="s">
        <v>1787</v>
      </c>
      <c r="AR192" s="7" t="s">
        <v>1814</v>
      </c>
      <c r="AS192" s="7" t="s">
        <v>1667</v>
      </c>
      <c r="AT192" s="7" t="s">
        <v>1640</v>
      </c>
      <c r="AU192" s="7" t="s">
        <v>178</v>
      </c>
      <c r="AV192" s="7" t="s">
        <v>1888</v>
      </c>
      <c r="AW192" s="7" t="s">
        <v>1678</v>
      </c>
      <c r="AX192" s="7" t="s">
        <v>2052</v>
      </c>
      <c r="AY192" s="7" t="s">
        <v>2039</v>
      </c>
      <c r="AZ192" s="7" t="s">
        <v>1650</v>
      </c>
      <c r="BA192" s="7">
        <v>264</v>
      </c>
      <c r="BB192" s="7">
        <v>256</v>
      </c>
      <c r="BC192" s="7" t="s">
        <v>2028</v>
      </c>
      <c r="BD192" s="7">
        <v>111.376</v>
      </c>
      <c r="BF192" s="7">
        <f>158.784-BD192</f>
        <v>47.407999999999987</v>
      </c>
      <c r="BG192" s="7" t="s">
        <v>2032</v>
      </c>
      <c r="BH192" s="7">
        <v>14.2843</v>
      </c>
      <c r="BJ192" s="7">
        <f>21.1159-BH192</f>
        <v>6.8315999999999999</v>
      </c>
    </row>
    <row r="193" spans="1:63" x14ac:dyDescent="0.2">
      <c r="A193" s="7">
        <v>53</v>
      </c>
      <c r="B193" s="7" t="s">
        <v>1270</v>
      </c>
      <c r="C193" s="7" t="s">
        <v>1269</v>
      </c>
      <c r="D193" s="7" t="s">
        <v>1268</v>
      </c>
      <c r="E193" s="7" t="s">
        <v>1267</v>
      </c>
      <c r="F193" s="7" t="s">
        <v>203</v>
      </c>
      <c r="G193" s="7">
        <v>2017</v>
      </c>
      <c r="H193" s="7">
        <v>42966</v>
      </c>
      <c r="I193" s="7" t="s">
        <v>32</v>
      </c>
      <c r="J193" s="7" t="s">
        <v>32</v>
      </c>
      <c r="K193" s="7" t="s">
        <v>1266</v>
      </c>
      <c r="L193" s="7">
        <v>2</v>
      </c>
      <c r="M193" s="7" t="s">
        <v>1265</v>
      </c>
      <c r="N193" s="7" t="s">
        <v>34</v>
      </c>
      <c r="O193" s="7" t="s">
        <v>190</v>
      </c>
      <c r="P193" s="7" t="s">
        <v>34</v>
      </c>
      <c r="Q193" s="7" t="s">
        <v>34</v>
      </c>
      <c r="R193" s="7" t="s">
        <v>739</v>
      </c>
      <c r="S193" s="7" t="s">
        <v>34</v>
      </c>
      <c r="T193" s="7" t="s">
        <v>34</v>
      </c>
      <c r="U193" s="7" t="s">
        <v>32</v>
      </c>
      <c r="V193" s="7">
        <v>1</v>
      </c>
      <c r="W193" s="7" t="s">
        <v>32</v>
      </c>
      <c r="X193" s="7" t="s">
        <v>32</v>
      </c>
      <c r="Y193" s="7" t="s">
        <v>32</v>
      </c>
      <c r="Z193" s="7" t="s">
        <v>32</v>
      </c>
      <c r="AA193" s="7">
        <v>28818702</v>
      </c>
      <c r="AB193" s="7">
        <v>1</v>
      </c>
      <c r="AD193" s="7">
        <v>4</v>
      </c>
      <c r="AE193" s="24">
        <v>18</v>
      </c>
      <c r="AF193" s="7">
        <v>9</v>
      </c>
      <c r="AG193" s="7">
        <v>9</v>
      </c>
      <c r="AH193" s="7" t="s">
        <v>1642</v>
      </c>
      <c r="AI193" s="7" t="s">
        <v>1642</v>
      </c>
      <c r="AJ193" s="7" t="s">
        <v>2024</v>
      </c>
      <c r="AK193" s="7">
        <v>300</v>
      </c>
      <c r="AM193" s="7" t="s">
        <v>2024</v>
      </c>
      <c r="AN193" s="7">
        <v>300</v>
      </c>
      <c r="AP193" s="7">
        <v>1</v>
      </c>
      <c r="AQ193" s="7" t="s">
        <v>1787</v>
      </c>
      <c r="AR193" s="7" t="s">
        <v>1814</v>
      </c>
      <c r="AS193" s="7" t="s">
        <v>1667</v>
      </c>
      <c r="AT193" s="7" t="s">
        <v>1640</v>
      </c>
      <c r="AU193" s="7" t="s">
        <v>178</v>
      </c>
      <c r="AV193" s="7" t="s">
        <v>2040</v>
      </c>
      <c r="AW193" s="7" t="s">
        <v>1678</v>
      </c>
      <c r="AX193" s="7" t="s">
        <v>2052</v>
      </c>
      <c r="AY193" s="7" t="s">
        <v>2039</v>
      </c>
      <c r="AZ193" s="7" t="s">
        <v>1650</v>
      </c>
      <c r="BA193" s="7">
        <v>264</v>
      </c>
      <c r="BB193" s="7">
        <v>256</v>
      </c>
      <c r="BC193" s="7" t="s">
        <v>2029</v>
      </c>
      <c r="BD193" s="7">
        <v>37.056399999999996</v>
      </c>
      <c r="BF193" s="7">
        <f>47.2003-BD193</f>
        <v>10.143900000000002</v>
      </c>
      <c r="BG193" s="7" t="s">
        <v>2033</v>
      </c>
      <c r="BH193" s="7">
        <v>6.4175899999999997</v>
      </c>
      <c r="BJ193" s="7">
        <f>8.48778-BH193</f>
        <v>2.0701900000000011</v>
      </c>
    </row>
    <row r="194" spans="1:63" x14ac:dyDescent="0.2">
      <c r="A194" s="7">
        <v>53</v>
      </c>
      <c r="B194" s="7" t="s">
        <v>1270</v>
      </c>
      <c r="C194" s="7" t="s">
        <v>1269</v>
      </c>
      <c r="D194" s="7" t="s">
        <v>1268</v>
      </c>
      <c r="E194" s="7" t="s">
        <v>1267</v>
      </c>
      <c r="F194" s="7" t="s">
        <v>203</v>
      </c>
      <c r="G194" s="7">
        <v>2017</v>
      </c>
      <c r="H194" s="7">
        <v>42966</v>
      </c>
      <c r="I194" s="7" t="s">
        <v>32</v>
      </c>
      <c r="J194" s="7" t="s">
        <v>32</v>
      </c>
      <c r="K194" s="7" t="s">
        <v>1266</v>
      </c>
      <c r="L194" s="7">
        <v>2</v>
      </c>
      <c r="M194" s="7" t="s">
        <v>1265</v>
      </c>
      <c r="N194" s="7" t="s">
        <v>34</v>
      </c>
      <c r="O194" s="7" t="s">
        <v>190</v>
      </c>
      <c r="P194" s="7" t="s">
        <v>34</v>
      </c>
      <c r="Q194" s="7" t="s">
        <v>34</v>
      </c>
      <c r="R194" s="7" t="s">
        <v>739</v>
      </c>
      <c r="S194" s="7" t="s">
        <v>34</v>
      </c>
      <c r="T194" s="7" t="s">
        <v>34</v>
      </c>
      <c r="U194" s="7" t="s">
        <v>32</v>
      </c>
      <c r="V194" s="7">
        <v>1</v>
      </c>
      <c r="W194" s="7" t="s">
        <v>32</v>
      </c>
      <c r="X194" s="7" t="s">
        <v>32</v>
      </c>
      <c r="Y194" s="7" t="s">
        <v>32</v>
      </c>
      <c r="Z194" s="7" t="s">
        <v>32</v>
      </c>
      <c r="AA194" s="7">
        <v>28818702</v>
      </c>
      <c r="AB194" s="7">
        <v>1</v>
      </c>
      <c r="AD194" s="7">
        <v>4</v>
      </c>
      <c r="AE194" s="24">
        <v>18</v>
      </c>
      <c r="AF194" s="7">
        <v>9</v>
      </c>
      <c r="AG194" s="7">
        <v>9</v>
      </c>
      <c r="AH194" s="7" t="s">
        <v>1642</v>
      </c>
      <c r="AI194" s="7" t="s">
        <v>1642</v>
      </c>
      <c r="AJ194" s="7" t="s">
        <v>2024</v>
      </c>
      <c r="AK194" s="7">
        <v>300</v>
      </c>
      <c r="AM194" s="7" t="s">
        <v>2024</v>
      </c>
      <c r="AN194" s="7">
        <v>300</v>
      </c>
      <c r="AP194" s="7">
        <v>1</v>
      </c>
      <c r="AQ194" s="7" t="s">
        <v>1787</v>
      </c>
      <c r="AR194" s="7" t="s">
        <v>1814</v>
      </c>
      <c r="AS194" s="7" t="s">
        <v>1667</v>
      </c>
      <c r="AT194" s="7" t="s">
        <v>1640</v>
      </c>
      <c r="AU194" s="7" t="s">
        <v>178</v>
      </c>
      <c r="AV194" s="7" t="s">
        <v>2041</v>
      </c>
      <c r="AW194" s="7" t="s">
        <v>1678</v>
      </c>
      <c r="AX194" s="7" t="s">
        <v>2052</v>
      </c>
      <c r="AY194" s="7" t="s">
        <v>2039</v>
      </c>
      <c r="AZ194" s="7" t="s">
        <v>1650</v>
      </c>
      <c r="BA194" s="7">
        <v>264</v>
      </c>
      <c r="BB194" s="7">
        <v>256</v>
      </c>
      <c r="BC194" s="7" t="s">
        <v>2030</v>
      </c>
      <c r="BD194" s="7">
        <v>23.600200000000001</v>
      </c>
      <c r="BF194" s="7">
        <f>32.916-BD194</f>
        <v>9.3157999999999959</v>
      </c>
      <c r="BG194" s="7" t="s">
        <v>2034</v>
      </c>
      <c r="BH194" s="7">
        <v>5.5895099999999998</v>
      </c>
      <c r="BJ194" s="7">
        <f>6.83162-BH194</f>
        <v>1.2421100000000003</v>
      </c>
    </row>
    <row r="195" spans="1:63" x14ac:dyDescent="0.2">
      <c r="A195" s="7">
        <v>53</v>
      </c>
      <c r="B195" s="7" t="s">
        <v>1270</v>
      </c>
      <c r="C195" s="7" t="s">
        <v>1269</v>
      </c>
      <c r="D195" s="7" t="s">
        <v>1268</v>
      </c>
      <c r="E195" s="7" t="s">
        <v>1267</v>
      </c>
      <c r="F195" s="7" t="s">
        <v>203</v>
      </c>
      <c r="G195" s="7">
        <v>2017</v>
      </c>
      <c r="H195" s="7">
        <v>42966</v>
      </c>
      <c r="I195" s="7" t="s">
        <v>32</v>
      </c>
      <c r="J195" s="7" t="s">
        <v>32</v>
      </c>
      <c r="K195" s="7" t="s">
        <v>1266</v>
      </c>
      <c r="L195" s="7">
        <v>2</v>
      </c>
      <c r="M195" s="7" t="s">
        <v>1265</v>
      </c>
      <c r="N195" s="7" t="s">
        <v>34</v>
      </c>
      <c r="O195" s="7" t="s">
        <v>190</v>
      </c>
      <c r="P195" s="7" t="s">
        <v>34</v>
      </c>
      <c r="Q195" s="7" t="s">
        <v>34</v>
      </c>
      <c r="R195" s="7" t="s">
        <v>739</v>
      </c>
      <c r="S195" s="7" t="s">
        <v>34</v>
      </c>
      <c r="T195" s="7" t="s">
        <v>34</v>
      </c>
      <c r="U195" s="7" t="s">
        <v>32</v>
      </c>
      <c r="V195" s="7">
        <v>1</v>
      </c>
      <c r="W195" s="7" t="s">
        <v>32</v>
      </c>
      <c r="X195" s="7" t="s">
        <v>32</v>
      </c>
      <c r="Y195" s="7" t="s">
        <v>32</v>
      </c>
      <c r="Z195" s="7" t="s">
        <v>32</v>
      </c>
      <c r="AA195" s="7">
        <v>28818702</v>
      </c>
      <c r="AB195" s="7">
        <v>1</v>
      </c>
      <c r="AD195" s="7">
        <v>4</v>
      </c>
      <c r="AE195" s="24">
        <v>18</v>
      </c>
      <c r="AF195" s="7">
        <v>9</v>
      </c>
      <c r="AG195" s="7">
        <v>9</v>
      </c>
      <c r="AH195" s="7" t="s">
        <v>1642</v>
      </c>
      <c r="AI195" s="7" t="s">
        <v>1642</v>
      </c>
      <c r="AJ195" s="7" t="s">
        <v>2024</v>
      </c>
      <c r="AK195" s="7">
        <v>300</v>
      </c>
      <c r="AM195" s="7" t="s">
        <v>2024</v>
      </c>
      <c r="AN195" s="7">
        <v>300</v>
      </c>
      <c r="AP195" s="7">
        <v>1</v>
      </c>
      <c r="AQ195" s="7" t="s">
        <v>1787</v>
      </c>
      <c r="AR195" s="7" t="s">
        <v>1814</v>
      </c>
      <c r="AS195" s="7" t="s">
        <v>1667</v>
      </c>
      <c r="AT195" s="7" t="s">
        <v>1640</v>
      </c>
      <c r="AU195" s="7" t="s">
        <v>178</v>
      </c>
      <c r="AV195" s="7" t="s">
        <v>2041</v>
      </c>
      <c r="AW195" s="7" t="s">
        <v>1678</v>
      </c>
      <c r="AX195" s="7" t="s">
        <v>2052</v>
      </c>
      <c r="AY195" s="7" t="s">
        <v>2039</v>
      </c>
      <c r="AZ195" s="7" t="s">
        <v>1650</v>
      </c>
      <c r="BA195" s="7">
        <v>264</v>
      </c>
      <c r="BB195" s="7">
        <v>256</v>
      </c>
      <c r="BC195" s="7" t="s">
        <v>2053</v>
      </c>
      <c r="BD195" s="7">
        <v>16.9756</v>
      </c>
      <c r="BF195" s="7">
        <f>23.8072-BD195</f>
        <v>6.8316000000000017</v>
      </c>
      <c r="BG195" s="7" t="s">
        <v>2054</v>
      </c>
      <c r="BH195" s="7">
        <v>5.7965299999999997</v>
      </c>
      <c r="BJ195" s="7">
        <f>6.83162-BH195</f>
        <v>1.0350900000000003</v>
      </c>
    </row>
    <row r="196" spans="1:63" x14ac:dyDescent="0.2">
      <c r="A196" s="7">
        <v>53</v>
      </c>
      <c r="B196" s="7" t="s">
        <v>1270</v>
      </c>
      <c r="C196" s="7" t="s">
        <v>1269</v>
      </c>
      <c r="D196" s="7" t="s">
        <v>1268</v>
      </c>
      <c r="E196" s="7" t="s">
        <v>1267</v>
      </c>
      <c r="F196" s="7" t="s">
        <v>203</v>
      </c>
      <c r="G196" s="7">
        <v>2017</v>
      </c>
      <c r="H196" s="7">
        <v>42966</v>
      </c>
      <c r="I196" s="7" t="s">
        <v>32</v>
      </c>
      <c r="J196" s="7" t="s">
        <v>32</v>
      </c>
      <c r="K196" s="7" t="s">
        <v>1266</v>
      </c>
      <c r="L196" s="7">
        <v>2</v>
      </c>
      <c r="M196" s="7" t="s">
        <v>1265</v>
      </c>
      <c r="N196" s="7" t="s">
        <v>34</v>
      </c>
      <c r="O196" s="7" t="s">
        <v>190</v>
      </c>
      <c r="P196" s="7" t="s">
        <v>34</v>
      </c>
      <c r="Q196" s="7" t="s">
        <v>34</v>
      </c>
      <c r="R196" s="7" t="s">
        <v>739</v>
      </c>
      <c r="S196" s="7" t="s">
        <v>34</v>
      </c>
      <c r="T196" s="7" t="s">
        <v>34</v>
      </c>
      <c r="U196" s="7" t="s">
        <v>32</v>
      </c>
      <c r="V196" s="7">
        <v>1</v>
      </c>
      <c r="W196" s="7" t="s">
        <v>32</v>
      </c>
      <c r="X196" s="7" t="s">
        <v>32</v>
      </c>
      <c r="Y196" s="7" t="s">
        <v>32</v>
      </c>
      <c r="Z196" s="7" t="s">
        <v>32</v>
      </c>
      <c r="AA196" s="7">
        <v>28818702</v>
      </c>
      <c r="AB196" s="7">
        <v>1</v>
      </c>
      <c r="AD196" s="7">
        <v>4</v>
      </c>
      <c r="AE196" s="24">
        <v>17</v>
      </c>
      <c r="AF196" s="7">
        <v>9</v>
      </c>
      <c r="AG196" s="7">
        <v>8</v>
      </c>
      <c r="AH196" s="7" t="s">
        <v>1642</v>
      </c>
      <c r="AI196" s="7" t="s">
        <v>1642</v>
      </c>
      <c r="AJ196" s="7" t="s">
        <v>2024</v>
      </c>
      <c r="AK196" s="7">
        <v>300</v>
      </c>
      <c r="AM196" s="7" t="s">
        <v>2024</v>
      </c>
      <c r="AN196" s="7">
        <v>300</v>
      </c>
      <c r="AP196" s="7">
        <v>1</v>
      </c>
      <c r="AQ196" s="7" t="s">
        <v>1787</v>
      </c>
      <c r="AR196" s="7" t="s">
        <v>2025</v>
      </c>
      <c r="AS196" s="7" t="s">
        <v>1667</v>
      </c>
      <c r="AT196" s="7" t="s">
        <v>1640</v>
      </c>
      <c r="AU196" s="7" t="s">
        <v>178</v>
      </c>
      <c r="AV196" s="7" t="s">
        <v>1870</v>
      </c>
      <c r="AW196" s="7" t="s">
        <v>1678</v>
      </c>
      <c r="AX196" s="7" t="s">
        <v>2052</v>
      </c>
      <c r="AY196" s="7" t="s">
        <v>1900</v>
      </c>
      <c r="AZ196" s="7" t="s">
        <v>1650</v>
      </c>
      <c r="BA196" s="7">
        <v>265</v>
      </c>
      <c r="BB196" s="7">
        <v>257</v>
      </c>
      <c r="BC196" s="7" t="s">
        <v>2035</v>
      </c>
      <c r="BD196" s="7">
        <v>300.38400000000001</v>
      </c>
      <c r="BF196" s="7">
        <f>301.42-BD196</f>
        <v>1.0360000000000014</v>
      </c>
      <c r="BG196" s="7" t="s">
        <v>1818</v>
      </c>
      <c r="BH196" s="7">
        <v>20.2879</v>
      </c>
      <c r="BJ196" s="7">
        <f>25.6703-BH196</f>
        <v>5.3824000000000005</v>
      </c>
    </row>
    <row r="197" spans="1:63" x14ac:dyDescent="0.2">
      <c r="A197" s="7">
        <v>53</v>
      </c>
      <c r="B197" s="7" t="s">
        <v>1270</v>
      </c>
      <c r="C197" s="7" t="s">
        <v>1269</v>
      </c>
      <c r="D197" s="7" t="s">
        <v>1268</v>
      </c>
      <c r="E197" s="7" t="s">
        <v>1267</v>
      </c>
      <c r="F197" s="7" t="s">
        <v>203</v>
      </c>
      <c r="G197" s="7">
        <v>2017</v>
      </c>
      <c r="H197" s="7">
        <v>42966</v>
      </c>
      <c r="I197" s="7" t="s">
        <v>32</v>
      </c>
      <c r="J197" s="7" t="s">
        <v>32</v>
      </c>
      <c r="K197" s="7" t="s">
        <v>1266</v>
      </c>
      <c r="L197" s="7">
        <v>2</v>
      </c>
      <c r="M197" s="7" t="s">
        <v>1265</v>
      </c>
      <c r="N197" s="7" t="s">
        <v>34</v>
      </c>
      <c r="O197" s="7" t="s">
        <v>190</v>
      </c>
      <c r="P197" s="7" t="s">
        <v>34</v>
      </c>
      <c r="Q197" s="7" t="s">
        <v>34</v>
      </c>
      <c r="R197" s="7" t="s">
        <v>739</v>
      </c>
      <c r="S197" s="7" t="s">
        <v>34</v>
      </c>
      <c r="T197" s="7" t="s">
        <v>34</v>
      </c>
      <c r="U197" s="7" t="s">
        <v>32</v>
      </c>
      <c r="V197" s="7">
        <v>1</v>
      </c>
      <c r="W197" s="7" t="s">
        <v>32</v>
      </c>
      <c r="X197" s="7" t="s">
        <v>32</v>
      </c>
      <c r="Y197" s="7" t="s">
        <v>32</v>
      </c>
      <c r="Z197" s="7" t="s">
        <v>32</v>
      </c>
      <c r="AA197" s="7">
        <v>28818702</v>
      </c>
      <c r="AB197" s="7">
        <v>1</v>
      </c>
      <c r="AD197" s="7">
        <v>4</v>
      </c>
      <c r="AE197" s="24">
        <v>17</v>
      </c>
      <c r="AF197" s="7">
        <v>9</v>
      </c>
      <c r="AG197" s="7">
        <v>8</v>
      </c>
      <c r="AH197" s="7" t="s">
        <v>1642</v>
      </c>
      <c r="AI197" s="7" t="s">
        <v>1642</v>
      </c>
      <c r="AJ197" s="7" t="s">
        <v>2024</v>
      </c>
      <c r="AK197" s="7">
        <v>300</v>
      </c>
      <c r="AM197" s="7" t="s">
        <v>2024</v>
      </c>
      <c r="AN197" s="7">
        <v>300</v>
      </c>
      <c r="AP197" s="7">
        <v>1</v>
      </c>
      <c r="AQ197" s="7" t="s">
        <v>1787</v>
      </c>
      <c r="AR197" s="7" t="s">
        <v>2025</v>
      </c>
      <c r="AS197" s="7" t="s">
        <v>1667</v>
      </c>
      <c r="AT197" s="7" t="s">
        <v>1640</v>
      </c>
      <c r="AU197" s="7" t="s">
        <v>178</v>
      </c>
      <c r="AV197" s="7" t="s">
        <v>1888</v>
      </c>
      <c r="AW197" s="7" t="s">
        <v>1678</v>
      </c>
      <c r="AX197" s="7" t="s">
        <v>2052</v>
      </c>
      <c r="AY197" s="7" t="s">
        <v>2039</v>
      </c>
      <c r="AZ197" s="7" t="s">
        <v>1650</v>
      </c>
      <c r="BA197" s="7">
        <v>265</v>
      </c>
      <c r="BB197" s="7">
        <v>257</v>
      </c>
      <c r="BC197" s="7" t="s">
        <v>2036</v>
      </c>
      <c r="BD197" s="7">
        <v>225.858</v>
      </c>
      <c r="BF197" s="7">
        <f>264.363-BD197</f>
        <v>38.504999999999995</v>
      </c>
      <c r="BG197" s="7" t="s">
        <v>1819</v>
      </c>
      <c r="BH197" s="7">
        <v>15.112399999999999</v>
      </c>
      <c r="BJ197" s="7">
        <f>18.4247-BH197</f>
        <v>3.3123000000000022</v>
      </c>
    </row>
    <row r="198" spans="1:63" x14ac:dyDescent="0.2">
      <c r="A198" s="7">
        <v>53</v>
      </c>
      <c r="B198" s="7" t="s">
        <v>1270</v>
      </c>
      <c r="C198" s="7" t="s">
        <v>1269</v>
      </c>
      <c r="D198" s="7" t="s">
        <v>1268</v>
      </c>
      <c r="E198" s="7" t="s">
        <v>1267</v>
      </c>
      <c r="F198" s="7" t="s">
        <v>203</v>
      </c>
      <c r="G198" s="7">
        <v>2017</v>
      </c>
      <c r="H198" s="7">
        <v>42966</v>
      </c>
      <c r="I198" s="7" t="s">
        <v>32</v>
      </c>
      <c r="J198" s="7" t="s">
        <v>32</v>
      </c>
      <c r="K198" s="7" t="s">
        <v>1266</v>
      </c>
      <c r="L198" s="7">
        <v>2</v>
      </c>
      <c r="M198" s="7" t="s">
        <v>1265</v>
      </c>
      <c r="N198" s="7" t="s">
        <v>34</v>
      </c>
      <c r="O198" s="7" t="s">
        <v>190</v>
      </c>
      <c r="P198" s="7" t="s">
        <v>34</v>
      </c>
      <c r="Q198" s="7" t="s">
        <v>34</v>
      </c>
      <c r="R198" s="7" t="s">
        <v>739</v>
      </c>
      <c r="S198" s="7" t="s">
        <v>34</v>
      </c>
      <c r="T198" s="7" t="s">
        <v>34</v>
      </c>
      <c r="U198" s="7" t="s">
        <v>32</v>
      </c>
      <c r="V198" s="7">
        <v>1</v>
      </c>
      <c r="W198" s="7" t="s">
        <v>32</v>
      </c>
      <c r="X198" s="7" t="s">
        <v>32</v>
      </c>
      <c r="Y198" s="7" t="s">
        <v>32</v>
      </c>
      <c r="Z198" s="7" t="s">
        <v>32</v>
      </c>
      <c r="AA198" s="7">
        <v>28818702</v>
      </c>
      <c r="AB198" s="7">
        <v>1</v>
      </c>
      <c r="AD198" s="7">
        <v>4</v>
      </c>
      <c r="AE198" s="24">
        <v>17</v>
      </c>
      <c r="AF198" s="7">
        <v>9</v>
      </c>
      <c r="AG198" s="7">
        <v>8</v>
      </c>
      <c r="AH198" s="7" t="s">
        <v>1642</v>
      </c>
      <c r="AI198" s="7" t="s">
        <v>1642</v>
      </c>
      <c r="AJ198" s="7" t="s">
        <v>2024</v>
      </c>
      <c r="AK198" s="7">
        <v>300</v>
      </c>
      <c r="AM198" s="7" t="s">
        <v>2024</v>
      </c>
      <c r="AN198" s="7">
        <v>300</v>
      </c>
      <c r="AP198" s="7">
        <v>1</v>
      </c>
      <c r="AQ198" s="7" t="s">
        <v>1787</v>
      </c>
      <c r="AR198" s="7" t="s">
        <v>2025</v>
      </c>
      <c r="AS198" s="7" t="s">
        <v>1667</v>
      </c>
      <c r="AT198" s="7" t="s">
        <v>1640</v>
      </c>
      <c r="AU198" s="7" t="s">
        <v>178</v>
      </c>
      <c r="AV198" s="7" t="s">
        <v>2040</v>
      </c>
      <c r="AW198" s="7" t="s">
        <v>1678</v>
      </c>
      <c r="AX198" s="7" t="s">
        <v>2052</v>
      </c>
      <c r="AY198" s="7" t="s">
        <v>2039</v>
      </c>
      <c r="AZ198" s="7" t="s">
        <v>1650</v>
      </c>
      <c r="BA198" s="7">
        <v>265</v>
      </c>
      <c r="BB198" s="7">
        <v>257</v>
      </c>
      <c r="BC198" s="7" t="s">
        <v>2037</v>
      </c>
      <c r="BD198" s="7">
        <v>186.11</v>
      </c>
      <c r="BF198" s="7">
        <f>227.307-BD198</f>
        <v>41.196999999999974</v>
      </c>
      <c r="BG198" s="7" t="s">
        <v>1820</v>
      </c>
      <c r="BH198" s="7">
        <v>10.972</v>
      </c>
      <c r="BJ198" s="7">
        <f>13.8703-BH198</f>
        <v>2.8983000000000008</v>
      </c>
    </row>
    <row r="199" spans="1:63" x14ac:dyDescent="0.2">
      <c r="A199" s="7">
        <v>53</v>
      </c>
      <c r="B199" s="7" t="s">
        <v>1270</v>
      </c>
      <c r="C199" s="7" t="s">
        <v>1269</v>
      </c>
      <c r="D199" s="7" t="s">
        <v>1268</v>
      </c>
      <c r="E199" s="7" t="s">
        <v>1267</v>
      </c>
      <c r="F199" s="7" t="s">
        <v>203</v>
      </c>
      <c r="G199" s="7">
        <v>2017</v>
      </c>
      <c r="H199" s="7">
        <v>42966</v>
      </c>
      <c r="I199" s="7" t="s">
        <v>32</v>
      </c>
      <c r="J199" s="7" t="s">
        <v>32</v>
      </c>
      <c r="K199" s="7" t="s">
        <v>1266</v>
      </c>
      <c r="L199" s="7">
        <v>2</v>
      </c>
      <c r="M199" s="7" t="s">
        <v>1265</v>
      </c>
      <c r="N199" s="7" t="s">
        <v>34</v>
      </c>
      <c r="O199" s="7" t="s">
        <v>190</v>
      </c>
      <c r="P199" s="7" t="s">
        <v>34</v>
      </c>
      <c r="Q199" s="7" t="s">
        <v>34</v>
      </c>
      <c r="R199" s="7" t="s">
        <v>739</v>
      </c>
      <c r="S199" s="7" t="s">
        <v>34</v>
      </c>
      <c r="T199" s="7" t="s">
        <v>34</v>
      </c>
      <c r="U199" s="7" t="s">
        <v>32</v>
      </c>
      <c r="V199" s="7">
        <v>1</v>
      </c>
      <c r="W199" s="7" t="s">
        <v>32</v>
      </c>
      <c r="X199" s="7" t="s">
        <v>32</v>
      </c>
      <c r="Y199" s="7" t="s">
        <v>32</v>
      </c>
      <c r="Z199" s="7" t="s">
        <v>32</v>
      </c>
      <c r="AA199" s="7">
        <v>28818702</v>
      </c>
      <c r="AB199" s="7">
        <v>1</v>
      </c>
      <c r="AD199" s="7">
        <v>4</v>
      </c>
      <c r="AE199" s="24">
        <v>17</v>
      </c>
      <c r="AF199" s="7">
        <v>9</v>
      </c>
      <c r="AG199" s="7">
        <v>8</v>
      </c>
      <c r="AH199" s="7" t="s">
        <v>1642</v>
      </c>
      <c r="AI199" s="7" t="s">
        <v>1642</v>
      </c>
      <c r="AJ199" s="7" t="s">
        <v>2024</v>
      </c>
      <c r="AK199" s="7">
        <v>300</v>
      </c>
      <c r="AM199" s="7" t="s">
        <v>2024</v>
      </c>
      <c r="AN199" s="7">
        <v>300</v>
      </c>
      <c r="AP199" s="7">
        <v>1</v>
      </c>
      <c r="AQ199" s="7" t="s">
        <v>1787</v>
      </c>
      <c r="AR199" s="7" t="s">
        <v>2025</v>
      </c>
      <c r="AS199" s="7" t="s">
        <v>1667</v>
      </c>
      <c r="AT199" s="7" t="s">
        <v>1640</v>
      </c>
      <c r="AU199" s="7" t="s">
        <v>178</v>
      </c>
      <c r="AV199" s="7" t="s">
        <v>2041</v>
      </c>
      <c r="AW199" s="7" t="s">
        <v>1678</v>
      </c>
      <c r="AX199" s="7" t="s">
        <v>2052</v>
      </c>
      <c r="AY199" s="7" t="s">
        <v>2039</v>
      </c>
      <c r="AZ199" s="7" t="s">
        <v>1650</v>
      </c>
      <c r="BA199" s="7">
        <v>265</v>
      </c>
      <c r="BB199" s="7">
        <v>257</v>
      </c>
      <c r="BC199" s="7" t="s">
        <v>2038</v>
      </c>
      <c r="BD199" s="7">
        <v>60.2425</v>
      </c>
      <c r="BF199" s="7">
        <f>74.7338-BD199</f>
        <v>14.491300000000003</v>
      </c>
      <c r="BG199" s="7" t="s">
        <v>1821</v>
      </c>
      <c r="BH199" s="7">
        <v>10.350899999999999</v>
      </c>
      <c r="BJ199" s="7">
        <f>11.8001-BH199</f>
        <v>1.4492000000000012</v>
      </c>
    </row>
    <row r="200" spans="1:63" x14ac:dyDescent="0.2">
      <c r="A200" s="7">
        <v>53</v>
      </c>
      <c r="B200" s="7" t="s">
        <v>1270</v>
      </c>
      <c r="C200" s="7" t="s">
        <v>1269</v>
      </c>
      <c r="D200" s="7" t="s">
        <v>1268</v>
      </c>
      <c r="E200" s="7" t="s">
        <v>1267</v>
      </c>
      <c r="F200" s="7" t="s">
        <v>203</v>
      </c>
      <c r="G200" s="7">
        <v>2017</v>
      </c>
      <c r="H200" s="7">
        <v>42966</v>
      </c>
      <c r="I200" s="7" t="s">
        <v>32</v>
      </c>
      <c r="J200" s="7" t="s">
        <v>32</v>
      </c>
      <c r="K200" s="7" t="s">
        <v>1266</v>
      </c>
      <c r="L200" s="7">
        <v>2</v>
      </c>
      <c r="M200" s="7" t="s">
        <v>1265</v>
      </c>
      <c r="N200" s="7" t="s">
        <v>34</v>
      </c>
      <c r="O200" s="7" t="s">
        <v>190</v>
      </c>
      <c r="P200" s="7" t="s">
        <v>34</v>
      </c>
      <c r="Q200" s="7" t="s">
        <v>34</v>
      </c>
      <c r="R200" s="7" t="s">
        <v>739</v>
      </c>
      <c r="S200" s="7" t="s">
        <v>34</v>
      </c>
      <c r="T200" s="7" t="s">
        <v>34</v>
      </c>
      <c r="U200" s="7" t="s">
        <v>32</v>
      </c>
      <c r="V200" s="7">
        <v>1</v>
      </c>
      <c r="W200" s="7" t="s">
        <v>32</v>
      </c>
      <c r="X200" s="7" t="s">
        <v>32</v>
      </c>
      <c r="Y200" s="7" t="s">
        <v>32</v>
      </c>
      <c r="Z200" s="7" t="s">
        <v>32</v>
      </c>
      <c r="AA200" s="7">
        <v>28818702</v>
      </c>
      <c r="AB200" s="7">
        <v>1</v>
      </c>
      <c r="AD200" s="7">
        <v>4</v>
      </c>
      <c r="AE200" s="24">
        <v>17</v>
      </c>
      <c r="AF200" s="7">
        <v>9</v>
      </c>
      <c r="AG200" s="7">
        <v>8</v>
      </c>
      <c r="AH200" s="7" t="s">
        <v>1642</v>
      </c>
      <c r="AI200" s="7" t="s">
        <v>1642</v>
      </c>
      <c r="AJ200" s="7" t="s">
        <v>2024</v>
      </c>
      <c r="AK200" s="7">
        <v>300</v>
      </c>
      <c r="AM200" s="7" t="s">
        <v>2024</v>
      </c>
      <c r="AN200" s="7">
        <v>300</v>
      </c>
      <c r="AP200" s="7">
        <v>1</v>
      </c>
      <c r="AQ200" s="7" t="s">
        <v>1787</v>
      </c>
      <c r="AR200" s="7" t="s">
        <v>2025</v>
      </c>
      <c r="AS200" s="7" t="s">
        <v>1667</v>
      </c>
      <c r="AT200" s="7" t="s">
        <v>1640</v>
      </c>
      <c r="AU200" s="7" t="s">
        <v>178</v>
      </c>
      <c r="AV200" s="7" t="s">
        <v>2041</v>
      </c>
      <c r="AW200" s="7" t="s">
        <v>1678</v>
      </c>
      <c r="AX200" s="7" t="s">
        <v>2052</v>
      </c>
      <c r="AY200" s="7" t="s">
        <v>2039</v>
      </c>
      <c r="AZ200" s="7" t="s">
        <v>1650</v>
      </c>
      <c r="BA200" s="7">
        <v>265</v>
      </c>
      <c r="BB200" s="7">
        <v>257</v>
      </c>
      <c r="BC200" s="7" t="s">
        <v>2055</v>
      </c>
      <c r="BD200" s="7">
        <v>29.6037</v>
      </c>
      <c r="BF200" s="7">
        <f>37.8845-BD200</f>
        <v>8.2808000000000028</v>
      </c>
      <c r="BG200" s="7" t="s">
        <v>2056</v>
      </c>
      <c r="BH200" s="7">
        <v>8.0737400000000008</v>
      </c>
      <c r="BJ200" s="7">
        <f>9.31585-BH200</f>
        <v>1.2421099999999985</v>
      </c>
    </row>
    <row r="201" spans="1:63" s="45" customFormat="1" x14ac:dyDescent="0.2">
      <c r="A201" s="45">
        <v>54</v>
      </c>
      <c r="B201" s="45" t="s">
        <v>1264</v>
      </c>
      <c r="C201" s="45" t="s">
        <v>1173</v>
      </c>
      <c r="D201" s="45" t="s">
        <v>1263</v>
      </c>
      <c r="E201" s="45" t="s">
        <v>1171</v>
      </c>
      <c r="F201" s="45" t="s">
        <v>1262</v>
      </c>
      <c r="G201" s="45">
        <v>2017</v>
      </c>
      <c r="H201" s="45">
        <v>42959</v>
      </c>
      <c r="I201" s="45" t="s">
        <v>1261</v>
      </c>
      <c r="J201" s="45" t="s">
        <v>1260</v>
      </c>
      <c r="K201" s="45" t="s">
        <v>1259</v>
      </c>
      <c r="L201" s="45">
        <v>2</v>
      </c>
      <c r="M201" s="45" t="s">
        <v>1258</v>
      </c>
      <c r="N201" s="45" t="s">
        <v>34</v>
      </c>
      <c r="O201" s="45" t="s">
        <v>190</v>
      </c>
      <c r="P201" s="45" t="s">
        <v>34</v>
      </c>
      <c r="Q201" s="45" t="s">
        <v>34</v>
      </c>
      <c r="R201" s="45" t="s">
        <v>1250</v>
      </c>
      <c r="S201" s="45" t="s">
        <v>34</v>
      </c>
      <c r="T201" s="45" t="s">
        <v>34</v>
      </c>
      <c r="U201" s="45" t="s">
        <v>34</v>
      </c>
      <c r="V201" s="45" t="s">
        <v>190</v>
      </c>
      <c r="W201" s="45" t="s">
        <v>32</v>
      </c>
      <c r="X201" s="45" t="s">
        <v>32</v>
      </c>
      <c r="Y201" s="45" t="s">
        <v>1257</v>
      </c>
      <c r="Z201" s="45" t="s">
        <v>32</v>
      </c>
      <c r="AA201" s="45">
        <v>28799954</v>
      </c>
      <c r="AB201" s="45">
        <v>0</v>
      </c>
      <c r="AC201" s="45" t="s">
        <v>2057</v>
      </c>
      <c r="AE201" s="46"/>
      <c r="BK201" s="47"/>
    </row>
    <row r="202" spans="1:63" x14ac:dyDescent="0.2">
      <c r="A202" s="7">
        <v>55</v>
      </c>
      <c r="B202" s="7" t="s">
        <v>181</v>
      </c>
      <c r="C202" s="7" t="s">
        <v>182</v>
      </c>
      <c r="D202" s="7" t="s">
        <v>183</v>
      </c>
      <c r="E202" s="7" t="s">
        <v>184</v>
      </c>
      <c r="F202" s="7" t="s">
        <v>185</v>
      </c>
      <c r="G202" s="7">
        <v>2017</v>
      </c>
      <c r="H202" s="7">
        <v>42953</v>
      </c>
      <c r="I202" s="7" t="s">
        <v>186</v>
      </c>
      <c r="J202" s="7" t="s">
        <v>187</v>
      </c>
      <c r="K202" s="7" t="s">
        <v>188</v>
      </c>
      <c r="L202" s="7">
        <v>2</v>
      </c>
      <c r="M202" s="7" t="s">
        <v>1256</v>
      </c>
      <c r="N202" s="7" t="s">
        <v>189</v>
      </c>
      <c r="O202" s="7" t="s">
        <v>190</v>
      </c>
      <c r="P202" s="7" t="s">
        <v>34</v>
      </c>
      <c r="Q202" s="7" t="s">
        <v>190</v>
      </c>
      <c r="R202" s="7" t="s">
        <v>34</v>
      </c>
      <c r="S202" s="7" t="s">
        <v>34</v>
      </c>
      <c r="T202" s="7" t="s">
        <v>34</v>
      </c>
      <c r="U202" s="7" t="s">
        <v>32</v>
      </c>
      <c r="V202" s="7">
        <v>1</v>
      </c>
      <c r="W202" s="7" t="s">
        <v>34</v>
      </c>
      <c r="X202" s="7" t="s">
        <v>32</v>
      </c>
      <c r="Y202" s="7" t="s">
        <v>191</v>
      </c>
      <c r="Z202" s="7" t="s">
        <v>32</v>
      </c>
      <c r="AA202" s="7">
        <v>28778834</v>
      </c>
      <c r="AB202" s="7">
        <v>1</v>
      </c>
      <c r="AD202" s="7">
        <v>4</v>
      </c>
      <c r="AE202" s="24">
        <v>80</v>
      </c>
      <c r="AF202" s="7">
        <v>35</v>
      </c>
      <c r="AG202" s="7">
        <v>45</v>
      </c>
      <c r="AH202" s="7" t="s">
        <v>1642</v>
      </c>
      <c r="AI202" s="7" t="s">
        <v>1642</v>
      </c>
      <c r="AK202" s="7">
        <v>325</v>
      </c>
      <c r="AN202" s="7">
        <v>325</v>
      </c>
      <c r="AR202" s="7" t="s">
        <v>1675</v>
      </c>
      <c r="AS202" s="7" t="s">
        <v>1667</v>
      </c>
      <c r="AT202" s="7" t="s">
        <v>1640</v>
      </c>
      <c r="AU202" s="7" t="s">
        <v>34</v>
      </c>
      <c r="AV202" s="7" t="s">
        <v>1641</v>
      </c>
      <c r="AW202" s="7" t="s">
        <v>1678</v>
      </c>
      <c r="AX202" s="7" t="s">
        <v>2058</v>
      </c>
      <c r="AY202" s="7" t="s">
        <v>2059</v>
      </c>
      <c r="AZ202" s="7" t="s">
        <v>1768</v>
      </c>
      <c r="BA202" s="7">
        <v>266</v>
      </c>
      <c r="BB202" s="7">
        <v>258</v>
      </c>
      <c r="BC202" s="7" t="s">
        <v>2062</v>
      </c>
      <c r="BD202" s="7">
        <v>-44.484000000000002</v>
      </c>
      <c r="BF202" s="7">
        <f>49.1815-44.484</f>
        <v>4.697499999999998</v>
      </c>
      <c r="BG202" s="7" t="s">
        <v>2060</v>
      </c>
      <c r="BH202" s="7">
        <v>-6.7615699999999999</v>
      </c>
      <c r="BJ202" s="7">
        <f>12.8826-6.76157</f>
        <v>6.1210300000000002</v>
      </c>
      <c r="BK202" s="9" t="s">
        <v>2063</v>
      </c>
    </row>
    <row r="203" spans="1:63" x14ac:dyDescent="0.2">
      <c r="A203" s="7">
        <v>55</v>
      </c>
      <c r="B203" s="7" t="s">
        <v>181</v>
      </c>
      <c r="C203" s="7" t="s">
        <v>182</v>
      </c>
      <c r="D203" s="7" t="s">
        <v>183</v>
      </c>
      <c r="E203" s="7" t="s">
        <v>184</v>
      </c>
      <c r="F203" s="7" t="s">
        <v>185</v>
      </c>
      <c r="G203" s="7">
        <v>2017</v>
      </c>
      <c r="H203" s="7">
        <v>42953</v>
      </c>
      <c r="I203" s="7" t="s">
        <v>186</v>
      </c>
      <c r="J203" s="7" t="s">
        <v>187</v>
      </c>
      <c r="K203" s="7" t="s">
        <v>188</v>
      </c>
      <c r="L203" s="7">
        <v>2</v>
      </c>
      <c r="M203" s="7" t="s">
        <v>1256</v>
      </c>
      <c r="N203" s="7" t="s">
        <v>189</v>
      </c>
      <c r="O203" s="7" t="s">
        <v>190</v>
      </c>
      <c r="P203" s="7" t="s">
        <v>34</v>
      </c>
      <c r="Q203" s="7" t="s">
        <v>190</v>
      </c>
      <c r="R203" s="7" t="s">
        <v>34</v>
      </c>
      <c r="S203" s="7" t="s">
        <v>34</v>
      </c>
      <c r="T203" s="7" t="s">
        <v>34</v>
      </c>
      <c r="U203" s="7" t="s">
        <v>32</v>
      </c>
      <c r="V203" s="7">
        <v>1</v>
      </c>
      <c r="W203" s="7" t="s">
        <v>34</v>
      </c>
      <c r="X203" s="7" t="s">
        <v>32</v>
      </c>
      <c r="Y203" s="7" t="s">
        <v>191</v>
      </c>
      <c r="Z203" s="7" t="s">
        <v>32</v>
      </c>
      <c r="AA203" s="7">
        <v>28778834</v>
      </c>
      <c r="AB203" s="7">
        <v>1</v>
      </c>
      <c r="AD203" s="7">
        <v>4</v>
      </c>
      <c r="AE203" s="24">
        <v>83</v>
      </c>
      <c r="AF203" s="7">
        <v>35</v>
      </c>
      <c r="AG203" s="7">
        <v>48</v>
      </c>
      <c r="AH203" s="7" t="s">
        <v>1642</v>
      </c>
      <c r="AI203" s="7" t="s">
        <v>1642</v>
      </c>
      <c r="AK203" s="7">
        <v>325</v>
      </c>
      <c r="AN203" s="7">
        <v>325</v>
      </c>
      <c r="AR203" s="7" t="s">
        <v>1675</v>
      </c>
      <c r="AS203" s="7" t="s">
        <v>1667</v>
      </c>
      <c r="AT203" s="7" t="s">
        <v>1640</v>
      </c>
      <c r="AU203" s="7" t="s">
        <v>34</v>
      </c>
      <c r="AV203" s="7" t="s">
        <v>1641</v>
      </c>
      <c r="AW203" s="7" t="s">
        <v>1678</v>
      </c>
      <c r="AX203" s="7" t="s">
        <v>2058</v>
      </c>
      <c r="AY203" s="7" t="s">
        <v>2059</v>
      </c>
      <c r="AZ203" s="7" t="s">
        <v>1769</v>
      </c>
      <c r="BA203" s="7">
        <v>266</v>
      </c>
      <c r="BB203" s="7">
        <v>259</v>
      </c>
      <c r="BC203" s="7" t="s">
        <v>2062</v>
      </c>
      <c r="BD203" s="7">
        <v>-44.484000000000002</v>
      </c>
      <c r="BF203" s="7">
        <f>49.1815-44.484</f>
        <v>4.697499999999998</v>
      </c>
      <c r="BG203" s="7" t="s">
        <v>2061</v>
      </c>
      <c r="BH203" s="7">
        <v>-14.1637</v>
      </c>
      <c r="BJ203" s="7">
        <f>19.0036-14.1637</f>
        <v>4.8398999999999983</v>
      </c>
    </row>
    <row r="204" spans="1:63" x14ac:dyDescent="0.2">
      <c r="A204" s="7">
        <v>56</v>
      </c>
      <c r="B204" s="7" t="s">
        <v>1255</v>
      </c>
      <c r="C204" s="7" t="s">
        <v>1254</v>
      </c>
      <c r="D204" s="7" t="s">
        <v>1253</v>
      </c>
      <c r="E204" s="7" t="s">
        <v>1252</v>
      </c>
      <c r="F204" s="7" t="s">
        <v>824</v>
      </c>
      <c r="G204" s="7">
        <v>2017</v>
      </c>
      <c r="H204" s="7">
        <v>42917</v>
      </c>
      <c r="I204" s="7" t="s">
        <v>32</v>
      </c>
      <c r="J204" s="7" t="s">
        <v>32</v>
      </c>
      <c r="K204" s="7" t="s">
        <v>1251</v>
      </c>
      <c r="L204" s="7">
        <v>2</v>
      </c>
      <c r="M204" s="7" t="s">
        <v>32</v>
      </c>
      <c r="N204" s="7" t="s">
        <v>34</v>
      </c>
      <c r="O204" s="7" t="s">
        <v>190</v>
      </c>
      <c r="P204" s="7" t="s">
        <v>34</v>
      </c>
      <c r="Q204" s="7" t="s">
        <v>34</v>
      </c>
      <c r="R204" s="7" t="s">
        <v>1250</v>
      </c>
      <c r="S204" s="7" t="s">
        <v>34</v>
      </c>
      <c r="T204" s="7" t="s">
        <v>34</v>
      </c>
      <c r="U204" s="7" t="s">
        <v>32</v>
      </c>
      <c r="V204" s="7">
        <v>1</v>
      </c>
      <c r="W204" s="7" t="s">
        <v>32</v>
      </c>
      <c r="X204" s="7" t="s">
        <v>32</v>
      </c>
      <c r="Y204" s="7" t="s">
        <v>32</v>
      </c>
      <c r="Z204" s="7" t="s">
        <v>32</v>
      </c>
      <c r="AA204" s="7">
        <v>28663121</v>
      </c>
      <c r="AB204" s="7">
        <v>1</v>
      </c>
      <c r="AD204" s="7">
        <v>4</v>
      </c>
      <c r="AE204" s="24">
        <v>14</v>
      </c>
      <c r="AF204" s="7">
        <v>7</v>
      </c>
      <c r="AG204" s="7">
        <v>7</v>
      </c>
      <c r="AH204" s="7" t="s">
        <v>1642</v>
      </c>
      <c r="AI204" s="7" t="s">
        <v>1642</v>
      </c>
      <c r="AK204" s="7">
        <v>235</v>
      </c>
      <c r="AN204" s="7">
        <v>235</v>
      </c>
      <c r="AP204" s="7">
        <v>1</v>
      </c>
      <c r="AQ204" s="7" t="s">
        <v>1787</v>
      </c>
      <c r="AR204" s="7" t="s">
        <v>2025</v>
      </c>
      <c r="AS204" s="7" t="s">
        <v>1667</v>
      </c>
      <c r="AT204" s="7" t="s">
        <v>1640</v>
      </c>
      <c r="AU204" s="7" t="s">
        <v>178</v>
      </c>
      <c r="AV204" s="7" t="s">
        <v>1816</v>
      </c>
      <c r="AW204" s="7" t="s">
        <v>1678</v>
      </c>
      <c r="AX204" s="7" t="s">
        <v>2064</v>
      </c>
      <c r="AY204" s="7" t="s">
        <v>1966</v>
      </c>
      <c r="AZ204" s="7" t="s">
        <v>1650</v>
      </c>
      <c r="BA204" s="7">
        <v>267</v>
      </c>
      <c r="BB204" s="7">
        <v>260</v>
      </c>
      <c r="BC204" s="7" t="s">
        <v>2065</v>
      </c>
      <c r="BD204" s="7">
        <v>47.42</v>
      </c>
      <c r="BF204" s="7">
        <v>4.46</v>
      </c>
      <c r="BG204" s="7" t="s">
        <v>2069</v>
      </c>
      <c r="BH204" s="7">
        <v>4.1399999999999997</v>
      </c>
      <c r="BJ204" s="7">
        <v>0.88</v>
      </c>
      <c r="BK204" s="40" t="s">
        <v>2073</v>
      </c>
    </row>
    <row r="205" spans="1:63" x14ac:dyDescent="0.2">
      <c r="A205" s="7">
        <v>56</v>
      </c>
      <c r="B205" s="7" t="s">
        <v>1255</v>
      </c>
      <c r="C205" s="7" t="s">
        <v>1254</v>
      </c>
      <c r="D205" s="7" t="s">
        <v>1253</v>
      </c>
      <c r="E205" s="7" t="s">
        <v>1252</v>
      </c>
      <c r="F205" s="7" t="s">
        <v>824</v>
      </c>
      <c r="G205" s="7">
        <v>2017</v>
      </c>
      <c r="H205" s="7">
        <v>42917</v>
      </c>
      <c r="I205" s="7" t="s">
        <v>32</v>
      </c>
      <c r="J205" s="7" t="s">
        <v>32</v>
      </c>
      <c r="K205" s="7" t="s">
        <v>1251</v>
      </c>
      <c r="L205" s="7">
        <v>2</v>
      </c>
      <c r="M205" s="7" t="s">
        <v>32</v>
      </c>
      <c r="N205" s="7" t="s">
        <v>34</v>
      </c>
      <c r="O205" s="7" t="s">
        <v>190</v>
      </c>
      <c r="P205" s="7" t="s">
        <v>34</v>
      </c>
      <c r="Q205" s="7" t="s">
        <v>34</v>
      </c>
      <c r="R205" s="7" t="s">
        <v>1250</v>
      </c>
      <c r="S205" s="7" t="s">
        <v>34</v>
      </c>
      <c r="T205" s="7" t="s">
        <v>34</v>
      </c>
      <c r="U205" s="7" t="s">
        <v>32</v>
      </c>
      <c r="V205" s="7">
        <v>1</v>
      </c>
      <c r="W205" s="7" t="s">
        <v>32</v>
      </c>
      <c r="X205" s="7" t="s">
        <v>32</v>
      </c>
      <c r="Y205" s="7" t="s">
        <v>32</v>
      </c>
      <c r="Z205" s="7" t="s">
        <v>32</v>
      </c>
      <c r="AA205" s="7">
        <v>28663121</v>
      </c>
      <c r="AB205" s="7">
        <v>1</v>
      </c>
      <c r="AD205" s="7">
        <v>4</v>
      </c>
      <c r="AE205" s="24">
        <v>14</v>
      </c>
      <c r="AF205" s="7">
        <v>7</v>
      </c>
      <c r="AG205" s="7">
        <v>7</v>
      </c>
      <c r="AH205" s="7" t="s">
        <v>1642</v>
      </c>
      <c r="AI205" s="7" t="s">
        <v>1642</v>
      </c>
      <c r="AK205" s="7">
        <v>235</v>
      </c>
      <c r="AN205" s="7">
        <v>235</v>
      </c>
      <c r="AP205" s="7">
        <v>1</v>
      </c>
      <c r="AQ205" s="7" t="s">
        <v>1787</v>
      </c>
      <c r="AR205" s="7" t="s">
        <v>2025</v>
      </c>
      <c r="AS205" s="7" t="s">
        <v>1667</v>
      </c>
      <c r="AT205" s="7" t="s">
        <v>1640</v>
      </c>
      <c r="AU205" s="7" t="s">
        <v>178</v>
      </c>
      <c r="AV205" s="7" t="s">
        <v>1747</v>
      </c>
      <c r="AW205" s="7" t="s">
        <v>1678</v>
      </c>
      <c r="AX205" s="7" t="s">
        <v>2064</v>
      </c>
      <c r="AY205" s="7" t="s">
        <v>1966</v>
      </c>
      <c r="AZ205" s="7" t="s">
        <v>1650</v>
      </c>
      <c r="BA205" s="7">
        <v>267</v>
      </c>
      <c r="BB205" s="7">
        <v>260</v>
      </c>
      <c r="BC205" s="7" t="s">
        <v>2066</v>
      </c>
      <c r="BD205" s="7">
        <v>8.7100000000000009</v>
      </c>
      <c r="BF205" s="7">
        <v>2.08</v>
      </c>
      <c r="BG205" s="7" t="s">
        <v>2070</v>
      </c>
      <c r="BH205" s="7">
        <v>3.28</v>
      </c>
      <c r="BJ205" s="7">
        <v>1.3</v>
      </c>
      <c r="BK205" s="40"/>
    </row>
    <row r="206" spans="1:63" x14ac:dyDescent="0.2">
      <c r="A206" s="7">
        <v>56</v>
      </c>
      <c r="B206" s="7" t="s">
        <v>1255</v>
      </c>
      <c r="C206" s="7" t="s">
        <v>1254</v>
      </c>
      <c r="D206" s="7" t="s">
        <v>1253</v>
      </c>
      <c r="E206" s="7" t="s">
        <v>1252</v>
      </c>
      <c r="F206" s="7" t="s">
        <v>824</v>
      </c>
      <c r="G206" s="7">
        <v>2017</v>
      </c>
      <c r="H206" s="7">
        <v>42917</v>
      </c>
      <c r="I206" s="7" t="s">
        <v>32</v>
      </c>
      <c r="J206" s="7" t="s">
        <v>32</v>
      </c>
      <c r="K206" s="7" t="s">
        <v>1251</v>
      </c>
      <c r="L206" s="7">
        <v>2</v>
      </c>
      <c r="M206" s="7" t="s">
        <v>32</v>
      </c>
      <c r="N206" s="7" t="s">
        <v>34</v>
      </c>
      <c r="O206" s="7" t="s">
        <v>190</v>
      </c>
      <c r="P206" s="7" t="s">
        <v>34</v>
      </c>
      <c r="Q206" s="7" t="s">
        <v>34</v>
      </c>
      <c r="R206" s="7" t="s">
        <v>1250</v>
      </c>
      <c r="S206" s="7" t="s">
        <v>34</v>
      </c>
      <c r="T206" s="7" t="s">
        <v>34</v>
      </c>
      <c r="U206" s="7" t="s">
        <v>32</v>
      </c>
      <c r="V206" s="7">
        <v>1</v>
      </c>
      <c r="W206" s="7" t="s">
        <v>32</v>
      </c>
      <c r="X206" s="7" t="s">
        <v>32</v>
      </c>
      <c r="Y206" s="7" t="s">
        <v>32</v>
      </c>
      <c r="Z206" s="7" t="s">
        <v>32</v>
      </c>
      <c r="AA206" s="7">
        <v>28663121</v>
      </c>
      <c r="AB206" s="7">
        <v>1</v>
      </c>
      <c r="AD206" s="7">
        <v>4</v>
      </c>
      <c r="AE206" s="24">
        <v>14</v>
      </c>
      <c r="AF206" s="7">
        <v>7</v>
      </c>
      <c r="AG206" s="7">
        <v>7</v>
      </c>
      <c r="AH206" s="7" t="s">
        <v>1642</v>
      </c>
      <c r="AI206" s="7" t="s">
        <v>1642</v>
      </c>
      <c r="AK206" s="7">
        <v>235</v>
      </c>
      <c r="AN206" s="7">
        <v>235</v>
      </c>
      <c r="AP206" s="7">
        <v>1</v>
      </c>
      <c r="AQ206" s="7" t="s">
        <v>1787</v>
      </c>
      <c r="AR206" s="7" t="s">
        <v>2025</v>
      </c>
      <c r="AS206" s="7" t="s">
        <v>1667</v>
      </c>
      <c r="AT206" s="7" t="s">
        <v>1640</v>
      </c>
      <c r="AU206" s="7" t="s">
        <v>178</v>
      </c>
      <c r="AV206" s="7" t="s">
        <v>1641</v>
      </c>
      <c r="AW206" s="7" t="s">
        <v>1678</v>
      </c>
      <c r="AX206" s="7" t="s">
        <v>2064</v>
      </c>
      <c r="AY206" s="7" t="s">
        <v>1966</v>
      </c>
      <c r="AZ206" s="7" t="s">
        <v>1650</v>
      </c>
      <c r="BA206" s="7">
        <v>267</v>
      </c>
      <c r="BB206" s="7">
        <v>260</v>
      </c>
      <c r="BC206" s="7" t="s">
        <v>2067</v>
      </c>
      <c r="BD206" s="7">
        <v>2.71</v>
      </c>
      <c r="BF206" s="7">
        <v>0.96</v>
      </c>
      <c r="BG206" s="7" t="s">
        <v>2071</v>
      </c>
      <c r="BH206" s="7">
        <v>4.42</v>
      </c>
      <c r="BJ206" s="7">
        <v>1.08</v>
      </c>
      <c r="BK206" s="40"/>
    </row>
    <row r="207" spans="1:63" x14ac:dyDescent="0.2">
      <c r="A207" s="7">
        <v>56</v>
      </c>
      <c r="B207" s="7" t="s">
        <v>1255</v>
      </c>
      <c r="C207" s="7" t="s">
        <v>1254</v>
      </c>
      <c r="D207" s="7" t="s">
        <v>1253</v>
      </c>
      <c r="E207" s="7" t="s">
        <v>1252</v>
      </c>
      <c r="F207" s="7" t="s">
        <v>824</v>
      </c>
      <c r="G207" s="7">
        <v>2017</v>
      </c>
      <c r="H207" s="7">
        <v>42917</v>
      </c>
      <c r="I207" s="7" t="s">
        <v>32</v>
      </c>
      <c r="J207" s="7" t="s">
        <v>32</v>
      </c>
      <c r="K207" s="7" t="s">
        <v>1251</v>
      </c>
      <c r="L207" s="7">
        <v>2</v>
      </c>
      <c r="M207" s="7" t="s">
        <v>32</v>
      </c>
      <c r="N207" s="7" t="s">
        <v>34</v>
      </c>
      <c r="O207" s="7" t="s">
        <v>190</v>
      </c>
      <c r="P207" s="7" t="s">
        <v>34</v>
      </c>
      <c r="Q207" s="7" t="s">
        <v>34</v>
      </c>
      <c r="R207" s="7" t="s">
        <v>1250</v>
      </c>
      <c r="S207" s="7" t="s">
        <v>34</v>
      </c>
      <c r="T207" s="7" t="s">
        <v>34</v>
      </c>
      <c r="U207" s="7" t="s">
        <v>32</v>
      </c>
      <c r="V207" s="7">
        <v>1</v>
      </c>
      <c r="W207" s="7" t="s">
        <v>32</v>
      </c>
      <c r="X207" s="7" t="s">
        <v>32</v>
      </c>
      <c r="Y207" s="7" t="s">
        <v>32</v>
      </c>
      <c r="Z207" s="7" t="s">
        <v>32</v>
      </c>
      <c r="AA207" s="7">
        <v>28663121</v>
      </c>
      <c r="AB207" s="7">
        <v>1</v>
      </c>
      <c r="AD207" s="7">
        <v>4</v>
      </c>
      <c r="AE207" s="24">
        <v>14</v>
      </c>
      <c r="AF207" s="7">
        <v>7</v>
      </c>
      <c r="AG207" s="7">
        <v>7</v>
      </c>
      <c r="AH207" s="7" t="s">
        <v>1642</v>
      </c>
      <c r="AI207" s="7" t="s">
        <v>1642</v>
      </c>
      <c r="AK207" s="7">
        <v>235</v>
      </c>
      <c r="AN207" s="7">
        <v>235</v>
      </c>
      <c r="AP207" s="7">
        <v>1</v>
      </c>
      <c r="AQ207" s="7" t="s">
        <v>1787</v>
      </c>
      <c r="AR207" s="7" t="s">
        <v>2025</v>
      </c>
      <c r="AS207" s="7" t="s">
        <v>1667</v>
      </c>
      <c r="AT207" s="7" t="s">
        <v>1640</v>
      </c>
      <c r="AU207" s="7" t="s">
        <v>178</v>
      </c>
      <c r="AV207" s="7" t="s">
        <v>1653</v>
      </c>
      <c r="AW207" s="7" t="s">
        <v>1678</v>
      </c>
      <c r="AX207" s="7" t="s">
        <v>2064</v>
      </c>
      <c r="AY207" s="7" t="s">
        <v>1966</v>
      </c>
      <c r="AZ207" s="7" t="s">
        <v>1650</v>
      </c>
      <c r="BA207" s="7">
        <v>267</v>
      </c>
      <c r="BB207" s="7">
        <v>260</v>
      </c>
      <c r="BC207" s="7" t="s">
        <v>2068</v>
      </c>
      <c r="BD207" s="7">
        <v>7.57</v>
      </c>
      <c r="BF207" s="7">
        <v>2.73</v>
      </c>
      <c r="BG207" s="7" t="s">
        <v>2072</v>
      </c>
      <c r="BH207" s="7">
        <v>3.82</v>
      </c>
      <c r="BJ207" s="7">
        <v>1.18</v>
      </c>
      <c r="BK207" s="40"/>
    </row>
    <row r="208" spans="1:63" x14ac:dyDescent="0.2">
      <c r="A208" s="7">
        <v>56</v>
      </c>
      <c r="B208" s="7" t="s">
        <v>1255</v>
      </c>
      <c r="C208" s="7" t="s">
        <v>1254</v>
      </c>
      <c r="D208" s="7" t="s">
        <v>1253</v>
      </c>
      <c r="E208" s="7" t="s">
        <v>1252</v>
      </c>
      <c r="F208" s="7" t="s">
        <v>824</v>
      </c>
      <c r="G208" s="7">
        <v>2017</v>
      </c>
      <c r="H208" s="7">
        <v>42917</v>
      </c>
      <c r="I208" s="7" t="s">
        <v>32</v>
      </c>
      <c r="J208" s="7" t="s">
        <v>32</v>
      </c>
      <c r="K208" s="7" t="s">
        <v>1251</v>
      </c>
      <c r="L208" s="7">
        <v>2</v>
      </c>
      <c r="M208" s="7" t="s">
        <v>32</v>
      </c>
      <c r="N208" s="7" t="s">
        <v>34</v>
      </c>
      <c r="O208" s="7" t="s">
        <v>190</v>
      </c>
      <c r="P208" s="7" t="s">
        <v>34</v>
      </c>
      <c r="Q208" s="7" t="s">
        <v>34</v>
      </c>
      <c r="R208" s="7" t="s">
        <v>1250</v>
      </c>
      <c r="S208" s="7" t="s">
        <v>34</v>
      </c>
      <c r="T208" s="7" t="s">
        <v>34</v>
      </c>
      <c r="U208" s="7" t="s">
        <v>32</v>
      </c>
      <c r="V208" s="7">
        <v>1</v>
      </c>
      <c r="W208" s="7" t="s">
        <v>32</v>
      </c>
      <c r="X208" s="7" t="s">
        <v>32</v>
      </c>
      <c r="Y208" s="7" t="s">
        <v>32</v>
      </c>
      <c r="Z208" s="7" t="s">
        <v>32</v>
      </c>
      <c r="AA208" s="7">
        <v>28663121</v>
      </c>
      <c r="AB208" s="7">
        <v>1</v>
      </c>
      <c r="AD208" s="7">
        <v>4</v>
      </c>
      <c r="AE208" s="24">
        <v>14</v>
      </c>
      <c r="AF208" s="7">
        <v>7</v>
      </c>
      <c r="AG208" s="7">
        <v>7</v>
      </c>
      <c r="AH208" s="7" t="s">
        <v>1642</v>
      </c>
      <c r="AI208" s="7" t="s">
        <v>1642</v>
      </c>
      <c r="AK208" s="7">
        <v>235</v>
      </c>
      <c r="AN208" s="7">
        <v>235</v>
      </c>
      <c r="AP208" s="7">
        <v>1</v>
      </c>
      <c r="AQ208" s="7" t="s">
        <v>1787</v>
      </c>
      <c r="AR208" s="7" t="s">
        <v>2025</v>
      </c>
      <c r="AS208" s="7" t="s">
        <v>1667</v>
      </c>
      <c r="AT208" s="7" t="s">
        <v>1640</v>
      </c>
      <c r="AU208" s="7" t="s">
        <v>178</v>
      </c>
      <c r="AV208" s="7" t="s">
        <v>2040</v>
      </c>
      <c r="AW208" s="7" t="s">
        <v>1678</v>
      </c>
      <c r="AX208" s="7" t="s">
        <v>2064</v>
      </c>
      <c r="AY208" s="7" t="s">
        <v>1900</v>
      </c>
      <c r="AZ208" s="7" t="s">
        <v>1650</v>
      </c>
      <c r="BA208" s="7">
        <v>267</v>
      </c>
      <c r="BB208" s="7">
        <v>260</v>
      </c>
      <c r="BC208" s="7" t="s">
        <v>2074</v>
      </c>
      <c r="BD208" s="7">
        <v>282.85000000000002</v>
      </c>
      <c r="BF208" s="7">
        <v>17.14</v>
      </c>
      <c r="BG208" s="7" t="s">
        <v>2077</v>
      </c>
      <c r="BH208" s="7">
        <v>20.149999999999999</v>
      </c>
      <c r="BJ208" s="7">
        <v>5.31</v>
      </c>
      <c r="BK208" s="40"/>
    </row>
    <row r="209" spans="1:63" x14ac:dyDescent="0.2">
      <c r="A209" s="7">
        <v>56</v>
      </c>
      <c r="B209" s="7" t="s">
        <v>1255</v>
      </c>
      <c r="C209" s="7" t="s">
        <v>1254</v>
      </c>
      <c r="D209" s="7" t="s">
        <v>1253</v>
      </c>
      <c r="E209" s="7" t="s">
        <v>1252</v>
      </c>
      <c r="F209" s="7" t="s">
        <v>824</v>
      </c>
      <c r="G209" s="7">
        <v>2017</v>
      </c>
      <c r="H209" s="7">
        <v>42917</v>
      </c>
      <c r="I209" s="7" t="s">
        <v>32</v>
      </c>
      <c r="J209" s="7" t="s">
        <v>32</v>
      </c>
      <c r="K209" s="7" t="s">
        <v>1251</v>
      </c>
      <c r="L209" s="7">
        <v>2</v>
      </c>
      <c r="M209" s="7" t="s">
        <v>32</v>
      </c>
      <c r="N209" s="7" t="s">
        <v>34</v>
      </c>
      <c r="O209" s="7" t="s">
        <v>190</v>
      </c>
      <c r="P209" s="7" t="s">
        <v>34</v>
      </c>
      <c r="Q209" s="7" t="s">
        <v>34</v>
      </c>
      <c r="R209" s="7" t="s">
        <v>1250</v>
      </c>
      <c r="S209" s="7" t="s">
        <v>34</v>
      </c>
      <c r="T209" s="7" t="s">
        <v>34</v>
      </c>
      <c r="U209" s="7" t="s">
        <v>32</v>
      </c>
      <c r="V209" s="7">
        <v>1</v>
      </c>
      <c r="W209" s="7" t="s">
        <v>32</v>
      </c>
      <c r="X209" s="7" t="s">
        <v>32</v>
      </c>
      <c r="Y209" s="7" t="s">
        <v>32</v>
      </c>
      <c r="Z209" s="7" t="s">
        <v>32</v>
      </c>
      <c r="AA209" s="7">
        <v>28663121</v>
      </c>
      <c r="AB209" s="7">
        <v>1</v>
      </c>
      <c r="AD209" s="7">
        <v>4</v>
      </c>
      <c r="AE209" s="24">
        <v>14</v>
      </c>
      <c r="AF209" s="7">
        <v>7</v>
      </c>
      <c r="AG209" s="7">
        <v>7</v>
      </c>
      <c r="AH209" s="7" t="s">
        <v>1642</v>
      </c>
      <c r="AI209" s="7" t="s">
        <v>1642</v>
      </c>
      <c r="AK209" s="7">
        <v>235</v>
      </c>
      <c r="AN209" s="7">
        <v>235</v>
      </c>
      <c r="AP209" s="7">
        <v>1</v>
      </c>
      <c r="AQ209" s="7" t="s">
        <v>1787</v>
      </c>
      <c r="AR209" s="7" t="s">
        <v>2025</v>
      </c>
      <c r="AS209" s="7" t="s">
        <v>1667</v>
      </c>
      <c r="AT209" s="7" t="s">
        <v>1640</v>
      </c>
      <c r="AU209" s="7" t="s">
        <v>178</v>
      </c>
      <c r="AV209" s="7" t="s">
        <v>2041</v>
      </c>
      <c r="AW209" s="7" t="s">
        <v>1678</v>
      </c>
      <c r="AX209" s="7" t="s">
        <v>2064</v>
      </c>
      <c r="AY209" s="7" t="s">
        <v>2039</v>
      </c>
      <c r="AZ209" s="7" t="s">
        <v>1650</v>
      </c>
      <c r="BA209" s="7">
        <v>267</v>
      </c>
      <c r="BB209" s="7">
        <v>260</v>
      </c>
      <c r="BC209" s="7" t="s">
        <v>2075</v>
      </c>
      <c r="BD209" s="7">
        <v>226.75</v>
      </c>
      <c r="BF209" s="7">
        <v>47.28</v>
      </c>
      <c r="BG209" s="7" t="s">
        <v>2078</v>
      </c>
      <c r="BH209" s="7">
        <v>14.97</v>
      </c>
      <c r="BJ209" s="7">
        <v>3.16</v>
      </c>
      <c r="BK209" s="40"/>
    </row>
    <row r="210" spans="1:63" x14ac:dyDescent="0.2">
      <c r="A210" s="7">
        <v>56</v>
      </c>
      <c r="B210" s="7" t="s">
        <v>1255</v>
      </c>
      <c r="C210" s="7" t="s">
        <v>1254</v>
      </c>
      <c r="D210" s="7" t="s">
        <v>1253</v>
      </c>
      <c r="E210" s="7" t="s">
        <v>1252</v>
      </c>
      <c r="F210" s="7" t="s">
        <v>824</v>
      </c>
      <c r="G210" s="7">
        <v>2017</v>
      </c>
      <c r="H210" s="7">
        <v>42917</v>
      </c>
      <c r="I210" s="7" t="s">
        <v>32</v>
      </c>
      <c r="J210" s="7" t="s">
        <v>32</v>
      </c>
      <c r="K210" s="7" t="s">
        <v>1251</v>
      </c>
      <c r="L210" s="7">
        <v>2</v>
      </c>
      <c r="M210" s="7" t="s">
        <v>32</v>
      </c>
      <c r="N210" s="7" t="s">
        <v>34</v>
      </c>
      <c r="O210" s="7" t="s">
        <v>190</v>
      </c>
      <c r="P210" s="7" t="s">
        <v>34</v>
      </c>
      <c r="Q210" s="7" t="s">
        <v>34</v>
      </c>
      <c r="R210" s="7" t="s">
        <v>1250</v>
      </c>
      <c r="S210" s="7" t="s">
        <v>34</v>
      </c>
      <c r="T210" s="7" t="s">
        <v>34</v>
      </c>
      <c r="U210" s="7" t="s">
        <v>32</v>
      </c>
      <c r="V210" s="7">
        <v>1</v>
      </c>
      <c r="W210" s="7" t="s">
        <v>32</v>
      </c>
      <c r="X210" s="7" t="s">
        <v>32</v>
      </c>
      <c r="Y210" s="7" t="s">
        <v>32</v>
      </c>
      <c r="Z210" s="7" t="s">
        <v>32</v>
      </c>
      <c r="AA210" s="7">
        <v>28663121</v>
      </c>
      <c r="AB210" s="7">
        <v>1</v>
      </c>
      <c r="AD210" s="7">
        <v>4</v>
      </c>
      <c r="AE210" s="24">
        <v>14</v>
      </c>
      <c r="AF210" s="7">
        <v>7</v>
      </c>
      <c r="AG210" s="7">
        <v>7</v>
      </c>
      <c r="AH210" s="7" t="s">
        <v>1642</v>
      </c>
      <c r="AI210" s="7" t="s">
        <v>1642</v>
      </c>
      <c r="AK210" s="7">
        <v>235</v>
      </c>
      <c r="AN210" s="7">
        <v>235</v>
      </c>
      <c r="AP210" s="7">
        <v>1</v>
      </c>
      <c r="AQ210" s="7" t="s">
        <v>1787</v>
      </c>
      <c r="AR210" s="7" t="s">
        <v>2025</v>
      </c>
      <c r="AS210" s="7" t="s">
        <v>1667</v>
      </c>
      <c r="AT210" s="7" t="s">
        <v>1640</v>
      </c>
      <c r="AU210" s="7" t="s">
        <v>178</v>
      </c>
      <c r="AV210" s="7" t="s">
        <v>2042</v>
      </c>
      <c r="AW210" s="7" t="s">
        <v>1678</v>
      </c>
      <c r="AX210" s="7" t="s">
        <v>2064</v>
      </c>
      <c r="AY210" s="7" t="s">
        <v>2039</v>
      </c>
      <c r="AZ210" s="7" t="s">
        <v>1650</v>
      </c>
      <c r="BA210" s="7">
        <v>267</v>
      </c>
      <c r="BB210" s="7">
        <v>260</v>
      </c>
      <c r="BC210" s="7" t="s">
        <v>2076</v>
      </c>
      <c r="BD210" s="7">
        <v>153.12</v>
      </c>
      <c r="BF210" s="7">
        <v>45.85</v>
      </c>
      <c r="BG210" s="7" t="s">
        <v>2079</v>
      </c>
      <c r="BH210" s="7">
        <v>11.15</v>
      </c>
      <c r="BJ210" s="7">
        <v>2.27</v>
      </c>
      <c r="BK210" s="40"/>
    </row>
    <row r="211" spans="1:63" x14ac:dyDescent="0.2">
      <c r="A211" s="7">
        <v>57</v>
      </c>
      <c r="B211" s="7" t="s">
        <v>1249</v>
      </c>
      <c r="C211" s="7" t="s">
        <v>1248</v>
      </c>
      <c r="D211" s="7" t="s">
        <v>1247</v>
      </c>
      <c r="E211" s="7" t="s">
        <v>1246</v>
      </c>
      <c r="F211" s="7" t="s">
        <v>1051</v>
      </c>
      <c r="G211" s="7">
        <v>2017</v>
      </c>
      <c r="H211" s="7">
        <v>42820</v>
      </c>
      <c r="I211" s="7" t="s">
        <v>32</v>
      </c>
      <c r="J211" s="7" t="s">
        <v>32</v>
      </c>
      <c r="K211" s="7" t="s">
        <v>1245</v>
      </c>
      <c r="L211" s="7">
        <v>2</v>
      </c>
      <c r="M211" s="7" t="s">
        <v>32</v>
      </c>
      <c r="N211" s="7" t="s">
        <v>34</v>
      </c>
      <c r="O211" s="7" t="s">
        <v>34</v>
      </c>
      <c r="P211" s="7" t="s">
        <v>34</v>
      </c>
      <c r="Q211" s="7" t="s">
        <v>34</v>
      </c>
      <c r="R211" s="7" t="s">
        <v>34</v>
      </c>
      <c r="S211" s="7" t="s">
        <v>34</v>
      </c>
      <c r="T211" s="7" t="s">
        <v>34</v>
      </c>
      <c r="U211" s="7" t="s">
        <v>32</v>
      </c>
      <c r="V211" s="7">
        <v>1</v>
      </c>
      <c r="W211" s="7" t="s">
        <v>32</v>
      </c>
      <c r="X211" s="7" t="s">
        <v>32</v>
      </c>
      <c r="Y211" s="7" t="s">
        <v>32</v>
      </c>
      <c r="Z211" s="7" t="s">
        <v>32</v>
      </c>
      <c r="AA211" s="7">
        <v>28341893</v>
      </c>
      <c r="AB211" s="7">
        <v>1</v>
      </c>
      <c r="AD211" s="7">
        <v>4</v>
      </c>
      <c r="AE211" s="24">
        <v>10</v>
      </c>
      <c r="AF211" s="7">
        <v>5</v>
      </c>
      <c r="AG211" s="7">
        <v>5</v>
      </c>
      <c r="AH211" s="7" t="s">
        <v>1642</v>
      </c>
      <c r="AI211" s="7" t="s">
        <v>1642</v>
      </c>
      <c r="AK211" s="7">
        <v>190</v>
      </c>
      <c r="AN211" s="7">
        <v>190</v>
      </c>
      <c r="AR211" s="7" t="s">
        <v>1637</v>
      </c>
      <c r="AS211" s="7" t="s">
        <v>1638</v>
      </c>
      <c r="AT211" s="7" t="s">
        <v>1729</v>
      </c>
      <c r="AU211" s="7" t="s">
        <v>178</v>
      </c>
      <c r="AV211" s="7" t="s">
        <v>1641</v>
      </c>
      <c r="AW211" s="7" t="s">
        <v>1687</v>
      </c>
      <c r="AX211" s="7" t="s">
        <v>2081</v>
      </c>
      <c r="AY211" s="7" t="s">
        <v>1695</v>
      </c>
      <c r="AZ211" s="7" t="s">
        <v>1650</v>
      </c>
      <c r="BA211" s="7">
        <v>268</v>
      </c>
      <c r="BB211" s="7">
        <v>261</v>
      </c>
      <c r="BC211" s="7" t="s">
        <v>2088</v>
      </c>
      <c r="BD211" s="7">
        <v>67.337699999999998</v>
      </c>
      <c r="BE211" s="7">
        <f>75.0705-BD211</f>
        <v>7.7327999999999975</v>
      </c>
      <c r="BG211" s="7" t="s">
        <v>2083</v>
      </c>
      <c r="BH211" s="7">
        <v>48.646799999999999</v>
      </c>
      <c r="BI211" s="7">
        <f>53.771-BH211</f>
        <v>5.1242000000000019</v>
      </c>
    </row>
    <row r="212" spans="1:63" x14ac:dyDescent="0.2">
      <c r="A212" s="7">
        <v>57</v>
      </c>
      <c r="B212" s="7" t="s">
        <v>1249</v>
      </c>
      <c r="C212" s="7" t="s">
        <v>1248</v>
      </c>
      <c r="D212" s="7" t="s">
        <v>1247</v>
      </c>
      <c r="E212" s="7" t="s">
        <v>1246</v>
      </c>
      <c r="F212" s="7" t="s">
        <v>1051</v>
      </c>
      <c r="G212" s="7">
        <v>2017</v>
      </c>
      <c r="H212" s="7">
        <v>42820</v>
      </c>
      <c r="I212" s="7" t="s">
        <v>32</v>
      </c>
      <c r="J212" s="7" t="s">
        <v>32</v>
      </c>
      <c r="K212" s="7" t="s">
        <v>1245</v>
      </c>
      <c r="L212" s="7">
        <v>2</v>
      </c>
      <c r="M212" s="7" t="s">
        <v>32</v>
      </c>
      <c r="N212" s="7" t="s">
        <v>34</v>
      </c>
      <c r="O212" s="7" t="s">
        <v>34</v>
      </c>
      <c r="P212" s="7" t="s">
        <v>34</v>
      </c>
      <c r="Q212" s="7" t="s">
        <v>34</v>
      </c>
      <c r="R212" s="7" t="s">
        <v>34</v>
      </c>
      <c r="S212" s="7" t="s">
        <v>34</v>
      </c>
      <c r="T212" s="7" t="s">
        <v>34</v>
      </c>
      <c r="U212" s="7" t="s">
        <v>32</v>
      </c>
      <c r="V212" s="7">
        <v>1</v>
      </c>
      <c r="W212" s="7" t="s">
        <v>32</v>
      </c>
      <c r="X212" s="7" t="s">
        <v>32</v>
      </c>
      <c r="Y212" s="7" t="s">
        <v>32</v>
      </c>
      <c r="Z212" s="7" t="s">
        <v>32</v>
      </c>
      <c r="AA212" s="7">
        <v>28341893</v>
      </c>
      <c r="AB212" s="7">
        <v>1</v>
      </c>
      <c r="AD212" s="7">
        <v>4</v>
      </c>
      <c r="AE212" s="24">
        <v>10</v>
      </c>
      <c r="AF212" s="7">
        <v>5</v>
      </c>
      <c r="AG212" s="7">
        <v>5</v>
      </c>
      <c r="AH212" s="7" t="s">
        <v>1642</v>
      </c>
      <c r="AI212" s="7" t="s">
        <v>1642</v>
      </c>
      <c r="AK212" s="7">
        <v>190</v>
      </c>
      <c r="AN212" s="7">
        <v>190</v>
      </c>
      <c r="AR212" s="7" t="s">
        <v>1637</v>
      </c>
      <c r="AS212" s="7" t="s">
        <v>1638</v>
      </c>
      <c r="AT212" s="7" t="s">
        <v>1729</v>
      </c>
      <c r="AU212" s="7" t="s">
        <v>178</v>
      </c>
      <c r="AV212" s="7" t="s">
        <v>1653</v>
      </c>
      <c r="AW212" s="7" t="s">
        <v>1687</v>
      </c>
      <c r="AX212" s="7" t="s">
        <v>2081</v>
      </c>
      <c r="AY212" s="7" t="s">
        <v>1695</v>
      </c>
      <c r="AZ212" s="7" t="s">
        <v>1650</v>
      </c>
      <c r="BA212" s="7">
        <v>268</v>
      </c>
      <c r="BB212" s="7">
        <v>261</v>
      </c>
      <c r="BC212" s="7" t="s">
        <v>2089</v>
      </c>
      <c r="BD212" s="7">
        <v>59.688400000000001</v>
      </c>
      <c r="BE212" s="7">
        <f>67.4678-BD212</f>
        <v>7.7793999999999954</v>
      </c>
      <c r="BG212" s="7" t="s">
        <v>2084</v>
      </c>
      <c r="BH212" s="7">
        <v>32.752400000000002</v>
      </c>
      <c r="BI212" s="7">
        <f>38.715-BH212</f>
        <v>5.9626000000000019</v>
      </c>
    </row>
    <row r="213" spans="1:63" x14ac:dyDescent="0.2">
      <c r="A213" s="7">
        <v>57</v>
      </c>
      <c r="B213" s="7" t="s">
        <v>1249</v>
      </c>
      <c r="C213" s="7" t="s">
        <v>1248</v>
      </c>
      <c r="D213" s="7" t="s">
        <v>1247</v>
      </c>
      <c r="E213" s="7" t="s">
        <v>1246</v>
      </c>
      <c r="F213" s="7" t="s">
        <v>1051</v>
      </c>
      <c r="G213" s="7">
        <v>2017</v>
      </c>
      <c r="H213" s="7">
        <v>42820</v>
      </c>
      <c r="I213" s="7" t="s">
        <v>32</v>
      </c>
      <c r="J213" s="7" t="s">
        <v>32</v>
      </c>
      <c r="K213" s="7" t="s">
        <v>1245</v>
      </c>
      <c r="L213" s="7">
        <v>2</v>
      </c>
      <c r="M213" s="7" t="s">
        <v>32</v>
      </c>
      <c r="N213" s="7" t="s">
        <v>34</v>
      </c>
      <c r="O213" s="7" t="s">
        <v>34</v>
      </c>
      <c r="P213" s="7" t="s">
        <v>34</v>
      </c>
      <c r="Q213" s="7" t="s">
        <v>34</v>
      </c>
      <c r="R213" s="7" t="s">
        <v>34</v>
      </c>
      <c r="S213" s="7" t="s">
        <v>34</v>
      </c>
      <c r="T213" s="7" t="s">
        <v>34</v>
      </c>
      <c r="U213" s="7" t="s">
        <v>32</v>
      </c>
      <c r="V213" s="7">
        <v>1</v>
      </c>
      <c r="W213" s="7" t="s">
        <v>32</v>
      </c>
      <c r="X213" s="7" t="s">
        <v>32</v>
      </c>
      <c r="Y213" s="7" t="s">
        <v>32</v>
      </c>
      <c r="Z213" s="7" t="s">
        <v>32</v>
      </c>
      <c r="AA213" s="7">
        <v>28341893</v>
      </c>
      <c r="AB213" s="7">
        <v>1</v>
      </c>
      <c r="AD213" s="7">
        <v>4</v>
      </c>
      <c r="AE213" s="24">
        <v>10</v>
      </c>
      <c r="AF213" s="7">
        <v>5</v>
      </c>
      <c r="AG213" s="7">
        <v>5</v>
      </c>
      <c r="AH213" s="7" t="s">
        <v>1642</v>
      </c>
      <c r="AI213" s="7" t="s">
        <v>1642</v>
      </c>
      <c r="AK213" s="7">
        <v>190</v>
      </c>
      <c r="AN213" s="7">
        <v>190</v>
      </c>
      <c r="AR213" s="7" t="s">
        <v>1637</v>
      </c>
      <c r="AS213" s="7" t="s">
        <v>1638</v>
      </c>
      <c r="AT213" s="7" t="s">
        <v>1729</v>
      </c>
      <c r="AU213" s="7" t="s">
        <v>178</v>
      </c>
      <c r="AV213" s="7" t="s">
        <v>2095</v>
      </c>
      <c r="AW213" s="7" t="s">
        <v>1687</v>
      </c>
      <c r="AX213" s="7" t="s">
        <v>2081</v>
      </c>
      <c r="AY213" s="7" t="s">
        <v>1695</v>
      </c>
      <c r="AZ213" s="7" t="s">
        <v>1650</v>
      </c>
      <c r="BA213" s="7">
        <v>268</v>
      </c>
      <c r="BB213" s="7">
        <v>261</v>
      </c>
      <c r="BC213" s="7" t="s">
        <v>2090</v>
      </c>
      <c r="BD213" s="7">
        <v>52.970799999999997</v>
      </c>
      <c r="BE213" s="7">
        <f>60.005-BD213</f>
        <v>7.0342000000000056</v>
      </c>
      <c r="BG213" s="7" t="s">
        <v>2085</v>
      </c>
      <c r="BH213" s="7">
        <v>27.106400000000001</v>
      </c>
      <c r="BI213" s="7">
        <f>31.3921-BH213</f>
        <v>4.2856999999999985</v>
      </c>
    </row>
    <row r="214" spans="1:63" x14ac:dyDescent="0.2">
      <c r="A214" s="7">
        <v>57</v>
      </c>
      <c r="B214" s="7" t="s">
        <v>1249</v>
      </c>
      <c r="C214" s="7" t="s">
        <v>1248</v>
      </c>
      <c r="D214" s="7" t="s">
        <v>1247</v>
      </c>
      <c r="E214" s="7" t="s">
        <v>1246</v>
      </c>
      <c r="F214" s="7" t="s">
        <v>1051</v>
      </c>
      <c r="G214" s="7">
        <v>2017</v>
      </c>
      <c r="H214" s="7">
        <v>42820</v>
      </c>
      <c r="I214" s="7" t="s">
        <v>32</v>
      </c>
      <c r="J214" s="7" t="s">
        <v>32</v>
      </c>
      <c r="K214" s="7" t="s">
        <v>1245</v>
      </c>
      <c r="L214" s="7">
        <v>2</v>
      </c>
      <c r="M214" s="7" t="s">
        <v>32</v>
      </c>
      <c r="N214" s="7" t="s">
        <v>34</v>
      </c>
      <c r="O214" s="7" t="s">
        <v>34</v>
      </c>
      <c r="P214" s="7" t="s">
        <v>34</v>
      </c>
      <c r="Q214" s="7" t="s">
        <v>34</v>
      </c>
      <c r="R214" s="7" t="s">
        <v>34</v>
      </c>
      <c r="S214" s="7" t="s">
        <v>34</v>
      </c>
      <c r="T214" s="7" t="s">
        <v>34</v>
      </c>
      <c r="U214" s="7" t="s">
        <v>32</v>
      </c>
      <c r="V214" s="7">
        <v>1</v>
      </c>
      <c r="W214" s="7" t="s">
        <v>32</v>
      </c>
      <c r="X214" s="7" t="s">
        <v>32</v>
      </c>
      <c r="Y214" s="7" t="s">
        <v>32</v>
      </c>
      <c r="Z214" s="7" t="s">
        <v>32</v>
      </c>
      <c r="AA214" s="7">
        <v>28341893</v>
      </c>
      <c r="AB214" s="7">
        <v>1</v>
      </c>
      <c r="AD214" s="7">
        <v>4</v>
      </c>
      <c r="AE214" s="24">
        <v>10</v>
      </c>
      <c r="AF214" s="7">
        <v>5</v>
      </c>
      <c r="AG214" s="7">
        <v>5</v>
      </c>
      <c r="AH214" s="7" t="s">
        <v>1642</v>
      </c>
      <c r="AI214" s="7" t="s">
        <v>1642</v>
      </c>
      <c r="AK214" s="7">
        <v>190</v>
      </c>
      <c r="AN214" s="7">
        <v>190</v>
      </c>
      <c r="AR214" s="7" t="s">
        <v>1637</v>
      </c>
      <c r="AS214" s="7" t="s">
        <v>1638</v>
      </c>
      <c r="AT214" s="7" t="s">
        <v>1729</v>
      </c>
      <c r="AU214" s="7" t="s">
        <v>178</v>
      </c>
      <c r="AV214" s="7" t="s">
        <v>1718</v>
      </c>
      <c r="AW214" s="7" t="s">
        <v>1687</v>
      </c>
      <c r="AX214" s="7" t="s">
        <v>2081</v>
      </c>
      <c r="AY214" s="7" t="s">
        <v>1695</v>
      </c>
      <c r="AZ214" s="7" t="s">
        <v>1650</v>
      </c>
      <c r="BA214" s="7">
        <v>268</v>
      </c>
      <c r="BB214" s="7">
        <v>261</v>
      </c>
      <c r="BC214" s="7" t="s">
        <v>2091</v>
      </c>
      <c r="BD214" s="7">
        <v>42.060899999999997</v>
      </c>
      <c r="BE214" s="7">
        <f>47.6975-BD214</f>
        <v>5.6366000000000014</v>
      </c>
      <c r="BG214" s="7" t="s">
        <v>2086</v>
      </c>
      <c r="BH214" s="7">
        <v>23.851600000000001</v>
      </c>
      <c r="BI214" s="7">
        <f>28.9445-BH214</f>
        <v>5.0929000000000002</v>
      </c>
    </row>
    <row r="215" spans="1:63" x14ac:dyDescent="0.2">
      <c r="A215" s="7">
        <v>57</v>
      </c>
      <c r="B215" s="7" t="s">
        <v>1249</v>
      </c>
      <c r="C215" s="7" t="s">
        <v>1248</v>
      </c>
      <c r="D215" s="7" t="s">
        <v>1247</v>
      </c>
      <c r="E215" s="7" t="s">
        <v>1246</v>
      </c>
      <c r="F215" s="7" t="s">
        <v>1051</v>
      </c>
      <c r="G215" s="7">
        <v>2017</v>
      </c>
      <c r="H215" s="7">
        <v>42820</v>
      </c>
      <c r="I215" s="7" t="s">
        <v>32</v>
      </c>
      <c r="J215" s="7" t="s">
        <v>32</v>
      </c>
      <c r="K215" s="7" t="s">
        <v>1245</v>
      </c>
      <c r="L215" s="7">
        <v>2</v>
      </c>
      <c r="M215" s="7" t="s">
        <v>32</v>
      </c>
      <c r="N215" s="7" t="s">
        <v>34</v>
      </c>
      <c r="O215" s="7" t="s">
        <v>34</v>
      </c>
      <c r="P215" s="7" t="s">
        <v>2082</v>
      </c>
      <c r="Q215" s="7" t="s">
        <v>34</v>
      </c>
      <c r="R215" s="7" t="s">
        <v>34</v>
      </c>
      <c r="S215" s="7" t="s">
        <v>34</v>
      </c>
      <c r="T215" s="7" t="s">
        <v>34</v>
      </c>
      <c r="U215" s="7" t="s">
        <v>32</v>
      </c>
      <c r="V215" s="7">
        <v>1</v>
      </c>
      <c r="W215" s="7" t="s">
        <v>32</v>
      </c>
      <c r="X215" s="7" t="s">
        <v>32</v>
      </c>
      <c r="Y215" s="7" t="s">
        <v>32</v>
      </c>
      <c r="Z215" s="7" t="s">
        <v>32</v>
      </c>
      <c r="AA215" s="7">
        <v>28341893</v>
      </c>
      <c r="AB215" s="7">
        <v>1</v>
      </c>
      <c r="AD215" s="7">
        <v>4</v>
      </c>
      <c r="AE215" s="24">
        <v>10</v>
      </c>
      <c r="AF215" s="7">
        <v>5</v>
      </c>
      <c r="AG215" s="7">
        <v>5</v>
      </c>
      <c r="AH215" s="7" t="s">
        <v>1642</v>
      </c>
      <c r="AI215" s="7" t="s">
        <v>1642</v>
      </c>
      <c r="AK215" s="7">
        <v>190</v>
      </c>
      <c r="AN215" s="7">
        <v>190</v>
      </c>
      <c r="AR215" s="7" t="s">
        <v>1637</v>
      </c>
      <c r="AS215" s="7" t="s">
        <v>1638</v>
      </c>
      <c r="AT215" s="7" t="s">
        <v>1729</v>
      </c>
      <c r="AU215" s="7" t="s">
        <v>178</v>
      </c>
      <c r="AV215" s="7" t="s">
        <v>1876</v>
      </c>
      <c r="AW215" s="7" t="s">
        <v>1687</v>
      </c>
      <c r="AX215" s="7" t="s">
        <v>2081</v>
      </c>
      <c r="AY215" s="7" t="s">
        <v>1695</v>
      </c>
      <c r="AZ215" s="7" t="s">
        <v>1650</v>
      </c>
      <c r="BA215" s="7">
        <v>268</v>
      </c>
      <c r="BB215" s="7">
        <v>261</v>
      </c>
      <c r="BC215" s="7" t="s">
        <v>2092</v>
      </c>
      <c r="BD215" s="7">
        <v>38.8371</v>
      </c>
      <c r="BE215" s="7">
        <f>44.1943-BD215</f>
        <v>5.3571999999999989</v>
      </c>
      <c r="BG215" s="7" t="s">
        <v>2087</v>
      </c>
      <c r="BH215" s="7">
        <v>22.895</v>
      </c>
      <c r="BI215" s="7">
        <f>26.3732-BH215</f>
        <v>3.4782000000000011</v>
      </c>
    </row>
    <row r="216" spans="1:63" x14ac:dyDescent="0.2">
      <c r="A216" s="7">
        <v>57</v>
      </c>
      <c r="B216" s="7" t="s">
        <v>1249</v>
      </c>
      <c r="C216" s="7" t="s">
        <v>1248</v>
      </c>
      <c r="D216" s="7" t="s">
        <v>1247</v>
      </c>
      <c r="E216" s="7" t="s">
        <v>1246</v>
      </c>
      <c r="F216" s="7" t="s">
        <v>1051</v>
      </c>
      <c r="G216" s="7">
        <v>2017</v>
      </c>
      <c r="H216" s="7">
        <v>42820</v>
      </c>
      <c r="I216" s="7" t="s">
        <v>32</v>
      </c>
      <c r="J216" s="7" t="s">
        <v>32</v>
      </c>
      <c r="K216" s="7" t="s">
        <v>1245</v>
      </c>
      <c r="L216" s="7">
        <v>2</v>
      </c>
      <c r="M216" s="7" t="s">
        <v>32</v>
      </c>
      <c r="N216" s="7" t="s">
        <v>34</v>
      </c>
      <c r="O216" s="7" t="s">
        <v>34</v>
      </c>
      <c r="P216" s="7" t="s">
        <v>34</v>
      </c>
      <c r="Q216" s="7" t="s">
        <v>34</v>
      </c>
      <c r="R216" s="7" t="s">
        <v>34</v>
      </c>
      <c r="S216" s="7" t="s">
        <v>34</v>
      </c>
      <c r="T216" s="7" t="s">
        <v>34</v>
      </c>
      <c r="U216" s="7" t="s">
        <v>32</v>
      </c>
      <c r="V216" s="7">
        <v>1</v>
      </c>
      <c r="W216" s="7" t="s">
        <v>32</v>
      </c>
      <c r="X216" s="7" t="s">
        <v>32</v>
      </c>
      <c r="Y216" s="7" t="s">
        <v>32</v>
      </c>
      <c r="Z216" s="7" t="s">
        <v>32</v>
      </c>
      <c r="AA216" s="7">
        <v>28341893</v>
      </c>
      <c r="AB216" s="7">
        <v>1</v>
      </c>
      <c r="AD216" s="7">
        <v>4</v>
      </c>
      <c r="AE216" s="24">
        <v>10</v>
      </c>
      <c r="AF216" s="7">
        <v>5</v>
      </c>
      <c r="AG216" s="7">
        <v>5</v>
      </c>
      <c r="AH216" s="7" t="s">
        <v>1642</v>
      </c>
      <c r="AI216" s="7" t="s">
        <v>1642</v>
      </c>
      <c r="AK216" s="7">
        <v>190</v>
      </c>
      <c r="AN216" s="7">
        <v>190</v>
      </c>
      <c r="AR216" s="7" t="s">
        <v>1637</v>
      </c>
      <c r="AS216" s="7" t="s">
        <v>1638</v>
      </c>
      <c r="AT216" s="7" t="s">
        <v>1729</v>
      </c>
      <c r="AU216" s="7" t="s">
        <v>178</v>
      </c>
      <c r="AV216" s="7" t="s">
        <v>1723</v>
      </c>
      <c r="AW216" s="7" t="s">
        <v>1687</v>
      </c>
      <c r="AX216" s="7" t="s">
        <v>2081</v>
      </c>
      <c r="AY216" s="7" t="s">
        <v>2010</v>
      </c>
      <c r="AZ216" s="7" t="s">
        <v>1650</v>
      </c>
      <c r="BA216" s="7">
        <v>268</v>
      </c>
      <c r="BB216" s="7">
        <v>261</v>
      </c>
      <c r="BC216" s="7" t="s">
        <v>2093</v>
      </c>
      <c r="BD216" s="7">
        <v>24.65</v>
      </c>
      <c r="BE216" s="7">
        <v>4.1500000000000004</v>
      </c>
      <c r="BG216" s="7" t="s">
        <v>2094</v>
      </c>
      <c r="BH216" s="7">
        <v>52.38</v>
      </c>
      <c r="BI216" s="7">
        <v>5.22</v>
      </c>
    </row>
    <row r="217" spans="1:63" s="20" customFormat="1" x14ac:dyDescent="0.2">
      <c r="A217" s="20">
        <v>58</v>
      </c>
      <c r="B217" s="20" t="s">
        <v>1244</v>
      </c>
      <c r="C217" s="20" t="s">
        <v>1243</v>
      </c>
      <c r="D217" s="20" t="s">
        <v>1242</v>
      </c>
      <c r="E217" s="20" t="s">
        <v>1241</v>
      </c>
      <c r="F217" s="20" t="s">
        <v>1051</v>
      </c>
      <c r="G217" s="20">
        <v>2017</v>
      </c>
      <c r="H217" s="20">
        <v>42784</v>
      </c>
      <c r="I217" s="20" t="s">
        <v>32</v>
      </c>
      <c r="J217" s="20" t="s">
        <v>32</v>
      </c>
      <c r="K217" s="20" t="s">
        <v>1240</v>
      </c>
      <c r="L217" s="20">
        <v>2</v>
      </c>
      <c r="M217" s="20" t="s">
        <v>32</v>
      </c>
      <c r="N217" s="20" t="s">
        <v>34</v>
      </c>
      <c r="O217" s="20" t="s">
        <v>34</v>
      </c>
      <c r="P217" s="20" t="s">
        <v>34</v>
      </c>
      <c r="Q217" s="20" t="s">
        <v>34</v>
      </c>
      <c r="R217" s="20" t="s">
        <v>34</v>
      </c>
      <c r="S217" s="20" t="s">
        <v>34</v>
      </c>
      <c r="T217" s="20" t="s">
        <v>34</v>
      </c>
      <c r="U217" s="20" t="s">
        <v>32</v>
      </c>
      <c r="V217" s="20">
        <v>1</v>
      </c>
      <c r="W217" s="20" t="s">
        <v>32</v>
      </c>
      <c r="X217" s="20" t="s">
        <v>32</v>
      </c>
      <c r="Y217" s="20" t="s">
        <v>32</v>
      </c>
      <c r="Z217" s="20" t="s">
        <v>32</v>
      </c>
      <c r="AA217" s="20">
        <v>28210980</v>
      </c>
      <c r="AB217" s="20">
        <v>0</v>
      </c>
      <c r="AC217" s="20" t="s">
        <v>3881</v>
      </c>
      <c r="AD217" s="20">
        <v>4</v>
      </c>
      <c r="AE217" s="26">
        <v>40</v>
      </c>
      <c r="AF217" s="20">
        <v>20</v>
      </c>
      <c r="AG217" s="20">
        <v>20</v>
      </c>
      <c r="AH217" s="20" t="s">
        <v>1642</v>
      </c>
      <c r="AI217" s="20" t="s">
        <v>1642</v>
      </c>
      <c r="AK217" s="20">
        <v>165</v>
      </c>
      <c r="AN217" s="20">
        <v>165</v>
      </c>
      <c r="AR217" s="20" t="s">
        <v>1637</v>
      </c>
      <c r="AS217" s="20" t="s">
        <v>1638</v>
      </c>
      <c r="AT217" s="20" t="s">
        <v>1729</v>
      </c>
      <c r="AU217" s="20" t="s">
        <v>178</v>
      </c>
      <c r="AV217" s="20" t="s">
        <v>2096</v>
      </c>
      <c r="AW217" s="20" t="s">
        <v>1687</v>
      </c>
      <c r="AX217" s="20" t="s">
        <v>2081</v>
      </c>
      <c r="AY217" s="20" t="s">
        <v>1695</v>
      </c>
      <c r="AZ217" s="20" t="s">
        <v>1650</v>
      </c>
      <c r="BA217" s="20">
        <v>269</v>
      </c>
      <c r="BB217" s="20">
        <v>262</v>
      </c>
      <c r="BC217" s="20" t="s">
        <v>2088</v>
      </c>
      <c r="BG217" s="20" t="s">
        <v>2083</v>
      </c>
      <c r="BK217" s="41" t="s">
        <v>2590</v>
      </c>
    </row>
    <row r="218" spans="1:63" x14ac:dyDescent="0.2">
      <c r="A218" s="7">
        <v>59</v>
      </c>
      <c r="B218" s="7" t="s">
        <v>1239</v>
      </c>
      <c r="C218" s="7" t="s">
        <v>1238</v>
      </c>
      <c r="D218" s="7" t="s">
        <v>1237</v>
      </c>
      <c r="E218" s="7" t="s">
        <v>1236</v>
      </c>
      <c r="F218" s="7" t="s">
        <v>167</v>
      </c>
      <c r="G218" s="7">
        <v>2017</v>
      </c>
      <c r="H218" s="7">
        <v>42771</v>
      </c>
      <c r="I218" s="7" t="s">
        <v>32</v>
      </c>
      <c r="J218" s="7" t="s">
        <v>32</v>
      </c>
      <c r="K218" s="7" t="s">
        <v>1235</v>
      </c>
      <c r="L218" s="7">
        <v>2</v>
      </c>
      <c r="M218" s="7" t="s">
        <v>1234</v>
      </c>
      <c r="N218" s="7" t="s">
        <v>34</v>
      </c>
      <c r="O218" s="7" t="s">
        <v>34</v>
      </c>
      <c r="P218" s="7" t="s">
        <v>34</v>
      </c>
      <c r="Q218" s="7" t="s">
        <v>34</v>
      </c>
      <c r="R218" s="7" t="s">
        <v>739</v>
      </c>
      <c r="S218" s="7" t="s">
        <v>34</v>
      </c>
      <c r="T218" s="7" t="s">
        <v>34</v>
      </c>
      <c r="U218" s="7" t="s">
        <v>34</v>
      </c>
      <c r="V218" s="7">
        <v>1</v>
      </c>
      <c r="W218" s="7" t="s">
        <v>178</v>
      </c>
      <c r="X218" s="7">
        <v>1</v>
      </c>
      <c r="Y218" s="7" t="s">
        <v>909</v>
      </c>
      <c r="Z218" s="7" t="s">
        <v>1233</v>
      </c>
      <c r="AA218" s="7">
        <v>28159589</v>
      </c>
      <c r="AB218" s="7">
        <v>1</v>
      </c>
      <c r="AD218" s="7">
        <v>5</v>
      </c>
      <c r="AE218" s="24">
        <v>29</v>
      </c>
      <c r="AF218" s="7">
        <v>14.5</v>
      </c>
      <c r="AG218" s="7">
        <v>14.5</v>
      </c>
      <c r="AH218" s="7" t="s">
        <v>1642</v>
      </c>
      <c r="AI218" s="7" t="s">
        <v>1642</v>
      </c>
      <c r="AJ218" s="7" t="s">
        <v>1896</v>
      </c>
      <c r="AM218" s="7" t="s">
        <v>1896</v>
      </c>
      <c r="AR218" s="7" t="s">
        <v>1675</v>
      </c>
      <c r="AS218" s="7" t="s">
        <v>1878</v>
      </c>
      <c r="AT218" s="7" t="s">
        <v>1856</v>
      </c>
      <c r="AU218" s="7" t="s">
        <v>178</v>
      </c>
      <c r="AV218" s="7" t="s">
        <v>1689</v>
      </c>
      <c r="AW218" s="7" t="s">
        <v>1678</v>
      </c>
      <c r="AX218" s="7" t="s">
        <v>2098</v>
      </c>
      <c r="AY218" s="7" t="s">
        <v>2099</v>
      </c>
      <c r="AZ218" s="7" t="s">
        <v>1650</v>
      </c>
      <c r="BA218" s="7">
        <v>270</v>
      </c>
      <c r="BB218" s="7">
        <v>263</v>
      </c>
      <c r="BC218" s="7" t="s">
        <v>2102</v>
      </c>
      <c r="BD218" s="7">
        <v>27.494</v>
      </c>
      <c r="BF218" s="7">
        <f>30.7399-BD218</f>
        <v>3.2458999999999989</v>
      </c>
      <c r="BG218" s="7" t="s">
        <v>2103</v>
      </c>
      <c r="BH218" s="7">
        <v>33.1265</v>
      </c>
      <c r="BJ218" s="7">
        <f>35.4177-BH218</f>
        <v>2.2912000000000035</v>
      </c>
    </row>
    <row r="219" spans="1:63" x14ac:dyDescent="0.2">
      <c r="A219" s="7">
        <v>59</v>
      </c>
      <c r="B219" s="7" t="s">
        <v>1239</v>
      </c>
      <c r="C219" s="7" t="s">
        <v>1238</v>
      </c>
      <c r="D219" s="7" t="s">
        <v>1237</v>
      </c>
      <c r="E219" s="7" t="s">
        <v>1236</v>
      </c>
      <c r="F219" s="7" t="s">
        <v>167</v>
      </c>
      <c r="G219" s="7">
        <v>2017</v>
      </c>
      <c r="H219" s="7">
        <v>42771</v>
      </c>
      <c r="I219" s="7" t="s">
        <v>32</v>
      </c>
      <c r="J219" s="7" t="s">
        <v>32</v>
      </c>
      <c r="K219" s="7" t="s">
        <v>1235</v>
      </c>
      <c r="L219" s="7">
        <v>2</v>
      </c>
      <c r="M219" s="7" t="s">
        <v>1234</v>
      </c>
      <c r="N219" s="7" t="s">
        <v>34</v>
      </c>
      <c r="O219" s="7" t="s">
        <v>34</v>
      </c>
      <c r="P219" s="7" t="s">
        <v>34</v>
      </c>
      <c r="Q219" s="7" t="s">
        <v>34</v>
      </c>
      <c r="R219" s="7" t="s">
        <v>739</v>
      </c>
      <c r="S219" s="7" t="s">
        <v>34</v>
      </c>
      <c r="T219" s="7" t="s">
        <v>34</v>
      </c>
      <c r="U219" s="7" t="s">
        <v>34</v>
      </c>
      <c r="V219" s="7">
        <v>1</v>
      </c>
      <c r="W219" s="7" t="s">
        <v>178</v>
      </c>
      <c r="X219" s="7">
        <v>1</v>
      </c>
      <c r="Y219" s="7" t="s">
        <v>909</v>
      </c>
      <c r="Z219" s="7" t="s">
        <v>1233</v>
      </c>
      <c r="AA219" s="7">
        <v>28159589</v>
      </c>
      <c r="AB219" s="7">
        <v>1</v>
      </c>
      <c r="AD219" s="7">
        <v>5</v>
      </c>
      <c r="AE219" s="24">
        <v>29</v>
      </c>
      <c r="AF219" s="7">
        <v>14.5</v>
      </c>
      <c r="AG219" s="7">
        <v>14.5</v>
      </c>
      <c r="AH219" s="7" t="s">
        <v>1642</v>
      </c>
      <c r="AI219" s="7" t="s">
        <v>1642</v>
      </c>
      <c r="AJ219" s="7" t="s">
        <v>1896</v>
      </c>
      <c r="AM219" s="7" t="s">
        <v>1896</v>
      </c>
      <c r="AR219" s="7" t="s">
        <v>1675</v>
      </c>
      <c r="AS219" s="7" t="s">
        <v>1878</v>
      </c>
      <c r="AT219" s="7" t="s">
        <v>1856</v>
      </c>
      <c r="AU219" s="7" t="s">
        <v>178</v>
      </c>
      <c r="AV219" s="7" t="s">
        <v>1689</v>
      </c>
      <c r="AW219" s="7" t="s">
        <v>1678</v>
      </c>
      <c r="AX219" s="7" t="s">
        <v>2098</v>
      </c>
      <c r="AY219" s="7" t="s">
        <v>2016</v>
      </c>
      <c r="AZ219" s="7" t="s">
        <v>1650</v>
      </c>
      <c r="BA219" s="7">
        <v>270</v>
      </c>
      <c r="BB219" s="7">
        <v>263</v>
      </c>
      <c r="BC219" s="7" t="s">
        <v>2100</v>
      </c>
      <c r="BD219" s="7">
        <v>103.941</v>
      </c>
      <c r="BF219" s="7">
        <f>122.167-BD219</f>
        <v>18.225999999999999</v>
      </c>
      <c r="BG219" s="7" t="s">
        <v>2104</v>
      </c>
      <c r="BH219" s="7">
        <v>133.005</v>
      </c>
      <c r="BJ219" s="7">
        <f>146.798-BH219</f>
        <v>13.793000000000006</v>
      </c>
    </row>
    <row r="220" spans="1:63" x14ac:dyDescent="0.2">
      <c r="A220" s="7">
        <v>59</v>
      </c>
      <c r="B220" s="7" t="s">
        <v>1239</v>
      </c>
      <c r="C220" s="7" t="s">
        <v>1238</v>
      </c>
      <c r="D220" s="7" t="s">
        <v>1237</v>
      </c>
      <c r="E220" s="7" t="s">
        <v>1236</v>
      </c>
      <c r="F220" s="7" t="s">
        <v>167</v>
      </c>
      <c r="G220" s="7">
        <v>2017</v>
      </c>
      <c r="H220" s="7">
        <v>42771</v>
      </c>
      <c r="I220" s="7" t="s">
        <v>32</v>
      </c>
      <c r="J220" s="7" t="s">
        <v>32</v>
      </c>
      <c r="K220" s="7" t="s">
        <v>1235</v>
      </c>
      <c r="L220" s="7">
        <v>2</v>
      </c>
      <c r="M220" s="7" t="s">
        <v>1234</v>
      </c>
      <c r="N220" s="7" t="s">
        <v>34</v>
      </c>
      <c r="O220" s="7" t="s">
        <v>34</v>
      </c>
      <c r="P220" s="7" t="s">
        <v>34</v>
      </c>
      <c r="Q220" s="7" t="s">
        <v>34</v>
      </c>
      <c r="R220" s="7" t="s">
        <v>739</v>
      </c>
      <c r="S220" s="7" t="s">
        <v>34</v>
      </c>
      <c r="T220" s="7" t="s">
        <v>34</v>
      </c>
      <c r="U220" s="7" t="s">
        <v>34</v>
      </c>
      <c r="V220" s="7">
        <v>1</v>
      </c>
      <c r="W220" s="7" t="s">
        <v>178</v>
      </c>
      <c r="X220" s="7">
        <v>1</v>
      </c>
      <c r="Y220" s="7" t="s">
        <v>909</v>
      </c>
      <c r="Z220" s="7" t="s">
        <v>1233</v>
      </c>
      <c r="AA220" s="7">
        <v>28159589</v>
      </c>
      <c r="AB220" s="7">
        <v>1</v>
      </c>
      <c r="AD220" s="7">
        <v>5</v>
      </c>
      <c r="AE220" s="24">
        <v>29</v>
      </c>
      <c r="AF220" s="7">
        <v>14.5</v>
      </c>
      <c r="AG220" s="7">
        <v>14.5</v>
      </c>
      <c r="AH220" s="7" t="s">
        <v>1642</v>
      </c>
      <c r="AI220" s="7" t="s">
        <v>1642</v>
      </c>
      <c r="AJ220" s="7" t="s">
        <v>1896</v>
      </c>
      <c r="AM220" s="7" t="s">
        <v>1896</v>
      </c>
      <c r="AR220" s="7" t="s">
        <v>1675</v>
      </c>
      <c r="AS220" s="7" t="s">
        <v>1878</v>
      </c>
      <c r="AT220" s="7" t="s">
        <v>1856</v>
      </c>
      <c r="AU220" s="7" t="s">
        <v>178</v>
      </c>
      <c r="AV220" s="7" t="s">
        <v>1689</v>
      </c>
      <c r="AW220" s="7" t="s">
        <v>1678</v>
      </c>
      <c r="AX220" s="7" t="s">
        <v>2098</v>
      </c>
      <c r="AY220" s="7" t="s">
        <v>1900</v>
      </c>
      <c r="AZ220" s="7" t="s">
        <v>1650</v>
      </c>
      <c r="BA220" s="7">
        <v>270</v>
      </c>
      <c r="BB220" s="7">
        <v>263</v>
      </c>
      <c r="BC220" s="7" t="s">
        <v>2101</v>
      </c>
      <c r="BD220" s="7">
        <v>11.324999999999999</v>
      </c>
      <c r="BF220" s="7">
        <f>15.6198-BD220</f>
        <v>4.2948000000000004</v>
      </c>
      <c r="BG220" s="7" t="s">
        <v>2105</v>
      </c>
      <c r="BH220" s="7">
        <v>5.4087800000000001</v>
      </c>
      <c r="BJ220" s="7">
        <f>7.03524-BH220</f>
        <v>1.6264599999999998</v>
      </c>
    </row>
    <row r="221" spans="1:63" s="21" customFormat="1" x14ac:dyDescent="0.2">
      <c r="A221" s="21">
        <v>60</v>
      </c>
      <c r="B221" s="21" t="s">
        <v>1232</v>
      </c>
      <c r="C221" s="21" t="s">
        <v>1231</v>
      </c>
      <c r="D221" s="21" t="s">
        <v>1230</v>
      </c>
      <c r="E221" s="21" t="s">
        <v>1229</v>
      </c>
      <c r="F221" s="21" t="s">
        <v>1228</v>
      </c>
      <c r="G221" s="21">
        <v>2017</v>
      </c>
      <c r="H221" s="21">
        <v>42732</v>
      </c>
      <c r="I221" s="21" t="s">
        <v>32</v>
      </c>
      <c r="J221" s="21" t="s">
        <v>32</v>
      </c>
      <c r="K221" s="21" t="s">
        <v>1227</v>
      </c>
      <c r="L221" s="21">
        <v>2</v>
      </c>
      <c r="M221" s="21" t="s">
        <v>32</v>
      </c>
      <c r="N221" s="21" t="s">
        <v>34</v>
      </c>
      <c r="O221" s="21" t="s">
        <v>34</v>
      </c>
      <c r="P221" s="21" t="s">
        <v>34</v>
      </c>
      <c r="Q221" s="21" t="s">
        <v>34</v>
      </c>
      <c r="R221" s="21" t="s">
        <v>1226</v>
      </c>
      <c r="S221" s="21" t="s">
        <v>34</v>
      </c>
      <c r="T221" s="21" t="s">
        <v>34</v>
      </c>
      <c r="U221" s="21" t="s">
        <v>34</v>
      </c>
      <c r="V221" s="21">
        <v>1</v>
      </c>
      <c r="W221" s="21" t="s">
        <v>1225</v>
      </c>
      <c r="X221" s="21">
        <v>1</v>
      </c>
      <c r="Y221" s="21" t="s">
        <v>1224</v>
      </c>
      <c r="Z221" s="21" t="s">
        <v>1223</v>
      </c>
      <c r="AA221" s="21">
        <v>28025114</v>
      </c>
      <c r="AB221" s="21">
        <v>1</v>
      </c>
      <c r="AD221" s="21">
        <v>5</v>
      </c>
      <c r="AE221" s="23">
        <v>37</v>
      </c>
      <c r="AF221" s="21">
        <v>19</v>
      </c>
      <c r="AG221" s="21">
        <v>18</v>
      </c>
      <c r="AH221" s="21" t="s">
        <v>1642</v>
      </c>
      <c r="AI221" s="21" t="s">
        <v>1642</v>
      </c>
      <c r="AJ221" s="21" t="s">
        <v>1867</v>
      </c>
      <c r="AM221" s="21" t="s">
        <v>1867</v>
      </c>
      <c r="AP221" s="21">
        <v>5</v>
      </c>
      <c r="AQ221" s="21" t="s">
        <v>2106</v>
      </c>
      <c r="AR221" s="21" t="s">
        <v>1637</v>
      </c>
      <c r="AS221" s="21" t="s">
        <v>1878</v>
      </c>
      <c r="AT221" s="21" t="s">
        <v>1856</v>
      </c>
      <c r="AU221" s="21" t="s">
        <v>34</v>
      </c>
      <c r="AV221" s="21" t="s">
        <v>1641</v>
      </c>
      <c r="AW221" s="21" t="s">
        <v>1639</v>
      </c>
      <c r="AX221" t="s">
        <v>2107</v>
      </c>
      <c r="AY221" t="s">
        <v>1663</v>
      </c>
      <c r="AZ221" t="s">
        <v>1768</v>
      </c>
      <c r="BA221">
        <v>271</v>
      </c>
      <c r="BB221">
        <v>264</v>
      </c>
      <c r="BC221" s="21" t="s">
        <v>2109</v>
      </c>
      <c r="BD221" s="21">
        <v>64.739500000000007</v>
      </c>
      <c r="BF221" s="21">
        <f>73.1641-BD221</f>
        <v>8.4245999999999981</v>
      </c>
      <c r="BG221" s="21" t="s">
        <v>2111</v>
      </c>
      <c r="BH221" s="21">
        <v>74.969700000000003</v>
      </c>
      <c r="BJ221" s="21">
        <f>85.0381-BH221</f>
        <v>10.068399999999997</v>
      </c>
      <c r="BK221" s="40" t="s">
        <v>2119</v>
      </c>
    </row>
    <row r="222" spans="1:63" s="21" customFormat="1" x14ac:dyDescent="0.2">
      <c r="A222" s="21">
        <v>60</v>
      </c>
      <c r="B222" s="21" t="s">
        <v>1232</v>
      </c>
      <c r="C222" s="21" t="s">
        <v>1231</v>
      </c>
      <c r="D222" s="21" t="s">
        <v>1230</v>
      </c>
      <c r="E222" s="21" t="s">
        <v>1229</v>
      </c>
      <c r="F222" s="21" t="s">
        <v>1228</v>
      </c>
      <c r="G222" s="21">
        <v>2017</v>
      </c>
      <c r="H222" s="21">
        <v>42732</v>
      </c>
      <c r="I222" s="21" t="s">
        <v>32</v>
      </c>
      <c r="J222" s="21" t="s">
        <v>32</v>
      </c>
      <c r="K222" s="21" t="s">
        <v>1227</v>
      </c>
      <c r="L222" s="21">
        <v>2</v>
      </c>
      <c r="M222" s="21" t="s">
        <v>32</v>
      </c>
      <c r="N222" s="21" t="s">
        <v>34</v>
      </c>
      <c r="O222" s="21" t="s">
        <v>34</v>
      </c>
      <c r="P222" s="21" t="s">
        <v>34</v>
      </c>
      <c r="Q222" s="21" t="s">
        <v>34</v>
      </c>
      <c r="R222" s="21" t="s">
        <v>1226</v>
      </c>
      <c r="S222" s="21" t="s">
        <v>34</v>
      </c>
      <c r="T222" s="21" t="s">
        <v>34</v>
      </c>
      <c r="U222" s="21" t="s">
        <v>34</v>
      </c>
      <c r="V222" s="21">
        <v>1</v>
      </c>
      <c r="W222" s="21" t="s">
        <v>1225</v>
      </c>
      <c r="X222" s="21">
        <v>1</v>
      </c>
      <c r="Y222" s="21" t="s">
        <v>1224</v>
      </c>
      <c r="Z222" s="21" t="s">
        <v>1223</v>
      </c>
      <c r="AA222" s="21">
        <v>28025114</v>
      </c>
      <c r="AB222" s="21">
        <v>1</v>
      </c>
      <c r="AD222" s="21">
        <v>5</v>
      </c>
      <c r="AE222" s="23">
        <v>37</v>
      </c>
      <c r="AF222" s="21">
        <v>19</v>
      </c>
      <c r="AG222" s="21">
        <v>18</v>
      </c>
      <c r="AH222" s="21" t="s">
        <v>1642</v>
      </c>
      <c r="AI222" s="21" t="s">
        <v>1642</v>
      </c>
      <c r="AJ222" s="21" t="s">
        <v>1867</v>
      </c>
      <c r="AM222" s="21" t="s">
        <v>1867</v>
      </c>
      <c r="AP222" s="21">
        <v>5</v>
      </c>
      <c r="AQ222" s="21" t="s">
        <v>2106</v>
      </c>
      <c r="AR222" s="21" t="s">
        <v>1637</v>
      </c>
      <c r="AS222" s="21" t="s">
        <v>1878</v>
      </c>
      <c r="AT222" s="21" t="s">
        <v>1856</v>
      </c>
      <c r="AU222" s="21" t="s">
        <v>34</v>
      </c>
      <c r="AV222" s="21" t="s">
        <v>1641</v>
      </c>
      <c r="AW222" s="21" t="s">
        <v>1639</v>
      </c>
      <c r="AX222" t="s">
        <v>2107</v>
      </c>
      <c r="AY222" t="s">
        <v>1663</v>
      </c>
      <c r="AZ222" t="s">
        <v>1768</v>
      </c>
      <c r="BA222">
        <v>271</v>
      </c>
      <c r="BB222">
        <v>265</v>
      </c>
      <c r="BC222" s="21" t="s">
        <v>2109</v>
      </c>
      <c r="BD222" s="21">
        <v>64.739500000000007</v>
      </c>
      <c r="BF222" s="21">
        <f>73.1641-BD222</f>
        <v>8.4245999999999981</v>
      </c>
      <c r="BG222" s="21" t="s">
        <v>2112</v>
      </c>
      <c r="BH222" s="21">
        <v>62.083500000000001</v>
      </c>
      <c r="BJ222" s="21">
        <f>79.1382-BH222</f>
        <v>17.054699999999997</v>
      </c>
      <c r="BK222" s="40" t="s">
        <v>2117</v>
      </c>
    </row>
    <row r="223" spans="1:63" s="21" customFormat="1" x14ac:dyDescent="0.2">
      <c r="A223" s="21">
        <v>60</v>
      </c>
      <c r="B223" s="21" t="s">
        <v>1232</v>
      </c>
      <c r="C223" s="21" t="s">
        <v>1231</v>
      </c>
      <c r="D223" s="21" t="s">
        <v>1230</v>
      </c>
      <c r="E223" s="21" t="s">
        <v>1229</v>
      </c>
      <c r="F223" s="21" t="s">
        <v>1228</v>
      </c>
      <c r="G223" s="21">
        <v>2017</v>
      </c>
      <c r="H223" s="21">
        <v>42732</v>
      </c>
      <c r="I223" s="21" t="s">
        <v>32</v>
      </c>
      <c r="J223" s="21" t="s">
        <v>32</v>
      </c>
      <c r="K223" s="21" t="s">
        <v>1227</v>
      </c>
      <c r="L223" s="21">
        <v>2</v>
      </c>
      <c r="M223" s="21" t="s">
        <v>32</v>
      </c>
      <c r="N223" s="21" t="s">
        <v>34</v>
      </c>
      <c r="O223" s="21" t="s">
        <v>34</v>
      </c>
      <c r="P223" s="21" t="s">
        <v>34</v>
      </c>
      <c r="Q223" s="21" t="s">
        <v>34</v>
      </c>
      <c r="R223" s="21" t="s">
        <v>1226</v>
      </c>
      <c r="S223" s="21" t="s">
        <v>34</v>
      </c>
      <c r="T223" s="21" t="s">
        <v>34</v>
      </c>
      <c r="U223" s="21" t="s">
        <v>34</v>
      </c>
      <c r="V223" s="21">
        <v>1</v>
      </c>
      <c r="W223" s="21" t="s">
        <v>1225</v>
      </c>
      <c r="X223" s="21">
        <v>1</v>
      </c>
      <c r="Y223" s="21" t="s">
        <v>1224</v>
      </c>
      <c r="Z223" s="21" t="s">
        <v>1223</v>
      </c>
      <c r="AA223" s="21">
        <v>28025114</v>
      </c>
      <c r="AB223" s="21">
        <v>1</v>
      </c>
      <c r="AD223" s="21">
        <v>5</v>
      </c>
      <c r="AE223" s="23">
        <v>37</v>
      </c>
      <c r="AF223" s="21">
        <v>19</v>
      </c>
      <c r="AG223" s="21">
        <v>18</v>
      </c>
      <c r="AH223" s="21" t="s">
        <v>1642</v>
      </c>
      <c r="AI223" s="21" t="s">
        <v>1642</v>
      </c>
      <c r="AJ223" s="21" t="s">
        <v>1867</v>
      </c>
      <c r="AM223" s="21" t="s">
        <v>1867</v>
      </c>
      <c r="AP223" s="21">
        <v>5</v>
      </c>
      <c r="AQ223" s="21" t="s">
        <v>2106</v>
      </c>
      <c r="AR223" s="21" t="s">
        <v>1637</v>
      </c>
      <c r="AS223" s="21" t="s">
        <v>1878</v>
      </c>
      <c r="AT223" s="21" t="s">
        <v>1856</v>
      </c>
      <c r="AU223" s="21" t="s">
        <v>34</v>
      </c>
      <c r="AV223" s="21" t="s">
        <v>1641</v>
      </c>
      <c r="AW223" s="21" t="s">
        <v>1639</v>
      </c>
      <c r="AX223" t="s">
        <v>2107</v>
      </c>
      <c r="AY223" t="s">
        <v>1663</v>
      </c>
      <c r="AZ223" t="s">
        <v>1769</v>
      </c>
      <c r="BA223">
        <v>271</v>
      </c>
      <c r="BB223">
        <v>266</v>
      </c>
      <c r="BC223" s="21" t="s">
        <v>2109</v>
      </c>
      <c r="BD223" s="21">
        <v>64.739500000000007</v>
      </c>
      <c r="BF223" s="21">
        <f>73.1641-BD223</f>
        <v>8.4245999999999981</v>
      </c>
      <c r="BG223" s="21" t="s">
        <v>2113</v>
      </c>
      <c r="BH223" s="21">
        <v>77.625699999999995</v>
      </c>
      <c r="BJ223" s="21">
        <f>89.338-BH223</f>
        <v>11.712299999999999</v>
      </c>
      <c r="BK223" s="40" t="s">
        <v>2118</v>
      </c>
    </row>
    <row r="224" spans="1:63" s="21" customFormat="1" x14ac:dyDescent="0.2">
      <c r="A224" s="21">
        <v>60</v>
      </c>
      <c r="B224" s="21" t="s">
        <v>1232</v>
      </c>
      <c r="C224" s="21" t="s">
        <v>1231</v>
      </c>
      <c r="D224" s="21" t="s">
        <v>1230</v>
      </c>
      <c r="E224" s="21" t="s">
        <v>1229</v>
      </c>
      <c r="F224" s="21" t="s">
        <v>1228</v>
      </c>
      <c r="G224" s="21">
        <v>2017</v>
      </c>
      <c r="H224" s="21">
        <v>42732</v>
      </c>
      <c r="I224" s="21" t="s">
        <v>32</v>
      </c>
      <c r="J224" s="21" t="s">
        <v>32</v>
      </c>
      <c r="K224" s="21" t="s">
        <v>1227</v>
      </c>
      <c r="L224" s="21">
        <v>2</v>
      </c>
      <c r="M224" s="21" t="s">
        <v>32</v>
      </c>
      <c r="N224" s="21" t="s">
        <v>34</v>
      </c>
      <c r="O224" s="21" t="s">
        <v>34</v>
      </c>
      <c r="P224" s="21" t="s">
        <v>34</v>
      </c>
      <c r="Q224" s="21" t="s">
        <v>34</v>
      </c>
      <c r="R224" s="21" t="s">
        <v>1226</v>
      </c>
      <c r="S224" s="21" t="s">
        <v>34</v>
      </c>
      <c r="T224" s="21" t="s">
        <v>34</v>
      </c>
      <c r="U224" s="21" t="s">
        <v>34</v>
      </c>
      <c r="V224" s="21">
        <v>1</v>
      </c>
      <c r="W224" s="21" t="s">
        <v>1225</v>
      </c>
      <c r="X224" s="21">
        <v>1</v>
      </c>
      <c r="Y224" s="21" t="s">
        <v>1224</v>
      </c>
      <c r="Z224" s="21" t="s">
        <v>1223</v>
      </c>
      <c r="AA224" s="21">
        <v>28025114</v>
      </c>
      <c r="AB224" s="21">
        <v>1</v>
      </c>
      <c r="AD224" s="21">
        <v>5</v>
      </c>
      <c r="AE224" s="23">
        <v>37</v>
      </c>
      <c r="AF224" s="21">
        <v>19</v>
      </c>
      <c r="AG224" s="21">
        <v>18</v>
      </c>
      <c r="AH224" s="21" t="s">
        <v>1642</v>
      </c>
      <c r="AI224" s="21" t="s">
        <v>1642</v>
      </c>
      <c r="AJ224" s="21" t="s">
        <v>1867</v>
      </c>
      <c r="AM224" s="21" t="s">
        <v>1867</v>
      </c>
      <c r="AP224" s="21">
        <v>5</v>
      </c>
      <c r="AQ224" s="21" t="s">
        <v>2106</v>
      </c>
      <c r="AR224" s="21" t="s">
        <v>1637</v>
      </c>
      <c r="AS224" s="21" t="s">
        <v>1878</v>
      </c>
      <c r="AT224" s="21" t="s">
        <v>1856</v>
      </c>
      <c r="AU224" s="21" t="s">
        <v>34</v>
      </c>
      <c r="AV224" s="21" t="s">
        <v>1641</v>
      </c>
      <c r="AW224" s="21" t="s">
        <v>1639</v>
      </c>
      <c r="AX224" t="s">
        <v>2107</v>
      </c>
      <c r="AY224" t="s">
        <v>2108</v>
      </c>
      <c r="AZ224" t="s">
        <v>1768</v>
      </c>
      <c r="BA224">
        <v>271</v>
      </c>
      <c r="BB224">
        <v>264</v>
      </c>
      <c r="BC224" s="21" t="s">
        <v>2110</v>
      </c>
      <c r="BD224" s="21">
        <v>47.049599999999998</v>
      </c>
      <c r="BF224" s="21">
        <f>61.8441-BD224</f>
        <v>14.794499999999999</v>
      </c>
      <c r="BG224" s="21" t="s">
        <v>2114</v>
      </c>
      <c r="BH224" s="21">
        <v>25.8416</v>
      </c>
      <c r="BJ224" s="21">
        <f>38.273-BH224</f>
        <v>12.431400000000004</v>
      </c>
      <c r="BK224" s="40" t="s">
        <v>2119</v>
      </c>
    </row>
    <row r="225" spans="1:63" s="21" customFormat="1" x14ac:dyDescent="0.2">
      <c r="A225" s="21">
        <v>60</v>
      </c>
      <c r="B225" s="21" t="s">
        <v>1232</v>
      </c>
      <c r="C225" s="21" t="s">
        <v>1231</v>
      </c>
      <c r="D225" s="21" t="s">
        <v>1230</v>
      </c>
      <c r="E225" s="21" t="s">
        <v>1229</v>
      </c>
      <c r="F225" s="21" t="s">
        <v>1228</v>
      </c>
      <c r="G225" s="21">
        <v>2017</v>
      </c>
      <c r="H225" s="21">
        <v>42732</v>
      </c>
      <c r="I225" s="21" t="s">
        <v>32</v>
      </c>
      <c r="J225" s="21" t="s">
        <v>32</v>
      </c>
      <c r="K225" s="21" t="s">
        <v>1227</v>
      </c>
      <c r="L225" s="21">
        <v>2</v>
      </c>
      <c r="M225" s="21" t="s">
        <v>32</v>
      </c>
      <c r="N225" s="21" t="s">
        <v>34</v>
      </c>
      <c r="O225" s="21" t="s">
        <v>34</v>
      </c>
      <c r="P225" s="21" t="s">
        <v>34</v>
      </c>
      <c r="Q225" s="21" t="s">
        <v>34</v>
      </c>
      <c r="R225" s="21" t="s">
        <v>1226</v>
      </c>
      <c r="S225" s="21" t="s">
        <v>34</v>
      </c>
      <c r="T225" s="21" t="s">
        <v>34</v>
      </c>
      <c r="U225" s="21" t="s">
        <v>34</v>
      </c>
      <c r="V225" s="21">
        <v>1</v>
      </c>
      <c r="W225" s="21" t="s">
        <v>1225</v>
      </c>
      <c r="X225" s="21">
        <v>1</v>
      </c>
      <c r="Y225" s="21" t="s">
        <v>1224</v>
      </c>
      <c r="Z225" s="21" t="s">
        <v>1223</v>
      </c>
      <c r="AA225" s="21">
        <v>28025114</v>
      </c>
      <c r="AB225" s="21">
        <v>1</v>
      </c>
      <c r="AD225" s="21">
        <v>5</v>
      </c>
      <c r="AE225" s="23">
        <v>37</v>
      </c>
      <c r="AF225" s="21">
        <v>19</v>
      </c>
      <c r="AG225" s="21">
        <v>18</v>
      </c>
      <c r="AH225" s="21" t="s">
        <v>1642</v>
      </c>
      <c r="AI225" s="21" t="s">
        <v>1642</v>
      </c>
      <c r="AJ225" s="21" t="s">
        <v>1867</v>
      </c>
      <c r="AM225" s="21" t="s">
        <v>1867</v>
      </c>
      <c r="AP225" s="21">
        <v>5</v>
      </c>
      <c r="AQ225" s="21" t="s">
        <v>2106</v>
      </c>
      <c r="AR225" s="21" t="s">
        <v>1637</v>
      </c>
      <c r="AS225" s="21" t="s">
        <v>1878</v>
      </c>
      <c r="AT225" s="21" t="s">
        <v>1856</v>
      </c>
      <c r="AU225" s="21" t="s">
        <v>34</v>
      </c>
      <c r="AV225" s="21" t="s">
        <v>1641</v>
      </c>
      <c r="AW225" s="21" t="s">
        <v>1639</v>
      </c>
      <c r="AX225" t="s">
        <v>2107</v>
      </c>
      <c r="AY225" t="s">
        <v>2108</v>
      </c>
      <c r="AZ225" t="s">
        <v>1768</v>
      </c>
      <c r="BA225">
        <v>271</v>
      </c>
      <c r="BB225">
        <v>265</v>
      </c>
      <c r="BC225" s="21" t="s">
        <v>2110</v>
      </c>
      <c r="BD225" s="21">
        <v>47.049599999999998</v>
      </c>
      <c r="BF225" s="21">
        <f>61.8441-BD225</f>
        <v>14.794499999999999</v>
      </c>
      <c r="BG225" s="21" t="s">
        <v>2115</v>
      </c>
      <c r="BH225" s="21">
        <v>26.311699999999998</v>
      </c>
      <c r="BJ225" s="21">
        <f>38.9485-BH225</f>
        <v>12.636800000000004</v>
      </c>
      <c r="BK225" s="40" t="s">
        <v>2117</v>
      </c>
    </row>
    <row r="226" spans="1:63" s="21" customFormat="1" x14ac:dyDescent="0.2">
      <c r="A226" s="21">
        <v>60</v>
      </c>
      <c r="B226" s="21" t="s">
        <v>1232</v>
      </c>
      <c r="C226" s="21" t="s">
        <v>1231</v>
      </c>
      <c r="D226" s="21" t="s">
        <v>1230</v>
      </c>
      <c r="E226" s="21" t="s">
        <v>1229</v>
      </c>
      <c r="F226" s="21" t="s">
        <v>1228</v>
      </c>
      <c r="G226" s="21">
        <v>2017</v>
      </c>
      <c r="H226" s="21">
        <v>42732</v>
      </c>
      <c r="I226" s="21" t="s">
        <v>32</v>
      </c>
      <c r="J226" s="21" t="s">
        <v>32</v>
      </c>
      <c r="K226" s="21" t="s">
        <v>1227</v>
      </c>
      <c r="L226" s="21">
        <v>2</v>
      </c>
      <c r="M226" s="21" t="s">
        <v>32</v>
      </c>
      <c r="N226" s="21" t="s">
        <v>34</v>
      </c>
      <c r="O226" s="21" t="s">
        <v>34</v>
      </c>
      <c r="P226" s="21" t="s">
        <v>34</v>
      </c>
      <c r="Q226" s="21" t="s">
        <v>34</v>
      </c>
      <c r="R226" s="21" t="s">
        <v>1226</v>
      </c>
      <c r="S226" s="21" t="s">
        <v>34</v>
      </c>
      <c r="T226" s="21" t="s">
        <v>34</v>
      </c>
      <c r="U226" s="21" t="s">
        <v>34</v>
      </c>
      <c r="V226" s="21">
        <v>1</v>
      </c>
      <c r="W226" s="21" t="s">
        <v>1225</v>
      </c>
      <c r="X226" s="21">
        <v>1</v>
      </c>
      <c r="Y226" s="21" t="s">
        <v>1224</v>
      </c>
      <c r="Z226" s="21" t="s">
        <v>1223</v>
      </c>
      <c r="AA226" s="21">
        <v>28025114</v>
      </c>
      <c r="AB226" s="21">
        <v>1</v>
      </c>
      <c r="AD226" s="21">
        <v>5</v>
      </c>
      <c r="AE226" s="23">
        <v>37</v>
      </c>
      <c r="AF226" s="21">
        <v>19</v>
      </c>
      <c r="AG226" s="21">
        <v>18</v>
      </c>
      <c r="AH226" s="21" t="s">
        <v>1642</v>
      </c>
      <c r="AI226" s="21" t="s">
        <v>1642</v>
      </c>
      <c r="AJ226" s="21" t="s">
        <v>1867</v>
      </c>
      <c r="AM226" s="21" t="s">
        <v>1867</v>
      </c>
      <c r="AP226" s="21">
        <v>5</v>
      </c>
      <c r="AQ226" s="21" t="s">
        <v>2106</v>
      </c>
      <c r="AR226" s="21" t="s">
        <v>1637</v>
      </c>
      <c r="AS226" s="21" t="s">
        <v>1878</v>
      </c>
      <c r="AT226" s="21" t="s">
        <v>1856</v>
      </c>
      <c r="AU226" s="21" t="s">
        <v>34</v>
      </c>
      <c r="AV226" s="21" t="s">
        <v>1641</v>
      </c>
      <c r="AW226" s="21" t="s">
        <v>1639</v>
      </c>
      <c r="AX226" t="s">
        <v>2107</v>
      </c>
      <c r="AY226" t="s">
        <v>2108</v>
      </c>
      <c r="AZ226" t="s">
        <v>1769</v>
      </c>
      <c r="BA226">
        <v>271</v>
      </c>
      <c r="BB226">
        <v>266</v>
      </c>
      <c r="BC226" s="21" t="s">
        <v>2110</v>
      </c>
      <c r="BD226" s="21">
        <v>47.049599999999998</v>
      </c>
      <c r="BF226" s="21">
        <f>61.8441-BD226</f>
        <v>14.794499999999999</v>
      </c>
      <c r="BG226" s="21" t="s">
        <v>2116</v>
      </c>
      <c r="BH226" s="21">
        <v>14.3194</v>
      </c>
      <c r="BJ226" s="21">
        <f>28.6001-BH226</f>
        <v>14.280700000000001</v>
      </c>
      <c r="BK226" s="40" t="s">
        <v>2118</v>
      </c>
    </row>
    <row r="227" spans="1:63" x14ac:dyDescent="0.2">
      <c r="A227" s="7">
        <v>61</v>
      </c>
      <c r="B227" s="7" t="s">
        <v>1222</v>
      </c>
      <c r="C227" s="7" t="s">
        <v>1221</v>
      </c>
      <c r="D227" s="7" t="s">
        <v>1220</v>
      </c>
      <c r="E227" s="7" t="s">
        <v>1219</v>
      </c>
      <c r="F227" s="7" t="s">
        <v>824</v>
      </c>
      <c r="G227" s="7">
        <v>2016</v>
      </c>
      <c r="H227" s="7">
        <v>42588</v>
      </c>
      <c r="I227" s="7" t="s">
        <v>32</v>
      </c>
      <c r="J227" s="7" t="s">
        <v>32</v>
      </c>
      <c r="K227" s="7" t="s">
        <v>1218</v>
      </c>
      <c r="L227" s="7">
        <v>2</v>
      </c>
      <c r="M227" s="7" t="s">
        <v>32</v>
      </c>
      <c r="N227" s="7" t="s">
        <v>1217</v>
      </c>
      <c r="O227" s="7" t="s">
        <v>190</v>
      </c>
      <c r="P227" s="7" t="s">
        <v>34</v>
      </c>
      <c r="Q227" s="7" t="s">
        <v>34</v>
      </c>
      <c r="R227" s="7" t="s">
        <v>34</v>
      </c>
      <c r="S227" s="7" t="s">
        <v>34</v>
      </c>
      <c r="T227" s="7" t="s">
        <v>34</v>
      </c>
      <c r="U227" s="7" t="s">
        <v>32</v>
      </c>
      <c r="V227" s="7">
        <v>1</v>
      </c>
      <c r="W227" s="7" t="s">
        <v>32</v>
      </c>
      <c r="X227" s="7" t="s">
        <v>32</v>
      </c>
      <c r="Y227" s="7" t="s">
        <v>32</v>
      </c>
      <c r="Z227" s="7" t="s">
        <v>32</v>
      </c>
      <c r="AA227" s="7">
        <v>27492886</v>
      </c>
      <c r="AB227" s="7">
        <v>1</v>
      </c>
      <c r="AD227" s="7">
        <v>4</v>
      </c>
      <c r="AE227" s="24">
        <v>16</v>
      </c>
      <c r="AF227" s="7">
        <v>8</v>
      </c>
      <c r="AG227" s="7">
        <v>8</v>
      </c>
      <c r="AH227" s="7" t="s">
        <v>1642</v>
      </c>
      <c r="AI227" s="7" t="s">
        <v>1642</v>
      </c>
      <c r="AJ227" s="7" t="s">
        <v>1719</v>
      </c>
      <c r="AM227" s="7" t="s">
        <v>1719</v>
      </c>
      <c r="AP227" s="7">
        <v>7</v>
      </c>
      <c r="AQ227" s="7" t="s">
        <v>1942</v>
      </c>
      <c r="AR227" s="7" t="s">
        <v>1637</v>
      </c>
      <c r="AS227" s="7" t="s">
        <v>1638</v>
      </c>
      <c r="AT227" s="7" t="s">
        <v>1729</v>
      </c>
      <c r="AU227" s="7" t="s">
        <v>178</v>
      </c>
      <c r="AV227" s="7" t="s">
        <v>1924</v>
      </c>
      <c r="AW227" s="7" t="s">
        <v>1639</v>
      </c>
      <c r="AX227" t="s">
        <v>2120</v>
      </c>
      <c r="AY227" t="s">
        <v>1662</v>
      </c>
      <c r="AZ227" t="s">
        <v>1650</v>
      </c>
      <c r="BA227">
        <v>272</v>
      </c>
      <c r="BB227">
        <v>267</v>
      </c>
      <c r="BC227" s="7" t="s">
        <v>2129</v>
      </c>
      <c r="BD227" s="7">
        <v>76.055400000000006</v>
      </c>
      <c r="BF227" s="7">
        <f>83.5892-BD227</f>
        <v>7.5337999999999994</v>
      </c>
      <c r="BG227" s="7" t="s">
        <v>2121</v>
      </c>
      <c r="BH227" s="7">
        <v>84.015600000000006</v>
      </c>
      <c r="BJ227" s="7">
        <f>89.1329-BH227</f>
        <v>5.1173000000000002</v>
      </c>
    </row>
    <row r="228" spans="1:63" x14ac:dyDescent="0.2">
      <c r="A228" s="7">
        <v>61</v>
      </c>
      <c r="B228" s="7" t="s">
        <v>1222</v>
      </c>
      <c r="C228" s="7" t="s">
        <v>1221</v>
      </c>
      <c r="D228" s="7" t="s">
        <v>1220</v>
      </c>
      <c r="E228" s="7" t="s">
        <v>1219</v>
      </c>
      <c r="F228" s="7" t="s">
        <v>824</v>
      </c>
      <c r="G228" s="7">
        <v>2016</v>
      </c>
      <c r="H228" s="7">
        <v>42588</v>
      </c>
      <c r="I228" s="7" t="s">
        <v>32</v>
      </c>
      <c r="J228" s="7" t="s">
        <v>32</v>
      </c>
      <c r="K228" s="7" t="s">
        <v>1218</v>
      </c>
      <c r="L228" s="7">
        <v>2</v>
      </c>
      <c r="M228" s="7" t="s">
        <v>32</v>
      </c>
      <c r="N228" s="7" t="s">
        <v>1217</v>
      </c>
      <c r="O228" s="7" t="s">
        <v>190</v>
      </c>
      <c r="P228" s="7" t="s">
        <v>34</v>
      </c>
      <c r="Q228" s="7" t="s">
        <v>34</v>
      </c>
      <c r="R228" s="7" t="s">
        <v>34</v>
      </c>
      <c r="S228" s="7" t="s">
        <v>34</v>
      </c>
      <c r="T228" s="7" t="s">
        <v>34</v>
      </c>
      <c r="U228" s="7" t="s">
        <v>32</v>
      </c>
      <c r="V228" s="7">
        <v>1</v>
      </c>
      <c r="W228" s="7" t="s">
        <v>32</v>
      </c>
      <c r="X228" s="7" t="s">
        <v>32</v>
      </c>
      <c r="Y228" s="7" t="s">
        <v>32</v>
      </c>
      <c r="Z228" s="7" t="s">
        <v>32</v>
      </c>
      <c r="AA228" s="7">
        <v>27492886</v>
      </c>
      <c r="AB228" s="7">
        <v>1</v>
      </c>
      <c r="AD228" s="7">
        <v>4</v>
      </c>
      <c r="AE228" s="24">
        <v>16</v>
      </c>
      <c r="AF228" s="7">
        <v>8</v>
      </c>
      <c r="AG228" s="7">
        <v>8</v>
      </c>
      <c r="AH228" s="7" t="s">
        <v>1642</v>
      </c>
      <c r="AI228" s="7" t="s">
        <v>1642</v>
      </c>
      <c r="AJ228" s="7" t="s">
        <v>1719</v>
      </c>
      <c r="AM228" s="7" t="s">
        <v>1719</v>
      </c>
      <c r="AP228" s="7">
        <v>7</v>
      </c>
      <c r="AQ228" s="7" t="s">
        <v>1942</v>
      </c>
      <c r="AR228" s="7" t="s">
        <v>1637</v>
      </c>
      <c r="AS228" s="7" t="s">
        <v>1638</v>
      </c>
      <c r="AT228" s="7" t="s">
        <v>1729</v>
      </c>
      <c r="AU228" s="7" t="s">
        <v>178</v>
      </c>
      <c r="AV228" s="7" t="s">
        <v>1924</v>
      </c>
      <c r="AW228" s="7" t="s">
        <v>1639</v>
      </c>
      <c r="AX228" t="s">
        <v>2120</v>
      </c>
      <c r="AY228" t="s">
        <v>1662</v>
      </c>
      <c r="AZ228" t="s">
        <v>1650</v>
      </c>
      <c r="BA228">
        <v>272</v>
      </c>
      <c r="BB228">
        <v>267</v>
      </c>
      <c r="BC228" s="7" t="s">
        <v>2130</v>
      </c>
      <c r="BD228" s="7">
        <v>88.124099999999999</v>
      </c>
      <c r="BF228" s="7">
        <f>91.1092-BD228</f>
        <v>2.9851000000000028</v>
      </c>
      <c r="BG228" s="7" t="s">
        <v>2122</v>
      </c>
      <c r="BH228" s="7">
        <v>84.712599999999995</v>
      </c>
      <c r="BJ228" s="7">
        <f>BH228-79.1689</f>
        <v>5.5437000000000012</v>
      </c>
    </row>
    <row r="229" spans="1:63" x14ac:dyDescent="0.2">
      <c r="A229" s="7">
        <v>61</v>
      </c>
      <c r="B229" s="7" t="s">
        <v>1222</v>
      </c>
      <c r="C229" s="7" t="s">
        <v>1221</v>
      </c>
      <c r="D229" s="7" t="s">
        <v>1220</v>
      </c>
      <c r="E229" s="7" t="s">
        <v>1219</v>
      </c>
      <c r="F229" s="7" t="s">
        <v>824</v>
      </c>
      <c r="G229" s="7">
        <v>2016</v>
      </c>
      <c r="H229" s="7">
        <v>42588</v>
      </c>
      <c r="I229" s="7" t="s">
        <v>32</v>
      </c>
      <c r="J229" s="7" t="s">
        <v>32</v>
      </c>
      <c r="K229" s="7" t="s">
        <v>1218</v>
      </c>
      <c r="L229" s="7">
        <v>2</v>
      </c>
      <c r="M229" s="7" t="s">
        <v>32</v>
      </c>
      <c r="N229" s="7" t="s">
        <v>1217</v>
      </c>
      <c r="O229" s="7" t="s">
        <v>190</v>
      </c>
      <c r="P229" s="7" t="s">
        <v>34</v>
      </c>
      <c r="Q229" s="7" t="s">
        <v>34</v>
      </c>
      <c r="R229" s="7" t="s">
        <v>34</v>
      </c>
      <c r="S229" s="7" t="s">
        <v>34</v>
      </c>
      <c r="T229" s="7" t="s">
        <v>34</v>
      </c>
      <c r="U229" s="7" t="s">
        <v>32</v>
      </c>
      <c r="V229" s="7">
        <v>1</v>
      </c>
      <c r="W229" s="7" t="s">
        <v>32</v>
      </c>
      <c r="X229" s="7" t="s">
        <v>32</v>
      </c>
      <c r="Y229" s="7" t="s">
        <v>32</v>
      </c>
      <c r="Z229" s="7" t="s">
        <v>32</v>
      </c>
      <c r="AA229" s="7">
        <v>27492886</v>
      </c>
      <c r="AB229" s="7">
        <v>1</v>
      </c>
      <c r="AD229" s="7">
        <v>4</v>
      </c>
      <c r="AE229" s="24">
        <v>16</v>
      </c>
      <c r="AF229" s="7">
        <v>8</v>
      </c>
      <c r="AG229" s="7">
        <v>8</v>
      </c>
      <c r="AH229" s="7" t="s">
        <v>1642</v>
      </c>
      <c r="AI229" s="7" t="s">
        <v>1642</v>
      </c>
      <c r="AJ229" s="7" t="s">
        <v>1719</v>
      </c>
      <c r="AM229" s="7" t="s">
        <v>1719</v>
      </c>
      <c r="AP229" s="7">
        <v>7</v>
      </c>
      <c r="AQ229" s="7" t="s">
        <v>1942</v>
      </c>
      <c r="AR229" s="7" t="s">
        <v>1637</v>
      </c>
      <c r="AS229" s="7" t="s">
        <v>1638</v>
      </c>
      <c r="AT229" s="7" t="s">
        <v>1729</v>
      </c>
      <c r="AU229" s="7" t="s">
        <v>178</v>
      </c>
      <c r="AV229" s="7" t="s">
        <v>1696</v>
      </c>
      <c r="AW229" s="7" t="s">
        <v>1639</v>
      </c>
      <c r="AX229" t="s">
        <v>2120</v>
      </c>
      <c r="AY229" t="s">
        <v>1663</v>
      </c>
      <c r="AZ229" t="s">
        <v>1650</v>
      </c>
      <c r="BA229">
        <v>272</v>
      </c>
      <c r="BB229">
        <v>267</v>
      </c>
      <c r="BC229" s="7" t="s">
        <v>2131</v>
      </c>
      <c r="BD229" s="7">
        <v>90.795199999999994</v>
      </c>
      <c r="BF229" s="7">
        <f>93.2117-BD229</f>
        <v>2.4164999999999992</v>
      </c>
      <c r="BG229" s="7" t="s">
        <v>2123</v>
      </c>
      <c r="BH229" s="7">
        <v>91.363799999999998</v>
      </c>
      <c r="BJ229" s="7">
        <f>94.7753-BH229</f>
        <v>3.4115000000000038</v>
      </c>
    </row>
    <row r="230" spans="1:63" x14ac:dyDescent="0.2">
      <c r="A230" s="7">
        <v>61</v>
      </c>
      <c r="B230" s="7" t="s">
        <v>1222</v>
      </c>
      <c r="C230" s="7" t="s">
        <v>1221</v>
      </c>
      <c r="D230" s="7" t="s">
        <v>1220</v>
      </c>
      <c r="E230" s="7" t="s">
        <v>1219</v>
      </c>
      <c r="F230" s="7" t="s">
        <v>824</v>
      </c>
      <c r="G230" s="7">
        <v>2016</v>
      </c>
      <c r="H230" s="7">
        <v>42588</v>
      </c>
      <c r="I230" s="7" t="s">
        <v>32</v>
      </c>
      <c r="J230" s="7" t="s">
        <v>32</v>
      </c>
      <c r="K230" s="7" t="s">
        <v>1218</v>
      </c>
      <c r="L230" s="7">
        <v>2</v>
      </c>
      <c r="M230" s="7" t="s">
        <v>32</v>
      </c>
      <c r="N230" s="7" t="s">
        <v>1217</v>
      </c>
      <c r="O230" s="7" t="s">
        <v>190</v>
      </c>
      <c r="P230" s="7" t="s">
        <v>34</v>
      </c>
      <c r="Q230" s="7" t="s">
        <v>34</v>
      </c>
      <c r="R230" s="7" t="s">
        <v>34</v>
      </c>
      <c r="S230" s="7" t="s">
        <v>34</v>
      </c>
      <c r="T230" s="7" t="s">
        <v>34</v>
      </c>
      <c r="U230" s="7" t="s">
        <v>32</v>
      </c>
      <c r="V230" s="7">
        <v>1</v>
      </c>
      <c r="W230" s="7" t="s">
        <v>32</v>
      </c>
      <c r="X230" s="7" t="s">
        <v>32</v>
      </c>
      <c r="Y230" s="7" t="s">
        <v>32</v>
      </c>
      <c r="Z230" s="7" t="s">
        <v>32</v>
      </c>
      <c r="AA230" s="7">
        <v>27492886</v>
      </c>
      <c r="AB230" s="7">
        <v>1</v>
      </c>
      <c r="AD230" s="7">
        <v>4</v>
      </c>
      <c r="AE230" s="24">
        <v>16</v>
      </c>
      <c r="AF230" s="7">
        <v>8</v>
      </c>
      <c r="AG230" s="7">
        <v>8</v>
      </c>
      <c r="AH230" s="7" t="s">
        <v>1642</v>
      </c>
      <c r="AI230" s="7" t="s">
        <v>1642</v>
      </c>
      <c r="AJ230" s="7" t="s">
        <v>1719</v>
      </c>
      <c r="AM230" s="7" t="s">
        <v>1719</v>
      </c>
      <c r="AP230" s="7">
        <v>7</v>
      </c>
      <c r="AQ230" s="7" t="s">
        <v>1942</v>
      </c>
      <c r="AR230" s="7" t="s">
        <v>1637</v>
      </c>
      <c r="AS230" s="7" t="s">
        <v>1638</v>
      </c>
      <c r="AT230" s="7" t="s">
        <v>1729</v>
      </c>
      <c r="AU230" s="7" t="s">
        <v>178</v>
      </c>
      <c r="AV230" s="7" t="s">
        <v>1696</v>
      </c>
      <c r="AW230" s="7" t="s">
        <v>1639</v>
      </c>
      <c r="AX230" t="s">
        <v>2120</v>
      </c>
      <c r="AY230" t="s">
        <v>1664</v>
      </c>
      <c r="AZ230" t="s">
        <v>1650</v>
      </c>
      <c r="BA230">
        <v>272</v>
      </c>
      <c r="BB230" s="36">
        <v>267</v>
      </c>
      <c r="BC230" s="36" t="s">
        <v>2132</v>
      </c>
      <c r="BD230" s="36">
        <v>75.5642</v>
      </c>
      <c r="BE230" s="36"/>
      <c r="BF230" s="36">
        <f>83.2402-BD230</f>
        <v>7.6760000000000019</v>
      </c>
      <c r="BG230" s="36" t="s">
        <v>2125</v>
      </c>
      <c r="BH230" s="36">
        <v>84.235200000000006</v>
      </c>
      <c r="BI230" s="36"/>
      <c r="BJ230" s="36">
        <f>88.0732-BH230</f>
        <v>3.8379999999999939</v>
      </c>
    </row>
    <row r="231" spans="1:63" x14ac:dyDescent="0.2">
      <c r="A231" s="7">
        <v>61</v>
      </c>
      <c r="B231" s="7" t="s">
        <v>1222</v>
      </c>
      <c r="C231" s="7" t="s">
        <v>1221</v>
      </c>
      <c r="D231" s="7" t="s">
        <v>1220</v>
      </c>
      <c r="E231" s="7" t="s">
        <v>1219</v>
      </c>
      <c r="F231" s="7" t="s">
        <v>824</v>
      </c>
      <c r="G231" s="7">
        <v>2016</v>
      </c>
      <c r="H231" s="7">
        <v>42588</v>
      </c>
      <c r="I231" s="7" t="s">
        <v>32</v>
      </c>
      <c r="J231" s="7" t="s">
        <v>32</v>
      </c>
      <c r="K231" s="7" t="s">
        <v>1218</v>
      </c>
      <c r="L231" s="7">
        <v>2</v>
      </c>
      <c r="M231" s="7" t="s">
        <v>32</v>
      </c>
      <c r="N231" s="7" t="s">
        <v>1217</v>
      </c>
      <c r="O231" s="7" t="s">
        <v>190</v>
      </c>
      <c r="P231" s="7" t="s">
        <v>34</v>
      </c>
      <c r="Q231" s="7" t="s">
        <v>34</v>
      </c>
      <c r="R231" s="7" t="s">
        <v>34</v>
      </c>
      <c r="S231" s="7" t="s">
        <v>34</v>
      </c>
      <c r="T231" s="7" t="s">
        <v>34</v>
      </c>
      <c r="U231" s="7" t="s">
        <v>32</v>
      </c>
      <c r="V231" s="7">
        <v>1</v>
      </c>
      <c r="W231" s="7" t="s">
        <v>32</v>
      </c>
      <c r="X231" s="7" t="s">
        <v>32</v>
      </c>
      <c r="Y231" s="7" t="s">
        <v>32</v>
      </c>
      <c r="Z231" s="7" t="s">
        <v>32</v>
      </c>
      <c r="AA231" s="7">
        <v>27492886</v>
      </c>
      <c r="AB231" s="7">
        <v>1</v>
      </c>
      <c r="AD231" s="7">
        <v>4</v>
      </c>
      <c r="AE231" s="24">
        <v>16</v>
      </c>
      <c r="AF231" s="7">
        <v>8</v>
      </c>
      <c r="AG231" s="7">
        <v>8</v>
      </c>
      <c r="AH231" s="7" t="s">
        <v>1642</v>
      </c>
      <c r="AI231" s="7" t="s">
        <v>1642</v>
      </c>
      <c r="AJ231" s="7" t="s">
        <v>1719</v>
      </c>
      <c r="AM231" s="7" t="s">
        <v>1719</v>
      </c>
      <c r="AP231" s="7">
        <v>7</v>
      </c>
      <c r="AQ231" s="7" t="s">
        <v>1942</v>
      </c>
      <c r="AR231" s="7" t="s">
        <v>1637</v>
      </c>
      <c r="AS231" s="7" t="s">
        <v>1638</v>
      </c>
      <c r="AT231" s="7" t="s">
        <v>1729</v>
      </c>
      <c r="AU231" s="7" t="s">
        <v>178</v>
      </c>
      <c r="AV231" s="7" t="s">
        <v>1696</v>
      </c>
      <c r="AW231" s="7" t="s">
        <v>1639</v>
      </c>
      <c r="AX231" t="s">
        <v>2120</v>
      </c>
      <c r="AY231" t="s">
        <v>1664</v>
      </c>
      <c r="AZ231" t="s">
        <v>1650</v>
      </c>
      <c r="BA231">
        <v>272</v>
      </c>
      <c r="BB231" s="36">
        <v>267</v>
      </c>
      <c r="BC231" s="36" t="s">
        <v>2133</v>
      </c>
      <c r="BD231" s="36">
        <v>42.422800000000002</v>
      </c>
      <c r="BE231" s="36"/>
      <c r="BF231" s="36">
        <f>50.5252-BD231</f>
        <v>8.1023999999999958</v>
      </c>
      <c r="BG231" s="36" t="s">
        <v>2124</v>
      </c>
      <c r="BH231" s="36">
        <v>41.427799999999998</v>
      </c>
      <c r="BI231" s="36"/>
      <c r="BJ231" s="36">
        <f>48.5351-BH231</f>
        <v>7.1073000000000022</v>
      </c>
    </row>
    <row r="232" spans="1:63" x14ac:dyDescent="0.2">
      <c r="A232" s="7">
        <v>61</v>
      </c>
      <c r="B232" s="7" t="s">
        <v>1222</v>
      </c>
      <c r="C232" s="7" t="s">
        <v>1221</v>
      </c>
      <c r="D232" s="7" t="s">
        <v>1220</v>
      </c>
      <c r="E232" s="7" t="s">
        <v>1219</v>
      </c>
      <c r="F232" s="7" t="s">
        <v>824</v>
      </c>
      <c r="G232" s="7">
        <v>2016</v>
      </c>
      <c r="H232" s="7">
        <v>42588</v>
      </c>
      <c r="I232" s="7" t="s">
        <v>32</v>
      </c>
      <c r="J232" s="7" t="s">
        <v>32</v>
      </c>
      <c r="K232" s="7" t="s">
        <v>1218</v>
      </c>
      <c r="L232" s="7">
        <v>2</v>
      </c>
      <c r="M232" s="7" t="s">
        <v>32</v>
      </c>
      <c r="N232" s="7" t="s">
        <v>1217</v>
      </c>
      <c r="O232" s="7" t="s">
        <v>190</v>
      </c>
      <c r="P232" s="7" t="s">
        <v>34</v>
      </c>
      <c r="Q232" s="7" t="s">
        <v>34</v>
      </c>
      <c r="R232" s="7" t="s">
        <v>34</v>
      </c>
      <c r="S232" s="7" t="s">
        <v>34</v>
      </c>
      <c r="T232" s="7" t="s">
        <v>34</v>
      </c>
      <c r="U232" s="7" t="s">
        <v>32</v>
      </c>
      <c r="V232" s="7">
        <v>1</v>
      </c>
      <c r="W232" s="7" t="s">
        <v>32</v>
      </c>
      <c r="X232" s="7" t="s">
        <v>32</v>
      </c>
      <c r="Y232" s="7" t="s">
        <v>32</v>
      </c>
      <c r="Z232" s="7" t="s">
        <v>32</v>
      </c>
      <c r="AA232" s="7">
        <v>27492886</v>
      </c>
      <c r="AB232" s="7">
        <v>1</v>
      </c>
      <c r="AD232" s="7">
        <v>4</v>
      </c>
      <c r="AE232" s="24">
        <v>16</v>
      </c>
      <c r="AF232" s="7">
        <v>8</v>
      </c>
      <c r="AG232" s="7">
        <v>8</v>
      </c>
      <c r="AH232" s="7" t="s">
        <v>1642</v>
      </c>
      <c r="AI232" s="7" t="s">
        <v>1642</v>
      </c>
      <c r="AJ232" s="7" t="s">
        <v>1719</v>
      </c>
      <c r="AM232" s="7" t="s">
        <v>1719</v>
      </c>
      <c r="AP232" s="7">
        <v>7</v>
      </c>
      <c r="AQ232" s="7" t="s">
        <v>1942</v>
      </c>
      <c r="AR232" s="7" t="s">
        <v>1637</v>
      </c>
      <c r="AS232" s="7" t="s">
        <v>1638</v>
      </c>
      <c r="AT232" s="7" t="s">
        <v>1729</v>
      </c>
      <c r="AU232" s="7" t="s">
        <v>178</v>
      </c>
      <c r="AV232" s="7" t="s">
        <v>1697</v>
      </c>
      <c r="AW232" s="7" t="s">
        <v>1639</v>
      </c>
      <c r="AX232" t="s">
        <v>2120</v>
      </c>
      <c r="AY232" t="s">
        <v>1664</v>
      </c>
      <c r="AZ232" t="s">
        <v>1650</v>
      </c>
      <c r="BA232">
        <v>272</v>
      </c>
      <c r="BB232" s="36">
        <v>267</v>
      </c>
      <c r="BC232" s="36" t="s">
        <v>2134</v>
      </c>
      <c r="BD232" s="36">
        <v>61.865400000000001</v>
      </c>
      <c r="BE232" s="36"/>
      <c r="BF232" s="36">
        <f>67.9777-BD232</f>
        <v>6.1122999999999976</v>
      </c>
      <c r="BG232" s="36" t="s">
        <v>2126</v>
      </c>
      <c r="BH232" s="36">
        <v>38.837699999999998</v>
      </c>
      <c r="BI232" s="36"/>
      <c r="BJ232" s="36">
        <f>46.5136-BH232</f>
        <v>7.6758999999999986</v>
      </c>
    </row>
    <row r="233" spans="1:63" x14ac:dyDescent="0.2">
      <c r="A233" s="7">
        <v>61</v>
      </c>
      <c r="B233" s="7" t="s">
        <v>1222</v>
      </c>
      <c r="C233" s="7" t="s">
        <v>1221</v>
      </c>
      <c r="D233" s="7" t="s">
        <v>1220</v>
      </c>
      <c r="E233" s="7" t="s">
        <v>1219</v>
      </c>
      <c r="F233" s="7" t="s">
        <v>824</v>
      </c>
      <c r="G233" s="7">
        <v>2016</v>
      </c>
      <c r="H233" s="7">
        <v>42588</v>
      </c>
      <c r="I233" s="7" t="s">
        <v>32</v>
      </c>
      <c r="J233" s="7" t="s">
        <v>32</v>
      </c>
      <c r="K233" s="7" t="s">
        <v>1218</v>
      </c>
      <c r="L233" s="7">
        <v>2</v>
      </c>
      <c r="M233" s="7" t="s">
        <v>32</v>
      </c>
      <c r="N233" s="7" t="s">
        <v>1217</v>
      </c>
      <c r="O233" s="7" t="s">
        <v>190</v>
      </c>
      <c r="P233" s="7" t="s">
        <v>34</v>
      </c>
      <c r="Q233" s="7" t="s">
        <v>34</v>
      </c>
      <c r="R233" s="7" t="s">
        <v>34</v>
      </c>
      <c r="S233" s="7" t="s">
        <v>34</v>
      </c>
      <c r="T233" s="7" t="s">
        <v>34</v>
      </c>
      <c r="U233" s="7" t="s">
        <v>32</v>
      </c>
      <c r="V233" s="7">
        <v>1</v>
      </c>
      <c r="W233" s="7" t="s">
        <v>32</v>
      </c>
      <c r="X233" s="7" t="s">
        <v>32</v>
      </c>
      <c r="Y233" s="7" t="s">
        <v>32</v>
      </c>
      <c r="Z233" s="7" t="s">
        <v>32</v>
      </c>
      <c r="AA233" s="7">
        <v>27492886</v>
      </c>
      <c r="AB233" s="7">
        <v>1</v>
      </c>
      <c r="AD233" s="7">
        <v>4</v>
      </c>
      <c r="AE233" s="24">
        <v>16</v>
      </c>
      <c r="AF233" s="7">
        <v>8</v>
      </c>
      <c r="AG233" s="7">
        <v>8</v>
      </c>
      <c r="AH233" s="7" t="s">
        <v>1642</v>
      </c>
      <c r="AI233" s="7" t="s">
        <v>1642</v>
      </c>
      <c r="AJ233" s="7" t="s">
        <v>1719</v>
      </c>
      <c r="AM233" s="7" t="s">
        <v>1719</v>
      </c>
      <c r="AP233" s="7">
        <v>7</v>
      </c>
      <c r="AQ233" s="7" t="s">
        <v>1942</v>
      </c>
      <c r="AR233" s="7" t="s">
        <v>1637</v>
      </c>
      <c r="AS233" s="7" t="s">
        <v>1638</v>
      </c>
      <c r="AT233" s="7" t="s">
        <v>1729</v>
      </c>
      <c r="AU233" s="7" t="s">
        <v>178</v>
      </c>
      <c r="AV233" s="7" t="s">
        <v>1697</v>
      </c>
      <c r="AW233" s="7" t="s">
        <v>1639</v>
      </c>
      <c r="AX233" t="s">
        <v>2120</v>
      </c>
      <c r="AY233" t="s">
        <v>1664</v>
      </c>
      <c r="AZ233" t="s">
        <v>1650</v>
      </c>
      <c r="BA233">
        <v>272</v>
      </c>
      <c r="BB233" s="36">
        <v>267</v>
      </c>
      <c r="BC233" s="36" t="s">
        <v>2135</v>
      </c>
      <c r="BD233" s="36">
        <v>50.339300000000001</v>
      </c>
      <c r="BE233" s="36"/>
      <c r="BF233" s="36">
        <f>59.7211-BD233</f>
        <v>9.3817999999999984</v>
      </c>
      <c r="BG233" s="36" t="s">
        <v>2127</v>
      </c>
      <c r="BH233" s="36">
        <v>23.189399999999999</v>
      </c>
      <c r="BI233" s="36"/>
      <c r="BJ233" s="36">
        <f>32.0025-BH233</f>
        <v>8.8130999999999986</v>
      </c>
    </row>
    <row r="234" spans="1:63" x14ac:dyDescent="0.2">
      <c r="A234" s="7">
        <v>61</v>
      </c>
      <c r="B234" s="7" t="s">
        <v>1222</v>
      </c>
      <c r="C234" s="7" t="s">
        <v>1221</v>
      </c>
      <c r="D234" s="7" t="s">
        <v>1220</v>
      </c>
      <c r="E234" s="7" t="s">
        <v>1219</v>
      </c>
      <c r="F234" s="7" t="s">
        <v>824</v>
      </c>
      <c r="G234" s="7">
        <v>2016</v>
      </c>
      <c r="H234" s="7">
        <v>42588</v>
      </c>
      <c r="I234" s="7" t="s">
        <v>32</v>
      </c>
      <c r="J234" s="7" t="s">
        <v>32</v>
      </c>
      <c r="K234" s="7" t="s">
        <v>1218</v>
      </c>
      <c r="L234" s="7">
        <v>2</v>
      </c>
      <c r="M234" s="7" t="s">
        <v>32</v>
      </c>
      <c r="N234" s="7" t="s">
        <v>1217</v>
      </c>
      <c r="O234" s="7" t="s">
        <v>190</v>
      </c>
      <c r="P234" s="7" t="s">
        <v>34</v>
      </c>
      <c r="Q234" s="7" t="s">
        <v>34</v>
      </c>
      <c r="R234" s="7" t="s">
        <v>34</v>
      </c>
      <c r="S234" s="7" t="s">
        <v>34</v>
      </c>
      <c r="T234" s="7" t="s">
        <v>34</v>
      </c>
      <c r="U234" s="7" t="s">
        <v>32</v>
      </c>
      <c r="V234" s="7">
        <v>1</v>
      </c>
      <c r="W234" s="7" t="s">
        <v>32</v>
      </c>
      <c r="X234" s="7" t="s">
        <v>32</v>
      </c>
      <c r="Y234" s="7" t="s">
        <v>32</v>
      </c>
      <c r="Z234" s="7" t="s">
        <v>32</v>
      </c>
      <c r="AA234" s="7">
        <v>27492886</v>
      </c>
      <c r="AB234" s="7">
        <v>1</v>
      </c>
      <c r="AD234" s="7">
        <v>4</v>
      </c>
      <c r="AE234" s="24">
        <v>16</v>
      </c>
      <c r="AF234" s="7">
        <v>8</v>
      </c>
      <c r="AG234" s="7">
        <v>8</v>
      </c>
      <c r="AH234" s="7" t="s">
        <v>1642</v>
      </c>
      <c r="AI234" s="7" t="s">
        <v>1642</v>
      </c>
      <c r="AJ234" s="7" t="s">
        <v>1719</v>
      </c>
      <c r="AM234" s="7" t="s">
        <v>1719</v>
      </c>
      <c r="AP234" s="7">
        <v>7</v>
      </c>
      <c r="AQ234" s="7" t="s">
        <v>1942</v>
      </c>
      <c r="AR234" s="7" t="s">
        <v>1637</v>
      </c>
      <c r="AS234" s="7" t="s">
        <v>1638</v>
      </c>
      <c r="AT234" s="7" t="s">
        <v>1729</v>
      </c>
      <c r="AU234" s="7" t="s">
        <v>178</v>
      </c>
      <c r="AV234" s="7" t="s">
        <v>1697</v>
      </c>
      <c r="AW234" s="7" t="s">
        <v>1639</v>
      </c>
      <c r="AX234" t="s">
        <v>2120</v>
      </c>
      <c r="AY234" t="s">
        <v>1664</v>
      </c>
      <c r="AZ234" t="s">
        <v>1650</v>
      </c>
      <c r="BA234">
        <v>272</v>
      </c>
      <c r="BB234" s="36">
        <v>267</v>
      </c>
      <c r="BC234" s="36" t="s">
        <v>2136</v>
      </c>
      <c r="BD234" s="36">
        <v>19.050999999999998</v>
      </c>
      <c r="BE234" s="36"/>
      <c r="BF234" s="36">
        <f>24.026-BD234</f>
        <v>4.9750000000000014</v>
      </c>
      <c r="BG234" s="36" t="s">
        <v>2128</v>
      </c>
      <c r="BH234" s="36">
        <v>19.9038</v>
      </c>
      <c r="BI234" s="36"/>
      <c r="BJ234" s="36">
        <f>29.2855-BH234</f>
        <v>9.3816999999999986</v>
      </c>
    </row>
    <row r="235" spans="1:63" s="20" customFormat="1" x14ac:dyDescent="0.2">
      <c r="A235" s="20">
        <v>62</v>
      </c>
      <c r="B235" s="20" t="s">
        <v>1216</v>
      </c>
      <c r="C235" s="20" t="s">
        <v>1215</v>
      </c>
      <c r="D235" s="20" t="s">
        <v>1214</v>
      </c>
      <c r="E235" s="20" t="s">
        <v>1213</v>
      </c>
      <c r="F235" s="20" t="s">
        <v>343</v>
      </c>
      <c r="G235" s="20">
        <v>2016</v>
      </c>
      <c r="H235" s="20">
        <v>42507</v>
      </c>
      <c r="I235" s="20" t="s">
        <v>32</v>
      </c>
      <c r="J235" s="20" t="s">
        <v>32</v>
      </c>
      <c r="K235" s="20" t="s">
        <v>1212</v>
      </c>
      <c r="L235" s="20">
        <v>2</v>
      </c>
      <c r="M235" s="20" t="s">
        <v>1211</v>
      </c>
      <c r="N235" s="20" t="s">
        <v>34</v>
      </c>
      <c r="O235" s="20" t="s">
        <v>34</v>
      </c>
      <c r="P235" s="20" t="s">
        <v>34</v>
      </c>
      <c r="Q235" s="20" t="s">
        <v>34</v>
      </c>
      <c r="R235" s="20" t="s">
        <v>739</v>
      </c>
      <c r="S235" s="20" t="s">
        <v>34</v>
      </c>
      <c r="T235" s="20" t="s">
        <v>34</v>
      </c>
      <c r="U235" s="20" t="s">
        <v>32</v>
      </c>
      <c r="V235" s="20">
        <v>1</v>
      </c>
      <c r="W235" s="20" t="s">
        <v>34</v>
      </c>
      <c r="X235" s="20" t="s">
        <v>32</v>
      </c>
      <c r="Y235" s="20" t="s">
        <v>32</v>
      </c>
      <c r="Z235" s="20" t="s">
        <v>32</v>
      </c>
      <c r="AA235" s="20">
        <v>27181613</v>
      </c>
      <c r="AB235" s="20">
        <v>0</v>
      </c>
      <c r="AC235" s="20" t="s">
        <v>2137</v>
      </c>
      <c r="AE235" s="26"/>
      <c r="BK235" s="41"/>
    </row>
    <row r="236" spans="1:63" s="21" customFormat="1" x14ac:dyDescent="0.2">
      <c r="A236" s="21">
        <v>63</v>
      </c>
      <c r="B236" s="21" t="s">
        <v>1210</v>
      </c>
      <c r="C236" s="21" t="s">
        <v>1209</v>
      </c>
      <c r="D236" s="21" t="s">
        <v>1208</v>
      </c>
      <c r="E236" s="21" t="s">
        <v>1207</v>
      </c>
      <c r="F236" s="21" t="s">
        <v>336</v>
      </c>
      <c r="G236" s="21">
        <v>2016</v>
      </c>
      <c r="H236" s="21">
        <v>42496</v>
      </c>
      <c r="I236" s="21" t="s">
        <v>1206</v>
      </c>
      <c r="J236" s="21" t="s">
        <v>32</v>
      </c>
      <c r="K236" s="21" t="s">
        <v>1205</v>
      </c>
      <c r="L236" s="21">
        <v>2</v>
      </c>
      <c r="M236" s="21" t="s">
        <v>32</v>
      </c>
      <c r="N236" s="21" t="s">
        <v>34</v>
      </c>
      <c r="O236" s="21" t="s">
        <v>34</v>
      </c>
      <c r="P236" s="21" t="s">
        <v>34</v>
      </c>
      <c r="Q236" s="21" t="s">
        <v>34</v>
      </c>
      <c r="R236" s="21" t="s">
        <v>34</v>
      </c>
      <c r="S236" s="21" t="s">
        <v>34</v>
      </c>
      <c r="T236" s="21" t="s">
        <v>34</v>
      </c>
      <c r="U236" s="21" t="s">
        <v>34</v>
      </c>
      <c r="V236" s="21">
        <v>1</v>
      </c>
      <c r="W236" s="21" t="s">
        <v>178</v>
      </c>
      <c r="X236" s="21">
        <v>1</v>
      </c>
      <c r="Y236" s="21" t="s">
        <v>1204</v>
      </c>
      <c r="Z236" s="21" t="s">
        <v>1203</v>
      </c>
      <c r="AA236" s="21">
        <v>27147992</v>
      </c>
      <c r="AB236" s="21">
        <v>1</v>
      </c>
      <c r="AD236" s="21">
        <v>4</v>
      </c>
      <c r="AE236" s="23">
        <v>23</v>
      </c>
      <c r="AF236" s="21">
        <v>11.5</v>
      </c>
      <c r="AG236" s="21">
        <v>11.5</v>
      </c>
      <c r="AH236" s="21" t="s">
        <v>1642</v>
      </c>
      <c r="AI236" s="21" t="s">
        <v>1642</v>
      </c>
      <c r="AJ236" s="21" t="s">
        <v>1867</v>
      </c>
      <c r="AM236" s="21" t="s">
        <v>1867</v>
      </c>
      <c r="AP236" s="21">
        <v>10</v>
      </c>
      <c r="AQ236" s="21" t="s">
        <v>2140</v>
      </c>
      <c r="AR236" s="21" t="s">
        <v>2139</v>
      </c>
      <c r="AS236" s="21" t="s">
        <v>1878</v>
      </c>
      <c r="AT236" s="21" t="s">
        <v>1640</v>
      </c>
      <c r="AU236" s="21" t="s">
        <v>178</v>
      </c>
      <c r="AV236" s="21" t="s">
        <v>1641</v>
      </c>
      <c r="AW236" s="21" t="s">
        <v>1639</v>
      </c>
      <c r="AX236" s="21" t="s">
        <v>2138</v>
      </c>
      <c r="AY236" s="21" t="s">
        <v>1679</v>
      </c>
      <c r="AZ236" s="21" t="s">
        <v>1650</v>
      </c>
      <c r="BA236" s="21">
        <v>273</v>
      </c>
      <c r="BB236" s="21">
        <v>268</v>
      </c>
      <c r="BC236" s="21" t="s">
        <v>2142</v>
      </c>
      <c r="BD236" s="21">
        <v>147.404</v>
      </c>
      <c r="BF236" s="21">
        <f>166.634-BD236</f>
        <v>19.22999999999999</v>
      </c>
      <c r="BG236" s="21" t="s">
        <v>2141</v>
      </c>
      <c r="BH236" s="21">
        <v>161.34399999999999</v>
      </c>
      <c r="BJ236" s="21">
        <f>193.796-BH236</f>
        <v>32.451999999999998</v>
      </c>
      <c r="BK236" s="40"/>
    </row>
    <row r="237" spans="1:63" s="21" customFormat="1" x14ac:dyDescent="0.2">
      <c r="A237" s="21">
        <v>63</v>
      </c>
      <c r="B237" s="21" t="s">
        <v>1210</v>
      </c>
      <c r="C237" s="21" t="s">
        <v>1209</v>
      </c>
      <c r="D237" s="21" t="s">
        <v>1208</v>
      </c>
      <c r="E237" s="21" t="s">
        <v>1207</v>
      </c>
      <c r="F237" s="21" t="s">
        <v>336</v>
      </c>
      <c r="G237" s="21">
        <v>2016</v>
      </c>
      <c r="H237" s="21">
        <v>42496</v>
      </c>
      <c r="I237" s="21" t="s">
        <v>1206</v>
      </c>
      <c r="J237" s="21" t="s">
        <v>32</v>
      </c>
      <c r="K237" s="21" t="s">
        <v>1205</v>
      </c>
      <c r="L237" s="21">
        <v>2</v>
      </c>
      <c r="M237" s="21" t="s">
        <v>32</v>
      </c>
      <c r="N237" s="21" t="s">
        <v>34</v>
      </c>
      <c r="O237" s="21" t="s">
        <v>34</v>
      </c>
      <c r="P237" s="21" t="s">
        <v>34</v>
      </c>
      <c r="Q237" s="21" t="s">
        <v>34</v>
      </c>
      <c r="R237" s="21" t="s">
        <v>34</v>
      </c>
      <c r="S237" s="21" t="s">
        <v>34</v>
      </c>
      <c r="T237" s="21" t="s">
        <v>34</v>
      </c>
      <c r="U237" s="21" t="s">
        <v>34</v>
      </c>
      <c r="V237" s="21">
        <v>1</v>
      </c>
      <c r="W237" s="21" t="s">
        <v>178</v>
      </c>
      <c r="X237" s="21">
        <v>1</v>
      </c>
      <c r="Y237" s="21" t="s">
        <v>1204</v>
      </c>
      <c r="Z237" s="21" t="s">
        <v>1203</v>
      </c>
      <c r="AA237" s="21">
        <v>27147992</v>
      </c>
      <c r="AB237" s="21">
        <v>1</v>
      </c>
      <c r="AD237" s="21">
        <v>4</v>
      </c>
      <c r="AE237" s="23">
        <v>23</v>
      </c>
      <c r="AF237" s="21">
        <v>11.5</v>
      </c>
      <c r="AG237" s="21">
        <v>11.5</v>
      </c>
      <c r="AH237" s="21" t="s">
        <v>1642</v>
      </c>
      <c r="AI237" s="21" t="s">
        <v>1642</v>
      </c>
      <c r="AJ237" s="21" t="s">
        <v>1867</v>
      </c>
      <c r="AM237" s="21" t="s">
        <v>1867</v>
      </c>
      <c r="AP237" s="21">
        <v>10</v>
      </c>
      <c r="AQ237" s="21" t="s">
        <v>2140</v>
      </c>
      <c r="AR237" s="21" t="s">
        <v>2139</v>
      </c>
      <c r="AS237" s="21" t="s">
        <v>1878</v>
      </c>
      <c r="AT237" s="21" t="s">
        <v>1640</v>
      </c>
      <c r="AU237" s="21" t="s">
        <v>178</v>
      </c>
      <c r="AV237" s="21" t="s">
        <v>1641</v>
      </c>
      <c r="AW237" s="21" t="s">
        <v>1639</v>
      </c>
      <c r="AX237" s="21" t="s">
        <v>2138</v>
      </c>
      <c r="AY237" s="21" t="s">
        <v>1881</v>
      </c>
      <c r="AZ237" s="21" t="s">
        <v>1650</v>
      </c>
      <c r="BA237" s="21">
        <v>273</v>
      </c>
      <c r="BB237" s="21">
        <v>268</v>
      </c>
      <c r="BC237" s="38" t="s">
        <v>2152</v>
      </c>
      <c r="BD237" s="38">
        <v>5.4262800000000002</v>
      </c>
      <c r="BE237" s="38"/>
      <c r="BF237" s="38">
        <f>6.71024-BD237</f>
        <v>1.2839599999999995</v>
      </c>
      <c r="BG237" s="38" t="s">
        <v>2143</v>
      </c>
      <c r="BH237" s="38">
        <v>9.6238200000000003</v>
      </c>
      <c r="BI237" s="38"/>
      <c r="BJ237" s="38">
        <f>10.8584-BH237</f>
        <v>1.2345799999999993</v>
      </c>
      <c r="BK237" s="40"/>
    </row>
    <row r="238" spans="1:63" s="21" customFormat="1" x14ac:dyDescent="0.2">
      <c r="A238" s="21">
        <v>63</v>
      </c>
      <c r="B238" s="21" t="s">
        <v>1210</v>
      </c>
      <c r="C238" s="21" t="s">
        <v>1209</v>
      </c>
      <c r="D238" s="21" t="s">
        <v>1208</v>
      </c>
      <c r="E238" s="21" t="s">
        <v>1207</v>
      </c>
      <c r="F238" s="21" t="s">
        <v>336</v>
      </c>
      <c r="G238" s="21">
        <v>2016</v>
      </c>
      <c r="H238" s="21">
        <v>42496</v>
      </c>
      <c r="I238" s="21" t="s">
        <v>1206</v>
      </c>
      <c r="J238" s="21" t="s">
        <v>32</v>
      </c>
      <c r="K238" s="21" t="s">
        <v>1205</v>
      </c>
      <c r="L238" s="21">
        <v>2</v>
      </c>
      <c r="M238" s="21" t="s">
        <v>32</v>
      </c>
      <c r="N238" s="21" t="s">
        <v>34</v>
      </c>
      <c r="O238" s="21" t="s">
        <v>34</v>
      </c>
      <c r="P238" s="21" t="s">
        <v>34</v>
      </c>
      <c r="Q238" s="21" t="s">
        <v>34</v>
      </c>
      <c r="R238" s="21" t="s">
        <v>34</v>
      </c>
      <c r="S238" s="21" t="s">
        <v>34</v>
      </c>
      <c r="T238" s="21" t="s">
        <v>34</v>
      </c>
      <c r="U238" s="21" t="s">
        <v>34</v>
      </c>
      <c r="V238" s="21">
        <v>1</v>
      </c>
      <c r="W238" s="21" t="s">
        <v>178</v>
      </c>
      <c r="X238" s="21">
        <v>1</v>
      </c>
      <c r="Y238" s="21" t="s">
        <v>1204</v>
      </c>
      <c r="Z238" s="21" t="s">
        <v>1203</v>
      </c>
      <c r="AA238" s="21">
        <v>27147992</v>
      </c>
      <c r="AB238" s="21">
        <v>1</v>
      </c>
      <c r="AD238" s="21">
        <v>4</v>
      </c>
      <c r="AE238" s="23">
        <v>23</v>
      </c>
      <c r="AF238" s="21">
        <v>11.5</v>
      </c>
      <c r="AG238" s="21">
        <v>11.5</v>
      </c>
      <c r="AH238" s="21" t="s">
        <v>1642</v>
      </c>
      <c r="AI238" s="21" t="s">
        <v>1642</v>
      </c>
      <c r="AJ238" s="21" t="s">
        <v>1867</v>
      </c>
      <c r="AM238" s="21" t="s">
        <v>1867</v>
      </c>
      <c r="AP238" s="21">
        <v>10</v>
      </c>
      <c r="AQ238" s="21" t="s">
        <v>2140</v>
      </c>
      <c r="AR238" s="21" t="s">
        <v>2139</v>
      </c>
      <c r="AS238" s="21" t="s">
        <v>1878</v>
      </c>
      <c r="AT238" s="21" t="s">
        <v>1640</v>
      </c>
      <c r="AU238" s="21" t="s">
        <v>178</v>
      </c>
      <c r="AV238" s="21" t="s">
        <v>1641</v>
      </c>
      <c r="AW238" s="21" t="s">
        <v>1639</v>
      </c>
      <c r="AX238" s="21" t="s">
        <v>2138</v>
      </c>
      <c r="AY238" s="21" t="s">
        <v>1955</v>
      </c>
      <c r="AZ238" s="21" t="s">
        <v>1650</v>
      </c>
      <c r="BA238" s="21">
        <v>273</v>
      </c>
      <c r="BB238" s="21">
        <v>268</v>
      </c>
      <c r="BC238" s="38" t="s">
        <v>2153</v>
      </c>
      <c r="BD238" s="38">
        <v>34.3033</v>
      </c>
      <c r="BE238" s="38"/>
      <c r="BF238" s="38">
        <f>40.0811-BD238</f>
        <v>5.7777999999999992</v>
      </c>
      <c r="BG238" s="38" t="s">
        <v>2144</v>
      </c>
      <c r="BH238" s="38">
        <v>12.9206</v>
      </c>
      <c r="BI238" s="38"/>
      <c r="BJ238" s="38">
        <f>17.1675-BH238</f>
        <v>4.2469000000000001</v>
      </c>
      <c r="BK238" s="40"/>
    </row>
    <row r="239" spans="1:63" s="21" customFormat="1" x14ac:dyDescent="0.2">
      <c r="A239" s="21">
        <v>63</v>
      </c>
      <c r="B239" s="21" t="s">
        <v>1210</v>
      </c>
      <c r="C239" s="21" t="s">
        <v>1209</v>
      </c>
      <c r="D239" s="21" t="s">
        <v>1208</v>
      </c>
      <c r="E239" s="21" t="s">
        <v>1207</v>
      </c>
      <c r="F239" s="21" t="s">
        <v>336</v>
      </c>
      <c r="G239" s="21">
        <v>2016</v>
      </c>
      <c r="H239" s="21">
        <v>42496</v>
      </c>
      <c r="I239" s="21" t="s">
        <v>1206</v>
      </c>
      <c r="J239" s="21" t="s">
        <v>32</v>
      </c>
      <c r="K239" s="21" t="s">
        <v>1205</v>
      </c>
      <c r="L239" s="21">
        <v>2</v>
      </c>
      <c r="M239" s="21" t="s">
        <v>32</v>
      </c>
      <c r="N239" s="21" t="s">
        <v>34</v>
      </c>
      <c r="O239" s="21" t="s">
        <v>34</v>
      </c>
      <c r="P239" s="21" t="s">
        <v>34</v>
      </c>
      <c r="Q239" s="21" t="s">
        <v>34</v>
      </c>
      <c r="R239" s="21" t="s">
        <v>34</v>
      </c>
      <c r="S239" s="21" t="s">
        <v>34</v>
      </c>
      <c r="T239" s="21" t="s">
        <v>34</v>
      </c>
      <c r="U239" s="21" t="s">
        <v>34</v>
      </c>
      <c r="V239" s="21">
        <v>1</v>
      </c>
      <c r="W239" s="21" t="s">
        <v>178</v>
      </c>
      <c r="X239" s="21">
        <v>1</v>
      </c>
      <c r="Y239" s="21" t="s">
        <v>1204</v>
      </c>
      <c r="Z239" s="21" t="s">
        <v>1203</v>
      </c>
      <c r="AA239" s="21">
        <v>27147992</v>
      </c>
      <c r="AB239" s="21">
        <v>1</v>
      </c>
      <c r="AD239" s="21">
        <v>4</v>
      </c>
      <c r="AE239" s="23">
        <v>23</v>
      </c>
      <c r="AF239" s="21">
        <v>11.5</v>
      </c>
      <c r="AG239" s="21">
        <v>11.5</v>
      </c>
      <c r="AH239" s="21" t="s">
        <v>1642</v>
      </c>
      <c r="AI239" s="21" t="s">
        <v>1642</v>
      </c>
      <c r="AJ239" s="21" t="s">
        <v>1867</v>
      </c>
      <c r="AM239" s="21" t="s">
        <v>1867</v>
      </c>
      <c r="AP239" s="21">
        <v>10</v>
      </c>
      <c r="AQ239" s="21" t="s">
        <v>2140</v>
      </c>
      <c r="AR239" s="21" t="s">
        <v>2139</v>
      </c>
      <c r="AS239" s="21" t="s">
        <v>1878</v>
      </c>
      <c r="AT239" s="21" t="s">
        <v>1640</v>
      </c>
      <c r="AU239" s="21" t="s">
        <v>178</v>
      </c>
      <c r="AV239" s="21" t="s">
        <v>1641</v>
      </c>
      <c r="AW239" s="21" t="s">
        <v>1639</v>
      </c>
      <c r="AX239" s="21" t="s">
        <v>2138</v>
      </c>
      <c r="AY239" s="21" t="s">
        <v>1955</v>
      </c>
      <c r="AZ239" s="21" t="s">
        <v>1650</v>
      </c>
      <c r="BA239" s="21">
        <v>273</v>
      </c>
      <c r="BB239" s="21">
        <v>268</v>
      </c>
      <c r="BC239" s="38" t="s">
        <v>2154</v>
      </c>
      <c r="BD239" s="38">
        <v>22.88</v>
      </c>
      <c r="BE239" s="38"/>
      <c r="BF239" s="38">
        <f>30.3368-BD239</f>
        <v>7.4568000000000012</v>
      </c>
      <c r="BG239" s="38" t="s">
        <v>2145</v>
      </c>
      <c r="BH239" s="38">
        <v>5.1516099999999998</v>
      </c>
      <c r="BI239" s="38"/>
      <c r="BJ239" s="38">
        <f>7.769-BH239</f>
        <v>2.6173900000000003</v>
      </c>
      <c r="BK239" s="40"/>
    </row>
    <row r="240" spans="1:63" s="21" customFormat="1" x14ac:dyDescent="0.2">
      <c r="A240" s="21">
        <v>63</v>
      </c>
      <c r="B240" s="21" t="s">
        <v>1210</v>
      </c>
      <c r="C240" s="21" t="s">
        <v>1209</v>
      </c>
      <c r="D240" s="21" t="s">
        <v>1208</v>
      </c>
      <c r="E240" s="21" t="s">
        <v>1207</v>
      </c>
      <c r="F240" s="21" t="s">
        <v>336</v>
      </c>
      <c r="G240" s="21">
        <v>2016</v>
      </c>
      <c r="H240" s="21">
        <v>42496</v>
      </c>
      <c r="I240" s="21" t="s">
        <v>1206</v>
      </c>
      <c r="J240" s="21" t="s">
        <v>32</v>
      </c>
      <c r="K240" s="21" t="s">
        <v>1205</v>
      </c>
      <c r="L240" s="21">
        <v>2</v>
      </c>
      <c r="M240" s="21" t="s">
        <v>32</v>
      </c>
      <c r="N240" s="21" t="s">
        <v>34</v>
      </c>
      <c r="O240" s="21" t="s">
        <v>34</v>
      </c>
      <c r="P240" s="21" t="s">
        <v>34</v>
      </c>
      <c r="Q240" s="21" t="s">
        <v>34</v>
      </c>
      <c r="R240" s="21" t="s">
        <v>34</v>
      </c>
      <c r="S240" s="21" t="s">
        <v>34</v>
      </c>
      <c r="T240" s="21" t="s">
        <v>34</v>
      </c>
      <c r="U240" s="21" t="s">
        <v>34</v>
      </c>
      <c r="V240" s="21">
        <v>1</v>
      </c>
      <c r="W240" s="21" t="s">
        <v>178</v>
      </c>
      <c r="X240" s="21">
        <v>1</v>
      </c>
      <c r="Y240" s="21" t="s">
        <v>1204</v>
      </c>
      <c r="Z240" s="21" t="s">
        <v>1203</v>
      </c>
      <c r="AA240" s="21">
        <v>27147992</v>
      </c>
      <c r="AB240" s="21">
        <v>1</v>
      </c>
      <c r="AD240" s="21">
        <v>4</v>
      </c>
      <c r="AE240" s="23">
        <v>23</v>
      </c>
      <c r="AF240" s="21">
        <v>11.5</v>
      </c>
      <c r="AG240" s="21">
        <v>11.5</v>
      </c>
      <c r="AH240" s="21" t="s">
        <v>1642</v>
      </c>
      <c r="AI240" s="21" t="s">
        <v>1642</v>
      </c>
      <c r="AJ240" s="21" t="s">
        <v>1867</v>
      </c>
      <c r="AM240" s="21" t="s">
        <v>1867</v>
      </c>
      <c r="AP240" s="21">
        <v>10</v>
      </c>
      <c r="AQ240" s="21" t="s">
        <v>2140</v>
      </c>
      <c r="AR240" s="21" t="s">
        <v>2139</v>
      </c>
      <c r="AS240" s="21" t="s">
        <v>1878</v>
      </c>
      <c r="AT240" s="21" t="s">
        <v>1640</v>
      </c>
      <c r="AU240" s="21" t="s">
        <v>178</v>
      </c>
      <c r="AV240" s="21" t="s">
        <v>1641</v>
      </c>
      <c r="AW240" s="21" t="s">
        <v>1639</v>
      </c>
      <c r="AX240" s="21" t="s">
        <v>2138</v>
      </c>
      <c r="AY240" s="21" t="s">
        <v>1955</v>
      </c>
      <c r="AZ240" s="21" t="s">
        <v>1650</v>
      </c>
      <c r="BA240" s="21">
        <v>273</v>
      </c>
      <c r="BB240" s="21">
        <v>268</v>
      </c>
      <c r="BC240" s="38" t="s">
        <v>2155</v>
      </c>
      <c r="BD240" s="38">
        <v>0.85130499999999998</v>
      </c>
      <c r="BE240" s="38"/>
      <c r="BF240" s="38">
        <f>2.18464-BD240</f>
        <v>1.3333349999999999</v>
      </c>
      <c r="BG240" s="38" t="s">
        <v>2146</v>
      </c>
      <c r="BH240" s="38">
        <v>1.1969799999999999</v>
      </c>
      <c r="BI240" s="38"/>
      <c r="BJ240" s="38">
        <f>2.23413-BH240</f>
        <v>1.03715</v>
      </c>
      <c r="BK240" s="40"/>
    </row>
    <row r="241" spans="1:64" s="21" customFormat="1" x14ac:dyDescent="0.2">
      <c r="A241" s="21">
        <v>63</v>
      </c>
      <c r="B241" s="21" t="s">
        <v>1210</v>
      </c>
      <c r="C241" s="21" t="s">
        <v>1209</v>
      </c>
      <c r="D241" s="21" t="s">
        <v>1208</v>
      </c>
      <c r="E241" s="21" t="s">
        <v>1207</v>
      </c>
      <c r="F241" s="21" t="s">
        <v>336</v>
      </c>
      <c r="G241" s="21">
        <v>2016</v>
      </c>
      <c r="H241" s="21">
        <v>42496</v>
      </c>
      <c r="I241" s="21" t="s">
        <v>1206</v>
      </c>
      <c r="J241" s="21" t="s">
        <v>32</v>
      </c>
      <c r="K241" s="21" t="s">
        <v>1205</v>
      </c>
      <c r="L241" s="21">
        <v>2</v>
      </c>
      <c r="M241" s="21" t="s">
        <v>32</v>
      </c>
      <c r="N241" s="21" t="s">
        <v>34</v>
      </c>
      <c r="O241" s="21" t="s">
        <v>34</v>
      </c>
      <c r="P241" s="21" t="s">
        <v>34</v>
      </c>
      <c r="Q241" s="21" t="s">
        <v>34</v>
      </c>
      <c r="R241" s="21" t="s">
        <v>34</v>
      </c>
      <c r="S241" s="21" t="s">
        <v>34</v>
      </c>
      <c r="T241" s="21" t="s">
        <v>34</v>
      </c>
      <c r="U241" s="21" t="s">
        <v>34</v>
      </c>
      <c r="V241" s="21">
        <v>1</v>
      </c>
      <c r="W241" s="21" t="s">
        <v>178</v>
      </c>
      <c r="X241" s="21">
        <v>1</v>
      </c>
      <c r="Y241" s="21" t="s">
        <v>1204</v>
      </c>
      <c r="Z241" s="21" t="s">
        <v>1203</v>
      </c>
      <c r="AA241" s="21">
        <v>27147992</v>
      </c>
      <c r="AB241" s="21">
        <v>1</v>
      </c>
      <c r="AD241" s="21">
        <v>4</v>
      </c>
      <c r="AE241" s="23">
        <v>23</v>
      </c>
      <c r="AF241" s="21">
        <v>11.5</v>
      </c>
      <c r="AG241" s="21">
        <v>11.5</v>
      </c>
      <c r="AH241" s="21" t="s">
        <v>1642</v>
      </c>
      <c r="AI241" s="21" t="s">
        <v>1642</v>
      </c>
      <c r="AJ241" s="21" t="s">
        <v>1867</v>
      </c>
      <c r="AM241" s="21" t="s">
        <v>1867</v>
      </c>
      <c r="AP241" s="21">
        <v>10</v>
      </c>
      <c r="AQ241" s="21" t="s">
        <v>2140</v>
      </c>
      <c r="AR241" s="21" t="s">
        <v>2139</v>
      </c>
      <c r="AS241" s="21" t="s">
        <v>1878</v>
      </c>
      <c r="AT241" s="21" t="s">
        <v>1640</v>
      </c>
      <c r="AU241" s="21" t="s">
        <v>178</v>
      </c>
      <c r="AV241" s="21" t="s">
        <v>1641</v>
      </c>
      <c r="AW241" s="21" t="s">
        <v>1639</v>
      </c>
      <c r="AX241" s="21" t="s">
        <v>2138</v>
      </c>
      <c r="AY241" s="21" t="s">
        <v>1955</v>
      </c>
      <c r="AZ241" s="21" t="s">
        <v>1650</v>
      </c>
      <c r="BA241" s="21">
        <v>273</v>
      </c>
      <c r="BB241" s="21">
        <v>268</v>
      </c>
      <c r="BC241" s="38" t="s">
        <v>2156</v>
      </c>
      <c r="BD241" s="38">
        <v>11.209899999999999</v>
      </c>
      <c r="BE241" s="38"/>
      <c r="BF241" s="38">
        <f>15.5061-BD241</f>
        <v>4.2962000000000007</v>
      </c>
      <c r="BG241" s="38" t="s">
        <v>2147</v>
      </c>
      <c r="BH241" s="38">
        <v>8.6419300000000003</v>
      </c>
      <c r="BI241" s="38"/>
      <c r="BJ241" s="38">
        <f>12.395-BH241</f>
        <v>3.7530699999999992</v>
      </c>
      <c r="BK241" s="40"/>
    </row>
    <row r="242" spans="1:64" s="21" customFormat="1" x14ac:dyDescent="0.2">
      <c r="A242" s="7">
        <v>63</v>
      </c>
      <c r="B242" s="7" t="s">
        <v>1210</v>
      </c>
      <c r="C242" s="7" t="s">
        <v>1209</v>
      </c>
      <c r="D242" s="7" t="s">
        <v>1208</v>
      </c>
      <c r="E242" s="7" t="s">
        <v>1207</v>
      </c>
      <c r="F242" s="7" t="s">
        <v>336</v>
      </c>
      <c r="G242" s="7">
        <v>2016</v>
      </c>
      <c r="H242" s="7">
        <v>42496</v>
      </c>
      <c r="I242" s="7" t="s">
        <v>1206</v>
      </c>
      <c r="J242" s="7" t="s">
        <v>32</v>
      </c>
      <c r="K242" s="7" t="s">
        <v>1205</v>
      </c>
      <c r="L242" s="7">
        <v>2</v>
      </c>
      <c r="M242" s="7" t="s">
        <v>32</v>
      </c>
      <c r="N242" s="7" t="s">
        <v>34</v>
      </c>
      <c r="O242" s="7" t="s">
        <v>34</v>
      </c>
      <c r="P242" s="7" t="s">
        <v>34</v>
      </c>
      <c r="Q242" s="7" t="s">
        <v>34</v>
      </c>
      <c r="R242" s="7" t="s">
        <v>34</v>
      </c>
      <c r="S242" s="7" t="s">
        <v>34</v>
      </c>
      <c r="T242" s="7" t="s">
        <v>34</v>
      </c>
      <c r="U242" s="7" t="s">
        <v>34</v>
      </c>
      <c r="V242" s="7">
        <v>1</v>
      </c>
      <c r="W242" s="7" t="s">
        <v>178</v>
      </c>
      <c r="X242" s="7">
        <v>1</v>
      </c>
      <c r="Y242" s="7" t="s">
        <v>1204</v>
      </c>
      <c r="Z242" s="7" t="s">
        <v>1203</v>
      </c>
      <c r="AA242" s="7">
        <v>27147992</v>
      </c>
      <c r="AB242" s="7">
        <v>1</v>
      </c>
      <c r="AC242" s="7"/>
      <c r="AD242" s="7">
        <v>4</v>
      </c>
      <c r="AE242" s="24">
        <v>23</v>
      </c>
      <c r="AF242" s="7">
        <v>11.5</v>
      </c>
      <c r="AG242" s="7">
        <v>11.5</v>
      </c>
      <c r="AH242" s="7" t="s">
        <v>1642</v>
      </c>
      <c r="AI242" s="7" t="s">
        <v>1642</v>
      </c>
      <c r="AJ242" s="7" t="s">
        <v>1867</v>
      </c>
      <c r="AK242" s="7"/>
      <c r="AL242" s="7"/>
      <c r="AM242" s="7" t="s">
        <v>1867</v>
      </c>
      <c r="AN242" s="7"/>
      <c r="AO242" s="7"/>
      <c r="AP242" s="7">
        <v>10</v>
      </c>
      <c r="AQ242" s="7" t="s">
        <v>2140</v>
      </c>
      <c r="AR242" s="7" t="s">
        <v>2139</v>
      </c>
      <c r="AS242" s="7" t="s">
        <v>1878</v>
      </c>
      <c r="AT242" s="7" t="s">
        <v>1640</v>
      </c>
      <c r="AU242" s="7" t="s">
        <v>178</v>
      </c>
      <c r="AV242" s="7" t="s">
        <v>1641</v>
      </c>
      <c r="AW242" s="7" t="s">
        <v>1639</v>
      </c>
      <c r="AX242" s="7" t="s">
        <v>2138</v>
      </c>
      <c r="AY242" s="21" t="s">
        <v>1955</v>
      </c>
      <c r="AZ242" s="21" t="s">
        <v>1650</v>
      </c>
      <c r="BA242" s="21">
        <v>273</v>
      </c>
      <c r="BB242" s="21">
        <v>268</v>
      </c>
      <c r="BC242" s="38" t="s">
        <v>2157</v>
      </c>
      <c r="BD242" s="36">
        <v>6.7989100000000002</v>
      </c>
      <c r="BE242" s="36"/>
      <c r="BF242" s="36">
        <f>10.9469-BD242</f>
        <v>4.1479899999999992</v>
      </c>
      <c r="BG242" s="38" t="s">
        <v>2148</v>
      </c>
      <c r="BH242" s="36">
        <v>3.6384699999999999</v>
      </c>
      <c r="BI242" s="36"/>
      <c r="BJ242" s="36">
        <f>6.4039-BH242</f>
        <v>2.7654300000000003</v>
      </c>
      <c r="BK242" s="9"/>
      <c r="BL242" s="7"/>
    </row>
    <row r="243" spans="1:64" s="21" customFormat="1" x14ac:dyDescent="0.2">
      <c r="A243" s="7">
        <v>63</v>
      </c>
      <c r="B243" s="7" t="s">
        <v>1210</v>
      </c>
      <c r="C243" s="7" t="s">
        <v>1209</v>
      </c>
      <c r="D243" s="7" t="s">
        <v>1208</v>
      </c>
      <c r="E243" s="7" t="s">
        <v>1207</v>
      </c>
      <c r="F243" s="7" t="s">
        <v>336</v>
      </c>
      <c r="G243" s="7">
        <v>2016</v>
      </c>
      <c r="H243" s="7">
        <v>42496</v>
      </c>
      <c r="I243" s="7" t="s">
        <v>1206</v>
      </c>
      <c r="J243" s="7" t="s">
        <v>32</v>
      </c>
      <c r="K243" s="7" t="s">
        <v>1205</v>
      </c>
      <c r="L243" s="7">
        <v>2</v>
      </c>
      <c r="M243" s="7" t="s">
        <v>32</v>
      </c>
      <c r="N243" s="7" t="s">
        <v>34</v>
      </c>
      <c r="O243" s="7" t="s">
        <v>34</v>
      </c>
      <c r="P243" s="7" t="s">
        <v>34</v>
      </c>
      <c r="Q243" s="7" t="s">
        <v>34</v>
      </c>
      <c r="R243" s="7" t="s">
        <v>34</v>
      </c>
      <c r="S243" s="7" t="s">
        <v>34</v>
      </c>
      <c r="T243" s="7" t="s">
        <v>34</v>
      </c>
      <c r="U243" s="7" t="s">
        <v>34</v>
      </c>
      <c r="V243" s="7">
        <v>1</v>
      </c>
      <c r="W243" s="7" t="s">
        <v>178</v>
      </c>
      <c r="X243" s="7">
        <v>1</v>
      </c>
      <c r="Y243" s="7" t="s">
        <v>1204</v>
      </c>
      <c r="Z243" s="7" t="s">
        <v>1203</v>
      </c>
      <c r="AA243" s="7">
        <v>27147992</v>
      </c>
      <c r="AB243" s="7">
        <v>1</v>
      </c>
      <c r="AC243" s="7"/>
      <c r="AD243" s="7">
        <v>4</v>
      </c>
      <c r="AE243" s="24">
        <v>23</v>
      </c>
      <c r="AF243" s="7">
        <v>11.5</v>
      </c>
      <c r="AG243" s="7">
        <v>11.5</v>
      </c>
      <c r="AH243" s="7" t="s">
        <v>1642</v>
      </c>
      <c r="AI243" s="7" t="s">
        <v>1642</v>
      </c>
      <c r="AJ243" s="7" t="s">
        <v>1867</v>
      </c>
      <c r="AK243" s="7"/>
      <c r="AL243" s="7"/>
      <c r="AM243" s="7" t="s">
        <v>1867</v>
      </c>
      <c r="AN243" s="7"/>
      <c r="AO243" s="7"/>
      <c r="AP243" s="7">
        <v>10</v>
      </c>
      <c r="AQ243" s="7" t="s">
        <v>2140</v>
      </c>
      <c r="AR243" s="7" t="s">
        <v>2139</v>
      </c>
      <c r="AS243" s="7" t="s">
        <v>1878</v>
      </c>
      <c r="AT243" s="7" t="s">
        <v>1640</v>
      </c>
      <c r="AU243" s="7" t="s">
        <v>178</v>
      </c>
      <c r="AV243" s="7" t="s">
        <v>1641</v>
      </c>
      <c r="AW243" s="7" t="s">
        <v>1639</v>
      </c>
      <c r="AX243" s="7" t="s">
        <v>2138</v>
      </c>
      <c r="AY243" s="21" t="s">
        <v>1955</v>
      </c>
      <c r="AZ243" s="21" t="s">
        <v>1650</v>
      </c>
      <c r="BA243" s="21">
        <v>273</v>
      </c>
      <c r="BB243" s="21">
        <v>268</v>
      </c>
      <c r="BC243" s="21" t="s">
        <v>2158</v>
      </c>
      <c r="BD243" s="7">
        <v>0.42469200000000001</v>
      </c>
      <c r="BE243" s="7"/>
      <c r="BF243" s="7">
        <f>0.770371-BD243</f>
        <v>0.34567900000000001</v>
      </c>
      <c r="BG243" s="21" t="s">
        <v>2149</v>
      </c>
      <c r="BH243" s="7">
        <v>0.47402100000000003</v>
      </c>
      <c r="BI243" s="7"/>
      <c r="BJ243" s="7">
        <f>1.21482-BH243</f>
        <v>0.74079899999999999</v>
      </c>
      <c r="BK243" s="9"/>
      <c r="BL243" s="7"/>
    </row>
    <row r="244" spans="1:64" s="21" customFormat="1" x14ac:dyDescent="0.2">
      <c r="A244" s="7">
        <v>63</v>
      </c>
      <c r="B244" s="7" t="s">
        <v>1210</v>
      </c>
      <c r="C244" s="7" t="s">
        <v>1209</v>
      </c>
      <c r="D244" s="7" t="s">
        <v>1208</v>
      </c>
      <c r="E244" s="7" t="s">
        <v>1207</v>
      </c>
      <c r="F244" s="7" t="s">
        <v>336</v>
      </c>
      <c r="G244" s="7">
        <v>2016</v>
      </c>
      <c r="H244" s="7">
        <v>42496</v>
      </c>
      <c r="I244" s="7" t="s">
        <v>1206</v>
      </c>
      <c r="J244" s="7" t="s">
        <v>32</v>
      </c>
      <c r="K244" s="7" t="s">
        <v>1205</v>
      </c>
      <c r="L244" s="7">
        <v>2</v>
      </c>
      <c r="M244" s="7" t="s">
        <v>32</v>
      </c>
      <c r="N244" s="7" t="s">
        <v>34</v>
      </c>
      <c r="O244" s="7" t="s">
        <v>34</v>
      </c>
      <c r="P244" s="7" t="s">
        <v>34</v>
      </c>
      <c r="Q244" s="7" t="s">
        <v>34</v>
      </c>
      <c r="R244" s="7" t="s">
        <v>34</v>
      </c>
      <c r="S244" s="7" t="s">
        <v>34</v>
      </c>
      <c r="T244" s="7" t="s">
        <v>34</v>
      </c>
      <c r="U244" s="7" t="s">
        <v>34</v>
      </c>
      <c r="V244" s="7">
        <v>1</v>
      </c>
      <c r="W244" s="7" t="s">
        <v>178</v>
      </c>
      <c r="X244" s="7">
        <v>1</v>
      </c>
      <c r="Y244" s="7" t="s">
        <v>1204</v>
      </c>
      <c r="Z244" s="7" t="s">
        <v>1203</v>
      </c>
      <c r="AA244" s="7">
        <v>27147992</v>
      </c>
      <c r="AB244" s="7">
        <v>1</v>
      </c>
      <c r="AC244" s="7"/>
      <c r="AD244" s="7">
        <v>4</v>
      </c>
      <c r="AE244" s="24">
        <v>23</v>
      </c>
      <c r="AF244" s="7">
        <v>11.5</v>
      </c>
      <c r="AG244" s="7">
        <v>11.5</v>
      </c>
      <c r="AH244" s="7" t="s">
        <v>1642</v>
      </c>
      <c r="AI244" s="7" t="s">
        <v>1642</v>
      </c>
      <c r="AJ244" s="7" t="s">
        <v>1867</v>
      </c>
      <c r="AK244" s="7"/>
      <c r="AL244" s="7"/>
      <c r="AM244" s="7" t="s">
        <v>1867</v>
      </c>
      <c r="AN244" s="7"/>
      <c r="AO244" s="7"/>
      <c r="AP244" s="7">
        <v>10</v>
      </c>
      <c r="AQ244" s="7" t="s">
        <v>2140</v>
      </c>
      <c r="AR244" s="7" t="s">
        <v>2139</v>
      </c>
      <c r="AS244" s="7" t="s">
        <v>1878</v>
      </c>
      <c r="AT244" s="7" t="s">
        <v>1640</v>
      </c>
      <c r="AU244" s="7" t="s">
        <v>178</v>
      </c>
      <c r="AV244" s="7" t="s">
        <v>1641</v>
      </c>
      <c r="AW244" s="7" t="s">
        <v>1639</v>
      </c>
      <c r="AX244" s="7" t="s">
        <v>2138</v>
      </c>
      <c r="AY244" s="21" t="s">
        <v>1955</v>
      </c>
      <c r="AZ244" s="21" t="s">
        <v>1650</v>
      </c>
      <c r="BA244" s="21">
        <v>273</v>
      </c>
      <c r="BB244" s="21">
        <v>268</v>
      </c>
      <c r="BC244" s="21" t="s">
        <v>2159</v>
      </c>
      <c r="BD244" s="7">
        <v>5.6967400000000001</v>
      </c>
      <c r="BE244" s="7"/>
      <c r="BF244" s="7">
        <f>9.15359-BD244</f>
        <v>3.4568499999999993</v>
      </c>
      <c r="BG244" s="21" t="s">
        <v>2150</v>
      </c>
      <c r="BH244" s="7">
        <v>1.7054499999999999</v>
      </c>
      <c r="BI244" s="7"/>
      <c r="BJ244" s="7">
        <f>2.93136-BH244</f>
        <v>1.2259100000000003</v>
      </c>
      <c r="BK244" s="9"/>
      <c r="BL244" s="7"/>
    </row>
    <row r="245" spans="1:64" s="21" customFormat="1" x14ac:dyDescent="0.2">
      <c r="A245" s="7">
        <v>63</v>
      </c>
      <c r="B245" s="7" t="s">
        <v>1210</v>
      </c>
      <c r="C245" s="7" t="s">
        <v>1209</v>
      </c>
      <c r="D245" s="7" t="s">
        <v>1208</v>
      </c>
      <c r="E245" s="7" t="s">
        <v>1207</v>
      </c>
      <c r="F245" s="7" t="s">
        <v>336</v>
      </c>
      <c r="G245" s="7">
        <v>2016</v>
      </c>
      <c r="H245" s="7">
        <v>42496</v>
      </c>
      <c r="I245" s="7" t="s">
        <v>1206</v>
      </c>
      <c r="J245" s="7" t="s">
        <v>32</v>
      </c>
      <c r="K245" s="7" t="s">
        <v>1205</v>
      </c>
      <c r="L245" s="7">
        <v>2</v>
      </c>
      <c r="M245" s="7" t="s">
        <v>32</v>
      </c>
      <c r="N245" s="7" t="s">
        <v>34</v>
      </c>
      <c r="O245" s="7" t="s">
        <v>34</v>
      </c>
      <c r="P245" s="7" t="s">
        <v>34</v>
      </c>
      <c r="Q245" s="7" t="s">
        <v>34</v>
      </c>
      <c r="R245" s="7" t="s">
        <v>34</v>
      </c>
      <c r="S245" s="7" t="s">
        <v>34</v>
      </c>
      <c r="T245" s="7" t="s">
        <v>34</v>
      </c>
      <c r="U245" s="7" t="s">
        <v>34</v>
      </c>
      <c r="V245" s="7">
        <v>1</v>
      </c>
      <c r="W245" s="7" t="s">
        <v>178</v>
      </c>
      <c r="X245" s="7">
        <v>1</v>
      </c>
      <c r="Y245" s="7" t="s">
        <v>1204</v>
      </c>
      <c r="Z245" s="7" t="s">
        <v>1203</v>
      </c>
      <c r="AA245" s="7">
        <v>27147992</v>
      </c>
      <c r="AB245" s="7">
        <v>1</v>
      </c>
      <c r="AC245" s="7"/>
      <c r="AD245" s="7">
        <v>4</v>
      </c>
      <c r="AE245" s="24">
        <v>23</v>
      </c>
      <c r="AF245" s="7">
        <v>11.5</v>
      </c>
      <c r="AG245" s="7">
        <v>11.5</v>
      </c>
      <c r="AH245" s="7" t="s">
        <v>1642</v>
      </c>
      <c r="AI245" s="7" t="s">
        <v>1642</v>
      </c>
      <c r="AJ245" s="7" t="s">
        <v>1867</v>
      </c>
      <c r="AK245" s="7"/>
      <c r="AL245" s="7"/>
      <c r="AM245" s="7" t="s">
        <v>1867</v>
      </c>
      <c r="AN245" s="7"/>
      <c r="AO245" s="7"/>
      <c r="AP245" s="7">
        <v>10</v>
      </c>
      <c r="AQ245" s="7" t="s">
        <v>2140</v>
      </c>
      <c r="AR245" s="7" t="s">
        <v>2139</v>
      </c>
      <c r="AS245" s="7" t="s">
        <v>1878</v>
      </c>
      <c r="AT245" s="7" t="s">
        <v>1640</v>
      </c>
      <c r="AU245" s="7" t="s">
        <v>178</v>
      </c>
      <c r="AV245" s="7" t="s">
        <v>1641</v>
      </c>
      <c r="AW245" s="7" t="s">
        <v>1639</v>
      </c>
      <c r="AX245" s="7" t="s">
        <v>2138</v>
      </c>
      <c r="AY245" s="21" t="s">
        <v>1955</v>
      </c>
      <c r="AZ245" s="21" t="s">
        <v>1650</v>
      </c>
      <c r="BA245" s="21">
        <v>273</v>
      </c>
      <c r="BB245" s="21">
        <v>268</v>
      </c>
      <c r="BC245" s="21" t="s">
        <v>2160</v>
      </c>
      <c r="BD245" s="7">
        <v>2.12527</v>
      </c>
      <c r="BE245" s="7"/>
      <c r="BF245" s="7">
        <f>3.85372-BD245</f>
        <v>1.72845</v>
      </c>
      <c r="BG245" s="21" t="s">
        <v>2151</v>
      </c>
      <c r="BH245" s="7">
        <v>1.6315500000000001</v>
      </c>
      <c r="BI245" s="7"/>
      <c r="BJ245" s="7">
        <f>2.27364-BH245</f>
        <v>0.64208999999999983</v>
      </c>
      <c r="BK245" s="9"/>
      <c r="BL245" s="7"/>
    </row>
    <row r="246" spans="1:64" x14ac:dyDescent="0.2">
      <c r="A246" s="7">
        <v>64</v>
      </c>
      <c r="B246" s="7" t="s">
        <v>1202</v>
      </c>
      <c r="C246" s="7" t="s">
        <v>1201</v>
      </c>
      <c r="D246" s="7" t="s">
        <v>1200</v>
      </c>
      <c r="E246" s="7" t="s">
        <v>1111</v>
      </c>
      <c r="F246" s="7" t="s">
        <v>498</v>
      </c>
      <c r="G246" s="7">
        <v>2016</v>
      </c>
      <c r="H246" s="7">
        <v>42422</v>
      </c>
      <c r="I246" s="7" t="s">
        <v>32</v>
      </c>
      <c r="J246" s="7" t="s">
        <v>32</v>
      </c>
      <c r="K246" s="7" t="s">
        <v>1199</v>
      </c>
      <c r="L246" s="7">
        <v>2</v>
      </c>
      <c r="M246" s="7" t="s">
        <v>32</v>
      </c>
      <c r="N246" s="7" t="s">
        <v>34</v>
      </c>
      <c r="O246" s="7" t="s">
        <v>34</v>
      </c>
      <c r="P246" s="7" t="s">
        <v>34</v>
      </c>
      <c r="Q246" s="7" t="s">
        <v>34</v>
      </c>
      <c r="R246" s="7" t="s">
        <v>34</v>
      </c>
      <c r="S246" s="7" t="s">
        <v>34</v>
      </c>
      <c r="T246" s="7" t="s">
        <v>34</v>
      </c>
      <c r="U246" s="7" t="s">
        <v>32</v>
      </c>
      <c r="V246" s="7">
        <v>1</v>
      </c>
      <c r="W246" s="7" t="s">
        <v>32</v>
      </c>
      <c r="X246" s="7" t="s">
        <v>32</v>
      </c>
      <c r="Y246" s="7" t="s">
        <v>1198</v>
      </c>
      <c r="Z246" s="7" t="s">
        <v>32</v>
      </c>
      <c r="AA246" s="7">
        <v>26897419</v>
      </c>
      <c r="AB246" s="7">
        <v>1</v>
      </c>
      <c r="AD246" s="7">
        <v>5</v>
      </c>
      <c r="AE246" s="24">
        <v>16</v>
      </c>
      <c r="AF246" s="7">
        <v>8</v>
      </c>
      <c r="AG246" s="7">
        <v>8</v>
      </c>
      <c r="AH246" s="7" t="s">
        <v>1642</v>
      </c>
      <c r="AI246" s="7" t="s">
        <v>1642</v>
      </c>
      <c r="AJ246" s="7" t="s">
        <v>2161</v>
      </c>
      <c r="AM246" s="7" t="s">
        <v>2161</v>
      </c>
      <c r="AP246" s="7">
        <v>1</v>
      </c>
      <c r="AQ246" s="7" t="s">
        <v>1787</v>
      </c>
      <c r="AR246" s="7" t="s">
        <v>1814</v>
      </c>
      <c r="AS246" s="7" t="s">
        <v>1667</v>
      </c>
      <c r="AT246" s="7" t="s">
        <v>2167</v>
      </c>
      <c r="AU246" s="7" t="s">
        <v>178</v>
      </c>
      <c r="AV246" s="7" t="s">
        <v>2166</v>
      </c>
      <c r="AW246" s="7" t="s">
        <v>1678</v>
      </c>
      <c r="AX246" s="7" t="s">
        <v>2162</v>
      </c>
      <c r="AY246" s="7" t="s">
        <v>1881</v>
      </c>
      <c r="AZ246" s="7" t="s">
        <v>1650</v>
      </c>
      <c r="BA246" s="7">
        <v>274</v>
      </c>
      <c r="BB246" s="7">
        <v>269</v>
      </c>
      <c r="BC246" s="7" t="s">
        <v>2164</v>
      </c>
      <c r="BD246" s="7">
        <v>34.170099999999998</v>
      </c>
      <c r="BF246" s="7">
        <f>46.8625-BD246</f>
        <v>12.692399999999999</v>
      </c>
      <c r="BG246" s="7" t="s">
        <v>2165</v>
      </c>
      <c r="BH246" s="7">
        <v>3.4494600000000002</v>
      </c>
      <c r="BJ246" s="7">
        <f>6.81484-BH246</f>
        <v>3.36538</v>
      </c>
    </row>
    <row r="247" spans="1:64" x14ac:dyDescent="0.2">
      <c r="A247" s="7">
        <v>65</v>
      </c>
      <c r="B247" s="7" t="s">
        <v>1197</v>
      </c>
      <c r="C247" s="7" t="s">
        <v>1196</v>
      </c>
      <c r="D247" s="7" t="s">
        <v>1195</v>
      </c>
      <c r="E247" s="7" t="s">
        <v>1194</v>
      </c>
      <c r="F247" s="7" t="s">
        <v>167</v>
      </c>
      <c r="G247" s="7">
        <v>2016</v>
      </c>
      <c r="H247" s="7">
        <v>42398</v>
      </c>
      <c r="I247" s="7" t="s">
        <v>32</v>
      </c>
      <c r="J247" s="7" t="s">
        <v>32</v>
      </c>
      <c r="K247" s="7" t="s">
        <v>1193</v>
      </c>
      <c r="L247" s="7">
        <v>2</v>
      </c>
      <c r="M247" s="7" t="s">
        <v>1192</v>
      </c>
      <c r="N247" s="7" t="s">
        <v>34</v>
      </c>
      <c r="O247" s="7" t="s">
        <v>190</v>
      </c>
      <c r="P247" s="7" t="s">
        <v>34</v>
      </c>
      <c r="Q247" s="7" t="s">
        <v>34</v>
      </c>
      <c r="R247" s="7" t="s">
        <v>739</v>
      </c>
      <c r="S247" s="7" t="s">
        <v>34</v>
      </c>
      <c r="T247" s="7" t="s">
        <v>34</v>
      </c>
      <c r="U247" s="7" t="s">
        <v>32</v>
      </c>
      <c r="V247" s="7">
        <v>1</v>
      </c>
      <c r="W247" s="7" t="s">
        <v>32</v>
      </c>
      <c r="X247" s="7" t="s">
        <v>32</v>
      </c>
      <c r="Y247" s="7" t="s">
        <v>32</v>
      </c>
      <c r="Z247" s="7" t="s">
        <v>32</v>
      </c>
      <c r="AA247" s="7">
        <v>26821287</v>
      </c>
      <c r="AB247" s="7">
        <v>1</v>
      </c>
      <c r="AD247" s="7">
        <v>5</v>
      </c>
      <c r="AE247" s="24">
        <v>15</v>
      </c>
      <c r="AF247" s="7">
        <v>8</v>
      </c>
      <c r="AG247" s="7">
        <v>7</v>
      </c>
      <c r="AH247" s="7" t="s">
        <v>1642</v>
      </c>
      <c r="AI247" s="7" t="s">
        <v>1642</v>
      </c>
      <c r="AJ247" s="7" t="s">
        <v>1810</v>
      </c>
      <c r="AK247" s="7">
        <v>27.5</v>
      </c>
      <c r="AM247" s="7" t="s">
        <v>1810</v>
      </c>
      <c r="AN247" s="7">
        <v>27.5</v>
      </c>
      <c r="AR247" s="7" t="s">
        <v>2170</v>
      </c>
      <c r="AS247" s="7" t="s">
        <v>1878</v>
      </c>
      <c r="AT247" s="7" t="s">
        <v>2168</v>
      </c>
      <c r="AU247" s="7" t="s">
        <v>178</v>
      </c>
      <c r="AV247" s="7" t="s">
        <v>1641</v>
      </c>
      <c r="AW247" s="7" t="s">
        <v>1678</v>
      </c>
      <c r="AX247" s="7" t="s">
        <v>2169</v>
      </c>
      <c r="AY247" s="7" t="s">
        <v>1684</v>
      </c>
      <c r="AZ247" s="7" t="s">
        <v>1650</v>
      </c>
      <c r="BA247" s="7">
        <v>275</v>
      </c>
      <c r="BB247" s="7">
        <v>270</v>
      </c>
      <c r="BC247" s="7" t="s">
        <v>2171</v>
      </c>
      <c r="BD247" s="7">
        <v>35.493000000000002</v>
      </c>
      <c r="BF247" s="7">
        <f>43.2394-BD247</f>
        <v>7.7464000000000013</v>
      </c>
      <c r="BG247" s="7" t="s">
        <v>2172</v>
      </c>
      <c r="BH247" s="7">
        <v>16.901399999999999</v>
      </c>
      <c r="BJ247" s="7">
        <f>20.1408-BH247</f>
        <v>3.2393999999999998</v>
      </c>
      <c r="BK247" s="9" t="s">
        <v>2189</v>
      </c>
    </row>
    <row r="248" spans="1:64" x14ac:dyDescent="0.2">
      <c r="A248" s="7">
        <v>65</v>
      </c>
      <c r="B248" s="7" t="s">
        <v>1197</v>
      </c>
      <c r="C248" s="7" t="s">
        <v>1196</v>
      </c>
      <c r="D248" s="7" t="s">
        <v>1195</v>
      </c>
      <c r="E248" s="7" t="s">
        <v>1194</v>
      </c>
      <c r="F248" s="7" t="s">
        <v>167</v>
      </c>
      <c r="G248" s="7">
        <v>2016</v>
      </c>
      <c r="H248" s="7">
        <v>42398</v>
      </c>
      <c r="I248" s="7" t="s">
        <v>32</v>
      </c>
      <c r="J248" s="7" t="s">
        <v>32</v>
      </c>
      <c r="K248" s="7" t="s">
        <v>1193</v>
      </c>
      <c r="L248" s="7">
        <v>2</v>
      </c>
      <c r="M248" s="7" t="s">
        <v>1192</v>
      </c>
      <c r="N248" s="7" t="s">
        <v>34</v>
      </c>
      <c r="O248" s="7" t="s">
        <v>190</v>
      </c>
      <c r="P248" s="7" t="s">
        <v>34</v>
      </c>
      <c r="Q248" s="7" t="s">
        <v>34</v>
      </c>
      <c r="R248" s="7" t="s">
        <v>739</v>
      </c>
      <c r="S248" s="7" t="s">
        <v>34</v>
      </c>
      <c r="T248" s="7" t="s">
        <v>34</v>
      </c>
      <c r="U248" s="7" t="s">
        <v>32</v>
      </c>
      <c r="V248" s="7">
        <v>1</v>
      </c>
      <c r="W248" s="7" t="s">
        <v>32</v>
      </c>
      <c r="X248" s="7" t="s">
        <v>32</v>
      </c>
      <c r="Y248" s="7" t="s">
        <v>32</v>
      </c>
      <c r="Z248" s="7" t="s">
        <v>32</v>
      </c>
      <c r="AA248" s="7">
        <v>26821287</v>
      </c>
      <c r="AB248" s="7">
        <v>1</v>
      </c>
      <c r="AD248" s="7">
        <v>5</v>
      </c>
      <c r="AE248" s="24">
        <v>14</v>
      </c>
      <c r="AF248" s="7">
        <v>7</v>
      </c>
      <c r="AG248" s="7">
        <v>7</v>
      </c>
      <c r="AH248" s="7" t="s">
        <v>1642</v>
      </c>
      <c r="AI248" s="7" t="s">
        <v>1642</v>
      </c>
      <c r="AJ248" s="7" t="s">
        <v>1810</v>
      </c>
      <c r="AK248" s="7">
        <v>27.5</v>
      </c>
      <c r="AM248" s="7" t="s">
        <v>1810</v>
      </c>
      <c r="AN248" s="7">
        <v>27.5</v>
      </c>
      <c r="AR248" s="7" t="s">
        <v>2170</v>
      </c>
      <c r="AS248" s="7" t="s">
        <v>1878</v>
      </c>
      <c r="AT248" s="7" t="s">
        <v>2168</v>
      </c>
      <c r="AU248" s="7" t="s">
        <v>178</v>
      </c>
      <c r="AV248" s="7" t="s">
        <v>1641</v>
      </c>
      <c r="AW248" s="7" t="s">
        <v>1678</v>
      </c>
      <c r="AX248" s="7" t="s">
        <v>2169</v>
      </c>
      <c r="AY248" s="7" t="s">
        <v>1684</v>
      </c>
      <c r="AZ248" s="7" t="s">
        <v>1650</v>
      </c>
      <c r="BA248" s="7">
        <v>276</v>
      </c>
      <c r="BB248" s="7">
        <v>271</v>
      </c>
      <c r="BC248" s="7" t="s">
        <v>2174</v>
      </c>
      <c r="BD248" s="7">
        <v>21.2804</v>
      </c>
      <c r="BF248" s="7">
        <f>24.7034-BD248</f>
        <v>3.4229999999999983</v>
      </c>
      <c r="BG248" s="7" t="s">
        <v>2173</v>
      </c>
      <c r="BH248" s="7">
        <v>13.5396</v>
      </c>
      <c r="BJ248" s="7">
        <f>16.2655-BH248</f>
        <v>2.7258999999999993</v>
      </c>
    </row>
    <row r="249" spans="1:64" s="21" customFormat="1" x14ac:dyDescent="0.2">
      <c r="A249" s="21">
        <v>65</v>
      </c>
      <c r="B249" s="21" t="s">
        <v>1197</v>
      </c>
      <c r="C249" s="21" t="s">
        <v>1196</v>
      </c>
      <c r="D249" s="21" t="s">
        <v>1195</v>
      </c>
      <c r="E249" s="21" t="s">
        <v>1194</v>
      </c>
      <c r="F249" s="21" t="s">
        <v>167</v>
      </c>
      <c r="G249" s="21">
        <v>2016</v>
      </c>
      <c r="H249" s="21">
        <v>42398</v>
      </c>
      <c r="I249" s="21" t="s">
        <v>32</v>
      </c>
      <c r="J249" s="21" t="s">
        <v>32</v>
      </c>
      <c r="K249" s="21" t="s">
        <v>1193</v>
      </c>
      <c r="L249" s="21">
        <v>2</v>
      </c>
      <c r="M249" s="21" t="s">
        <v>1192</v>
      </c>
      <c r="N249" s="21" t="s">
        <v>34</v>
      </c>
      <c r="O249" s="21" t="s">
        <v>190</v>
      </c>
      <c r="P249" s="21" t="s">
        <v>34</v>
      </c>
      <c r="Q249" s="21" t="s">
        <v>34</v>
      </c>
      <c r="R249" s="21" t="s">
        <v>739</v>
      </c>
      <c r="S249" s="21" t="s">
        <v>34</v>
      </c>
      <c r="T249" s="21" t="s">
        <v>34</v>
      </c>
      <c r="U249" s="21" t="s">
        <v>32</v>
      </c>
      <c r="V249" s="21">
        <v>1</v>
      </c>
      <c r="W249" s="21" t="s">
        <v>32</v>
      </c>
      <c r="X249" s="21" t="s">
        <v>32</v>
      </c>
      <c r="Y249" s="21" t="s">
        <v>32</v>
      </c>
      <c r="Z249" s="21" t="s">
        <v>32</v>
      </c>
      <c r="AA249" s="21">
        <v>26821287</v>
      </c>
      <c r="AB249" s="21">
        <v>1</v>
      </c>
      <c r="AD249" s="21">
        <v>5</v>
      </c>
      <c r="AE249" s="23">
        <v>18</v>
      </c>
      <c r="AF249" s="21">
        <v>9</v>
      </c>
      <c r="AG249" s="21">
        <v>9</v>
      </c>
      <c r="AH249" s="21" t="s">
        <v>1642</v>
      </c>
      <c r="AI249" s="21" t="s">
        <v>1642</v>
      </c>
      <c r="AJ249" s="21" t="s">
        <v>1810</v>
      </c>
      <c r="AK249" s="21">
        <v>27.5</v>
      </c>
      <c r="AM249" s="21" t="s">
        <v>1810</v>
      </c>
      <c r="AN249" s="21">
        <v>27.5</v>
      </c>
      <c r="AP249" s="21">
        <v>3</v>
      </c>
      <c r="AQ249" s="21" t="s">
        <v>2106</v>
      </c>
      <c r="AR249" s="21" t="s">
        <v>2170</v>
      </c>
      <c r="AS249" s="21" t="s">
        <v>1878</v>
      </c>
      <c r="AT249" s="21" t="s">
        <v>2168</v>
      </c>
      <c r="AU249" s="21" t="s">
        <v>178</v>
      </c>
      <c r="AV249" s="21" t="s">
        <v>1641</v>
      </c>
      <c r="AW249" s="21" t="s">
        <v>1639</v>
      </c>
      <c r="AX249" s="21" t="s">
        <v>2169</v>
      </c>
      <c r="AY249" s="38" t="s">
        <v>1662</v>
      </c>
      <c r="AZ249" s="38" t="s">
        <v>1650</v>
      </c>
      <c r="BA249" s="38">
        <v>277</v>
      </c>
      <c r="BB249" s="38">
        <v>272</v>
      </c>
      <c r="BC249" s="38" t="s">
        <v>2180</v>
      </c>
      <c r="BD249" s="38">
        <v>29.448699999999999</v>
      </c>
      <c r="BE249" s="38"/>
      <c r="BF249" s="38">
        <f>34.0745-BD249</f>
        <v>4.6258000000000017</v>
      </c>
      <c r="BG249" s="38" t="s">
        <v>2181</v>
      </c>
      <c r="BH249" s="38">
        <v>32.442399999999999</v>
      </c>
      <c r="BI249" s="38"/>
      <c r="BJ249" s="38">
        <f>38.9733-BH249</f>
        <v>6.5309000000000026</v>
      </c>
      <c r="BK249" s="57"/>
    </row>
    <row r="250" spans="1:64" x14ac:dyDescent="0.2">
      <c r="A250" s="7">
        <v>65</v>
      </c>
      <c r="B250" s="7" t="s">
        <v>1197</v>
      </c>
      <c r="C250" s="7" t="s">
        <v>1196</v>
      </c>
      <c r="D250" s="7" t="s">
        <v>1195</v>
      </c>
      <c r="E250" s="7" t="s">
        <v>1194</v>
      </c>
      <c r="F250" s="7" t="s">
        <v>167</v>
      </c>
      <c r="G250" s="7">
        <v>2016</v>
      </c>
      <c r="H250" s="7">
        <v>42398</v>
      </c>
      <c r="I250" s="7" t="s">
        <v>32</v>
      </c>
      <c r="J250" s="7" t="s">
        <v>32</v>
      </c>
      <c r="K250" s="7" t="s">
        <v>1193</v>
      </c>
      <c r="L250" s="7">
        <v>2</v>
      </c>
      <c r="M250" s="7" t="s">
        <v>1192</v>
      </c>
      <c r="N250" s="7" t="s">
        <v>34</v>
      </c>
      <c r="O250" s="7" t="s">
        <v>190</v>
      </c>
      <c r="P250" s="7" t="s">
        <v>34</v>
      </c>
      <c r="Q250" s="7" t="s">
        <v>34</v>
      </c>
      <c r="R250" s="7" t="s">
        <v>739</v>
      </c>
      <c r="S250" s="7" t="s">
        <v>34</v>
      </c>
      <c r="T250" s="7" t="s">
        <v>34</v>
      </c>
      <c r="U250" s="7" t="s">
        <v>32</v>
      </c>
      <c r="V250" s="7">
        <v>1</v>
      </c>
      <c r="W250" s="7" t="s">
        <v>32</v>
      </c>
      <c r="X250" s="7" t="s">
        <v>32</v>
      </c>
      <c r="Y250" s="7" t="s">
        <v>32</v>
      </c>
      <c r="Z250" s="7" t="s">
        <v>32</v>
      </c>
      <c r="AA250" s="7">
        <v>26821287</v>
      </c>
      <c r="AB250" s="7">
        <v>1</v>
      </c>
      <c r="AD250" s="7">
        <v>5</v>
      </c>
      <c r="AE250" s="24">
        <v>18</v>
      </c>
      <c r="AF250" s="7">
        <v>9</v>
      </c>
      <c r="AG250" s="7">
        <v>9</v>
      </c>
      <c r="AH250" s="7" t="s">
        <v>1642</v>
      </c>
      <c r="AI250" s="7" t="s">
        <v>1642</v>
      </c>
      <c r="AJ250" s="7" t="s">
        <v>1810</v>
      </c>
      <c r="AK250" s="7">
        <v>27.5</v>
      </c>
      <c r="AM250" s="7" t="s">
        <v>1810</v>
      </c>
      <c r="AN250" s="7">
        <v>27.5</v>
      </c>
      <c r="AP250" s="7">
        <v>3</v>
      </c>
      <c r="AQ250" s="7" t="s">
        <v>2106</v>
      </c>
      <c r="AR250" s="7" t="s">
        <v>2170</v>
      </c>
      <c r="AS250" s="7" t="s">
        <v>1878</v>
      </c>
      <c r="AT250" s="7" t="s">
        <v>2168</v>
      </c>
      <c r="AU250" s="7" t="s">
        <v>178</v>
      </c>
      <c r="AV250" s="7" t="s">
        <v>1641</v>
      </c>
      <c r="AW250" s="7" t="s">
        <v>1639</v>
      </c>
      <c r="AX250" s="7" t="s">
        <v>2169</v>
      </c>
      <c r="AY250" s="36" t="s">
        <v>1662</v>
      </c>
      <c r="AZ250" s="36" t="s">
        <v>1650</v>
      </c>
      <c r="BA250" s="36">
        <v>277</v>
      </c>
      <c r="BB250" s="36">
        <v>272</v>
      </c>
      <c r="BC250" s="36" t="s">
        <v>2175</v>
      </c>
      <c r="BD250" s="36">
        <v>50.797899999999998</v>
      </c>
      <c r="BE250" s="36"/>
      <c r="BF250" s="36">
        <f>57.7367-BD250</f>
        <v>6.9388000000000005</v>
      </c>
      <c r="BG250" s="36" t="s">
        <v>2182</v>
      </c>
      <c r="BH250" s="36">
        <v>46.942999999999998</v>
      </c>
      <c r="BI250" s="36"/>
      <c r="BJ250" s="36">
        <f>54.0178-BH250</f>
        <v>7.0748000000000033</v>
      </c>
    </row>
    <row r="251" spans="1:64" x14ac:dyDescent="0.2">
      <c r="A251" s="7">
        <v>65</v>
      </c>
      <c r="B251" s="7" t="s">
        <v>1197</v>
      </c>
      <c r="C251" s="7" t="s">
        <v>1196</v>
      </c>
      <c r="D251" s="7" t="s">
        <v>1195</v>
      </c>
      <c r="E251" s="7" t="s">
        <v>1194</v>
      </c>
      <c r="F251" s="7" t="s">
        <v>167</v>
      </c>
      <c r="G251" s="7">
        <v>2016</v>
      </c>
      <c r="H251" s="7">
        <v>42398</v>
      </c>
      <c r="I251" s="7" t="s">
        <v>32</v>
      </c>
      <c r="J251" s="7" t="s">
        <v>32</v>
      </c>
      <c r="K251" s="7" t="s">
        <v>1193</v>
      </c>
      <c r="L251" s="7">
        <v>2</v>
      </c>
      <c r="M251" s="7" t="s">
        <v>1192</v>
      </c>
      <c r="N251" s="7" t="s">
        <v>34</v>
      </c>
      <c r="O251" s="7" t="s">
        <v>190</v>
      </c>
      <c r="P251" s="7" t="s">
        <v>34</v>
      </c>
      <c r="Q251" s="7" t="s">
        <v>34</v>
      </c>
      <c r="R251" s="7" t="s">
        <v>739</v>
      </c>
      <c r="S251" s="7" t="s">
        <v>34</v>
      </c>
      <c r="T251" s="7" t="s">
        <v>34</v>
      </c>
      <c r="U251" s="7" t="s">
        <v>32</v>
      </c>
      <c r="V251" s="7">
        <v>1</v>
      </c>
      <c r="W251" s="7" t="s">
        <v>32</v>
      </c>
      <c r="X251" s="7" t="s">
        <v>32</v>
      </c>
      <c r="Y251" s="7" t="s">
        <v>32</v>
      </c>
      <c r="Z251" s="7" t="s">
        <v>32</v>
      </c>
      <c r="AA251" s="7">
        <v>26821287</v>
      </c>
      <c r="AB251" s="7">
        <v>1</v>
      </c>
      <c r="AD251" s="7">
        <v>5</v>
      </c>
      <c r="AE251" s="24">
        <v>18</v>
      </c>
      <c r="AF251" s="7">
        <v>9</v>
      </c>
      <c r="AG251" s="7">
        <v>9</v>
      </c>
      <c r="AH251" s="7" t="s">
        <v>1642</v>
      </c>
      <c r="AI251" s="7" t="s">
        <v>1642</v>
      </c>
      <c r="AJ251" s="7" t="s">
        <v>1810</v>
      </c>
      <c r="AK251" s="7">
        <v>27.5</v>
      </c>
      <c r="AM251" s="7" t="s">
        <v>1810</v>
      </c>
      <c r="AN251" s="7">
        <v>27.5</v>
      </c>
      <c r="AP251" s="7">
        <v>3</v>
      </c>
      <c r="AQ251" s="7" t="s">
        <v>2106</v>
      </c>
      <c r="AR251" s="7" t="s">
        <v>2170</v>
      </c>
      <c r="AS251" s="7" t="s">
        <v>1878</v>
      </c>
      <c r="AT251" s="7" t="s">
        <v>2168</v>
      </c>
      <c r="AU251" s="7" t="s">
        <v>178</v>
      </c>
      <c r="AV251" s="7" t="s">
        <v>1641</v>
      </c>
      <c r="AW251" s="7" t="s">
        <v>1639</v>
      </c>
      <c r="AX251" s="7" t="s">
        <v>2169</v>
      </c>
      <c r="AY251" s="36" t="s">
        <v>1663</v>
      </c>
      <c r="AZ251" s="36" t="s">
        <v>1650</v>
      </c>
      <c r="BA251" s="36">
        <v>277</v>
      </c>
      <c r="BB251" s="36">
        <v>272</v>
      </c>
      <c r="BC251" s="36" t="s">
        <v>2176</v>
      </c>
      <c r="BD251" s="36">
        <v>60.9666</v>
      </c>
      <c r="BE251" s="36"/>
      <c r="BF251" s="36">
        <f>66.9529-BD251</f>
        <v>5.9863</v>
      </c>
      <c r="BG251" s="36" t="s">
        <v>2183</v>
      </c>
      <c r="BH251" s="36">
        <v>58.517600000000002</v>
      </c>
      <c r="BI251" s="36"/>
      <c r="BJ251" s="36">
        <f>64.8668-BH251</f>
        <v>6.3491999999999962</v>
      </c>
    </row>
    <row r="252" spans="1:64" x14ac:dyDescent="0.2">
      <c r="A252" s="7">
        <v>65</v>
      </c>
      <c r="B252" s="7" t="s">
        <v>1197</v>
      </c>
      <c r="C252" s="7" t="s">
        <v>1196</v>
      </c>
      <c r="D252" s="7" t="s">
        <v>1195</v>
      </c>
      <c r="E252" s="7" t="s">
        <v>1194</v>
      </c>
      <c r="F252" s="7" t="s">
        <v>167</v>
      </c>
      <c r="G252" s="7">
        <v>2016</v>
      </c>
      <c r="H252" s="7">
        <v>42398</v>
      </c>
      <c r="I252" s="7" t="s">
        <v>32</v>
      </c>
      <c r="J252" s="7" t="s">
        <v>32</v>
      </c>
      <c r="K252" s="7" t="s">
        <v>1193</v>
      </c>
      <c r="L252" s="7">
        <v>2</v>
      </c>
      <c r="M252" s="7" t="s">
        <v>1192</v>
      </c>
      <c r="N252" s="7" t="s">
        <v>34</v>
      </c>
      <c r="O252" s="7" t="s">
        <v>190</v>
      </c>
      <c r="P252" s="7" t="s">
        <v>34</v>
      </c>
      <c r="Q252" s="7" t="s">
        <v>34</v>
      </c>
      <c r="R252" s="7" t="s">
        <v>739</v>
      </c>
      <c r="S252" s="7" t="s">
        <v>34</v>
      </c>
      <c r="T252" s="7" t="s">
        <v>34</v>
      </c>
      <c r="U252" s="7" t="s">
        <v>32</v>
      </c>
      <c r="V252" s="7">
        <v>1</v>
      </c>
      <c r="W252" s="7" t="s">
        <v>32</v>
      </c>
      <c r="X252" s="7" t="s">
        <v>32</v>
      </c>
      <c r="Y252" s="7" t="s">
        <v>32</v>
      </c>
      <c r="Z252" s="7" t="s">
        <v>32</v>
      </c>
      <c r="AA252" s="7">
        <v>26821287</v>
      </c>
      <c r="AB252" s="7">
        <v>1</v>
      </c>
      <c r="AD252" s="7">
        <v>5</v>
      </c>
      <c r="AE252" s="24">
        <v>18</v>
      </c>
      <c r="AF252" s="7">
        <v>9</v>
      </c>
      <c r="AG252" s="7">
        <v>9</v>
      </c>
      <c r="AH252" s="7" t="s">
        <v>1642</v>
      </c>
      <c r="AI252" s="7" t="s">
        <v>1642</v>
      </c>
      <c r="AJ252" s="7" t="s">
        <v>1810</v>
      </c>
      <c r="AK252" s="7">
        <v>27.5</v>
      </c>
      <c r="AM252" s="7" t="s">
        <v>1810</v>
      </c>
      <c r="AN252" s="7">
        <v>27.5</v>
      </c>
      <c r="AP252" s="7">
        <v>3</v>
      </c>
      <c r="AQ252" s="7" t="s">
        <v>2106</v>
      </c>
      <c r="AR252" s="7" t="s">
        <v>2170</v>
      </c>
      <c r="AS252" s="7" t="s">
        <v>1878</v>
      </c>
      <c r="AT252" s="7" t="s">
        <v>2168</v>
      </c>
      <c r="AU252" s="7" t="s">
        <v>178</v>
      </c>
      <c r="AV252" s="7" t="s">
        <v>1641</v>
      </c>
      <c r="AW252" s="7" t="s">
        <v>1639</v>
      </c>
      <c r="AX252" s="7" t="s">
        <v>2169</v>
      </c>
      <c r="AY252" s="36" t="s">
        <v>1664</v>
      </c>
      <c r="AZ252" s="36" t="s">
        <v>1650</v>
      </c>
      <c r="BA252" s="36">
        <v>277</v>
      </c>
      <c r="BB252" s="36">
        <v>272</v>
      </c>
      <c r="BC252" s="36" t="s">
        <v>2187</v>
      </c>
      <c r="BD252" s="36">
        <v>47.586500000000001</v>
      </c>
      <c r="BE252" s="36"/>
      <c r="BF252" s="36">
        <f>54.3898-BD252</f>
        <v>6.8033000000000001</v>
      </c>
      <c r="BG252" s="36" t="s">
        <v>2188</v>
      </c>
      <c r="BH252" s="36">
        <v>38.153599999999997</v>
      </c>
      <c r="BI252" s="36"/>
      <c r="BJ252" s="36">
        <f>42.8698-BH252</f>
        <v>4.7162000000000006</v>
      </c>
    </row>
    <row r="253" spans="1:64" x14ac:dyDescent="0.2">
      <c r="A253" s="7">
        <v>65</v>
      </c>
      <c r="B253" s="7" t="s">
        <v>1197</v>
      </c>
      <c r="C253" s="7" t="s">
        <v>1196</v>
      </c>
      <c r="D253" s="7" t="s">
        <v>1195</v>
      </c>
      <c r="E253" s="7" t="s">
        <v>1194</v>
      </c>
      <c r="F253" s="7" t="s">
        <v>167</v>
      </c>
      <c r="G253" s="7">
        <v>2016</v>
      </c>
      <c r="H253" s="7">
        <v>42398</v>
      </c>
      <c r="I253" s="7" t="s">
        <v>32</v>
      </c>
      <c r="J253" s="7" t="s">
        <v>32</v>
      </c>
      <c r="K253" s="7" t="s">
        <v>1193</v>
      </c>
      <c r="L253" s="7">
        <v>2</v>
      </c>
      <c r="M253" s="7" t="s">
        <v>1192</v>
      </c>
      <c r="N253" s="7" t="s">
        <v>34</v>
      </c>
      <c r="O253" s="7" t="s">
        <v>190</v>
      </c>
      <c r="P253" s="7" t="s">
        <v>34</v>
      </c>
      <c r="Q253" s="7" t="s">
        <v>34</v>
      </c>
      <c r="R253" s="7" t="s">
        <v>739</v>
      </c>
      <c r="S253" s="7" t="s">
        <v>34</v>
      </c>
      <c r="T253" s="7" t="s">
        <v>34</v>
      </c>
      <c r="U253" s="7" t="s">
        <v>32</v>
      </c>
      <c r="V253" s="7">
        <v>1</v>
      </c>
      <c r="W253" s="7" t="s">
        <v>32</v>
      </c>
      <c r="X253" s="7" t="s">
        <v>32</v>
      </c>
      <c r="Y253" s="7" t="s">
        <v>32</v>
      </c>
      <c r="Z253" s="7" t="s">
        <v>32</v>
      </c>
      <c r="AA253" s="7">
        <v>26821287</v>
      </c>
      <c r="AB253" s="7">
        <v>1</v>
      </c>
      <c r="AD253" s="7">
        <v>5</v>
      </c>
      <c r="AE253" s="24">
        <v>18</v>
      </c>
      <c r="AF253" s="7">
        <v>9</v>
      </c>
      <c r="AG253" s="7">
        <v>9</v>
      </c>
      <c r="AH253" s="7" t="s">
        <v>1642</v>
      </c>
      <c r="AI253" s="7" t="s">
        <v>1642</v>
      </c>
      <c r="AJ253" s="7" t="s">
        <v>1810</v>
      </c>
      <c r="AK253" s="7">
        <v>27.5</v>
      </c>
      <c r="AM253" s="7" t="s">
        <v>1810</v>
      </c>
      <c r="AN253" s="7">
        <v>27.5</v>
      </c>
      <c r="AP253" s="7">
        <v>3</v>
      </c>
      <c r="AQ253" s="7" t="s">
        <v>2106</v>
      </c>
      <c r="AR253" s="7" t="s">
        <v>2170</v>
      </c>
      <c r="AS253" s="7" t="s">
        <v>1878</v>
      </c>
      <c r="AT253" s="7" t="s">
        <v>2168</v>
      </c>
      <c r="AU253" s="7" t="s">
        <v>178</v>
      </c>
      <c r="AV253" s="7" t="s">
        <v>1641</v>
      </c>
      <c r="AW253" s="7" t="s">
        <v>1639</v>
      </c>
      <c r="AX253" s="7" t="s">
        <v>2169</v>
      </c>
      <c r="AY253" s="36" t="s">
        <v>1664</v>
      </c>
      <c r="AZ253" s="36" t="s">
        <v>1650</v>
      </c>
      <c r="BA253" s="36">
        <v>277</v>
      </c>
      <c r="BB253" s="36">
        <v>272</v>
      </c>
      <c r="BC253" s="36" t="s">
        <v>2177</v>
      </c>
      <c r="BD253" s="36">
        <v>38.548400000000001</v>
      </c>
      <c r="BE253" s="36"/>
      <c r="BF253" s="36">
        <f>42.4942-BD253</f>
        <v>3.9457999999999984</v>
      </c>
      <c r="BG253" s="36" t="s">
        <v>2184</v>
      </c>
      <c r="BH253" s="36">
        <v>41.360100000000003</v>
      </c>
      <c r="BI253" s="36"/>
      <c r="BJ253" s="36">
        <f>48.798-BH253</f>
        <v>7.4378999999999991</v>
      </c>
    </row>
    <row r="254" spans="1:64" x14ac:dyDescent="0.2">
      <c r="A254" s="7">
        <v>65</v>
      </c>
      <c r="B254" s="7" t="s">
        <v>1197</v>
      </c>
      <c r="C254" s="7" t="s">
        <v>1196</v>
      </c>
      <c r="D254" s="7" t="s">
        <v>1195</v>
      </c>
      <c r="E254" s="7" t="s">
        <v>1194</v>
      </c>
      <c r="F254" s="7" t="s">
        <v>167</v>
      </c>
      <c r="G254" s="7">
        <v>2016</v>
      </c>
      <c r="H254" s="7">
        <v>42398</v>
      </c>
      <c r="I254" s="7" t="s">
        <v>32</v>
      </c>
      <c r="J254" s="7" t="s">
        <v>32</v>
      </c>
      <c r="K254" s="7" t="s">
        <v>1193</v>
      </c>
      <c r="L254" s="7">
        <v>2</v>
      </c>
      <c r="M254" s="7" t="s">
        <v>1192</v>
      </c>
      <c r="N254" s="7" t="s">
        <v>34</v>
      </c>
      <c r="O254" s="7" t="s">
        <v>190</v>
      </c>
      <c r="P254" s="7" t="s">
        <v>34</v>
      </c>
      <c r="Q254" s="7" t="s">
        <v>34</v>
      </c>
      <c r="R254" s="7" t="s">
        <v>739</v>
      </c>
      <c r="S254" s="7" t="s">
        <v>34</v>
      </c>
      <c r="T254" s="7" t="s">
        <v>34</v>
      </c>
      <c r="U254" s="7" t="s">
        <v>32</v>
      </c>
      <c r="V254" s="7">
        <v>1</v>
      </c>
      <c r="W254" s="7" t="s">
        <v>32</v>
      </c>
      <c r="X254" s="7" t="s">
        <v>32</v>
      </c>
      <c r="Y254" s="7" t="s">
        <v>32</v>
      </c>
      <c r="Z254" s="7" t="s">
        <v>32</v>
      </c>
      <c r="AA254" s="7">
        <v>26821287</v>
      </c>
      <c r="AB254" s="7">
        <v>1</v>
      </c>
      <c r="AD254" s="7">
        <v>5</v>
      </c>
      <c r="AE254" s="24">
        <v>18</v>
      </c>
      <c r="AF254" s="7">
        <v>9</v>
      </c>
      <c r="AG254" s="7">
        <v>9</v>
      </c>
      <c r="AH254" s="7" t="s">
        <v>1642</v>
      </c>
      <c r="AI254" s="7" t="s">
        <v>1642</v>
      </c>
      <c r="AJ254" s="7" t="s">
        <v>1810</v>
      </c>
      <c r="AK254" s="7">
        <v>27.5</v>
      </c>
      <c r="AM254" s="7" t="s">
        <v>1810</v>
      </c>
      <c r="AN254" s="7">
        <v>27.5</v>
      </c>
      <c r="AP254" s="7">
        <v>3</v>
      </c>
      <c r="AQ254" s="7" t="s">
        <v>2106</v>
      </c>
      <c r="AR254" s="7" t="s">
        <v>2170</v>
      </c>
      <c r="AS254" s="7" t="s">
        <v>1878</v>
      </c>
      <c r="AT254" s="7" t="s">
        <v>2168</v>
      </c>
      <c r="AU254" s="7" t="s">
        <v>178</v>
      </c>
      <c r="AV254" s="7" t="s">
        <v>1641</v>
      </c>
      <c r="AW254" s="7" t="s">
        <v>1639</v>
      </c>
      <c r="AX254" s="7" t="s">
        <v>2169</v>
      </c>
      <c r="AY254" s="36" t="s">
        <v>1664</v>
      </c>
      <c r="AZ254" s="36" t="s">
        <v>1650</v>
      </c>
      <c r="BA254" s="36">
        <v>277</v>
      </c>
      <c r="BB254" s="36">
        <v>272</v>
      </c>
      <c r="BC254" s="36" t="s">
        <v>2178</v>
      </c>
      <c r="BD254" s="36">
        <v>40.0732</v>
      </c>
      <c r="BE254" s="36"/>
      <c r="BF254" s="36">
        <f>42.7943-BD254</f>
        <v>2.7210999999999999</v>
      </c>
      <c r="BG254" s="36" t="s">
        <v>2185</v>
      </c>
      <c r="BH254" s="36">
        <v>35.991100000000003</v>
      </c>
      <c r="BI254" s="36"/>
      <c r="BJ254" s="36">
        <f>42.3403-BH254</f>
        <v>6.3491999999999962</v>
      </c>
    </row>
    <row r="255" spans="1:64" x14ac:dyDescent="0.2">
      <c r="A255" s="7">
        <v>65</v>
      </c>
      <c r="B255" s="7" t="s">
        <v>1197</v>
      </c>
      <c r="C255" s="7" t="s">
        <v>1196</v>
      </c>
      <c r="D255" s="7" t="s">
        <v>1195</v>
      </c>
      <c r="E255" s="7" t="s">
        <v>1194</v>
      </c>
      <c r="F255" s="7" t="s">
        <v>167</v>
      </c>
      <c r="G255" s="7">
        <v>2016</v>
      </c>
      <c r="H255" s="7">
        <v>42398</v>
      </c>
      <c r="I255" s="7" t="s">
        <v>32</v>
      </c>
      <c r="J255" s="7" t="s">
        <v>32</v>
      </c>
      <c r="K255" s="7" t="s">
        <v>1193</v>
      </c>
      <c r="L255" s="7">
        <v>2</v>
      </c>
      <c r="M255" s="7" t="s">
        <v>1192</v>
      </c>
      <c r="N255" s="7" t="s">
        <v>34</v>
      </c>
      <c r="O255" s="7" t="s">
        <v>190</v>
      </c>
      <c r="P255" s="7" t="s">
        <v>34</v>
      </c>
      <c r="Q255" s="7" t="s">
        <v>34</v>
      </c>
      <c r="R255" s="7" t="s">
        <v>739</v>
      </c>
      <c r="S255" s="7" t="s">
        <v>34</v>
      </c>
      <c r="T255" s="7" t="s">
        <v>34</v>
      </c>
      <c r="U255" s="7" t="s">
        <v>32</v>
      </c>
      <c r="V255" s="7">
        <v>1</v>
      </c>
      <c r="W255" s="7" t="s">
        <v>32</v>
      </c>
      <c r="X255" s="7" t="s">
        <v>32</v>
      </c>
      <c r="Y255" s="7" t="s">
        <v>32</v>
      </c>
      <c r="Z255" s="7" t="s">
        <v>32</v>
      </c>
      <c r="AA255" s="7">
        <v>26821287</v>
      </c>
      <c r="AB255" s="7">
        <v>1</v>
      </c>
      <c r="AD255" s="7">
        <v>5</v>
      </c>
      <c r="AE255" s="24">
        <v>18</v>
      </c>
      <c r="AF255" s="7">
        <v>9</v>
      </c>
      <c r="AG255" s="7">
        <v>9</v>
      </c>
      <c r="AH255" s="7" t="s">
        <v>1642</v>
      </c>
      <c r="AI255" s="7" t="s">
        <v>1642</v>
      </c>
      <c r="AJ255" s="7" t="s">
        <v>1810</v>
      </c>
      <c r="AK255" s="7">
        <v>27.5</v>
      </c>
      <c r="AM255" s="7" t="s">
        <v>1810</v>
      </c>
      <c r="AN255" s="7">
        <v>27.5</v>
      </c>
      <c r="AP255" s="7">
        <v>3</v>
      </c>
      <c r="AQ255" s="7" t="s">
        <v>2106</v>
      </c>
      <c r="AR255" s="7" t="s">
        <v>2170</v>
      </c>
      <c r="AS255" s="7" t="s">
        <v>1878</v>
      </c>
      <c r="AT255" s="7" t="s">
        <v>2168</v>
      </c>
      <c r="AU255" s="7" t="s">
        <v>178</v>
      </c>
      <c r="AV255" s="7" t="s">
        <v>1641</v>
      </c>
      <c r="AW255" s="7" t="s">
        <v>1639</v>
      </c>
      <c r="AX255" s="7" t="s">
        <v>2169</v>
      </c>
      <c r="AY255" s="36" t="s">
        <v>1664</v>
      </c>
      <c r="AZ255" s="36" t="s">
        <v>1650</v>
      </c>
      <c r="BA255" s="36">
        <v>277</v>
      </c>
      <c r="BB255" s="36">
        <v>272</v>
      </c>
      <c r="BC255" s="36" t="s">
        <v>2179</v>
      </c>
      <c r="BD255" s="36">
        <v>44.636299999999999</v>
      </c>
      <c r="BE255" s="36"/>
      <c r="BF255" s="36">
        <f>48.1739-BD255</f>
        <v>3.5376000000000047</v>
      </c>
      <c r="BG255" s="36" t="s">
        <v>2186</v>
      </c>
      <c r="BH255" s="36">
        <v>31.3933</v>
      </c>
      <c r="BI255" s="36"/>
      <c r="BJ255" s="36">
        <f>35.3842-BH255</f>
        <v>3.9908999999999999</v>
      </c>
    </row>
    <row r="256" spans="1:64" x14ac:dyDescent="0.2">
      <c r="A256" s="7">
        <v>66</v>
      </c>
      <c r="B256" s="7" t="s">
        <v>1191</v>
      </c>
      <c r="C256" s="7" t="s">
        <v>1190</v>
      </c>
      <c r="D256" s="7" t="s">
        <v>1189</v>
      </c>
      <c r="E256" s="7" t="s">
        <v>1188</v>
      </c>
      <c r="F256" s="7" t="s">
        <v>824</v>
      </c>
      <c r="G256" s="7">
        <v>2016</v>
      </c>
      <c r="H256" s="7">
        <v>42365</v>
      </c>
      <c r="I256" s="7" t="s">
        <v>32</v>
      </c>
      <c r="J256" s="7" t="s">
        <v>32</v>
      </c>
      <c r="K256" s="7" t="s">
        <v>1187</v>
      </c>
      <c r="L256" s="7">
        <v>2</v>
      </c>
      <c r="M256" s="7" t="s">
        <v>32</v>
      </c>
      <c r="N256" s="7" t="s">
        <v>1186</v>
      </c>
      <c r="O256" s="7" t="s">
        <v>190</v>
      </c>
      <c r="P256" s="7" t="s">
        <v>34</v>
      </c>
      <c r="Q256" s="7" t="s">
        <v>34</v>
      </c>
      <c r="R256" s="7" t="s">
        <v>739</v>
      </c>
      <c r="S256" s="7" t="s">
        <v>34</v>
      </c>
      <c r="T256" s="7" t="s">
        <v>34</v>
      </c>
      <c r="U256" s="7" t="s">
        <v>32</v>
      </c>
      <c r="V256" s="7">
        <v>1</v>
      </c>
      <c r="W256" s="7" t="s">
        <v>32</v>
      </c>
      <c r="X256" s="7" t="s">
        <v>32</v>
      </c>
      <c r="Y256" s="7" t="s">
        <v>32</v>
      </c>
      <c r="Z256" s="7" t="s">
        <v>32</v>
      </c>
      <c r="AA256" s="7">
        <v>26706692</v>
      </c>
      <c r="AB256" s="7">
        <v>1</v>
      </c>
      <c r="AD256" s="7">
        <v>5</v>
      </c>
      <c r="AE256" s="24">
        <v>27</v>
      </c>
      <c r="AF256" s="7">
        <v>18</v>
      </c>
      <c r="AG256" s="7">
        <v>9</v>
      </c>
      <c r="AH256" s="7" t="s">
        <v>1642</v>
      </c>
      <c r="AI256" s="7" t="s">
        <v>1642</v>
      </c>
      <c r="AJ256" s="7" t="s">
        <v>1867</v>
      </c>
      <c r="AM256" s="7" t="s">
        <v>1867</v>
      </c>
      <c r="AP256" s="7">
        <v>2</v>
      </c>
      <c r="AQ256" s="7" t="s">
        <v>1787</v>
      </c>
      <c r="AR256" s="7" t="s">
        <v>1814</v>
      </c>
      <c r="AS256" s="7" t="s">
        <v>1667</v>
      </c>
      <c r="AT256" s="7" t="s">
        <v>1984</v>
      </c>
      <c r="AU256" s="7" t="s">
        <v>178</v>
      </c>
      <c r="AV256" s="7" t="s">
        <v>1689</v>
      </c>
      <c r="AW256" s="7" t="s">
        <v>1678</v>
      </c>
      <c r="AX256" s="7" t="s">
        <v>2190</v>
      </c>
      <c r="AY256" s="44" t="s">
        <v>1900</v>
      </c>
      <c r="AZ256" s="7" t="s">
        <v>1650</v>
      </c>
      <c r="BA256" s="7">
        <v>278</v>
      </c>
      <c r="BB256" s="7">
        <v>273</v>
      </c>
      <c r="BC256" s="7" t="s">
        <v>2198</v>
      </c>
      <c r="BD256" s="7">
        <v>334.255</v>
      </c>
      <c r="BF256" s="7">
        <f>384.936-BD256</f>
        <v>50.680999999999983</v>
      </c>
      <c r="BG256" s="7" t="s">
        <v>2191</v>
      </c>
      <c r="BH256" s="7">
        <v>41.414099999999998</v>
      </c>
      <c r="BJ256" s="7">
        <f>48.9899-BH256</f>
        <v>7.575800000000001</v>
      </c>
      <c r="BK256" s="9" t="s">
        <v>2206</v>
      </c>
    </row>
    <row r="257" spans="1:63" x14ac:dyDescent="0.2">
      <c r="A257" s="7">
        <v>66</v>
      </c>
      <c r="B257" s="7" t="s">
        <v>1191</v>
      </c>
      <c r="C257" s="7" t="s">
        <v>1190</v>
      </c>
      <c r="D257" s="7" t="s">
        <v>1189</v>
      </c>
      <c r="E257" s="7" t="s">
        <v>1188</v>
      </c>
      <c r="F257" s="7" t="s">
        <v>824</v>
      </c>
      <c r="G257" s="7">
        <v>2016</v>
      </c>
      <c r="H257" s="7">
        <v>42365</v>
      </c>
      <c r="I257" s="7" t="s">
        <v>32</v>
      </c>
      <c r="J257" s="7" t="s">
        <v>32</v>
      </c>
      <c r="K257" s="7" t="s">
        <v>1187</v>
      </c>
      <c r="L257" s="7">
        <v>2</v>
      </c>
      <c r="M257" s="7" t="s">
        <v>32</v>
      </c>
      <c r="N257" s="7" t="s">
        <v>1186</v>
      </c>
      <c r="O257" s="7" t="s">
        <v>190</v>
      </c>
      <c r="P257" s="7" t="s">
        <v>34</v>
      </c>
      <c r="Q257" s="7" t="s">
        <v>34</v>
      </c>
      <c r="R257" s="7" t="s">
        <v>739</v>
      </c>
      <c r="S257" s="7" t="s">
        <v>34</v>
      </c>
      <c r="T257" s="7" t="s">
        <v>34</v>
      </c>
      <c r="U257" s="7" t="s">
        <v>32</v>
      </c>
      <c r="V257" s="7">
        <v>1</v>
      </c>
      <c r="W257" s="7" t="s">
        <v>32</v>
      </c>
      <c r="X257" s="7" t="s">
        <v>32</v>
      </c>
      <c r="Y257" s="7" t="s">
        <v>32</v>
      </c>
      <c r="Z257" s="7" t="s">
        <v>32</v>
      </c>
      <c r="AA257" s="7">
        <v>26706692</v>
      </c>
      <c r="AB257" s="7">
        <v>1</v>
      </c>
      <c r="AD257" s="7">
        <v>5</v>
      </c>
      <c r="AE257" s="24">
        <v>27</v>
      </c>
      <c r="AF257" s="7">
        <v>18</v>
      </c>
      <c r="AG257" s="7">
        <v>9</v>
      </c>
      <c r="AH257" s="7" t="s">
        <v>1642</v>
      </c>
      <c r="AI257" s="7" t="s">
        <v>1642</v>
      </c>
      <c r="AJ257" s="7" t="s">
        <v>1867</v>
      </c>
      <c r="AM257" s="7" t="s">
        <v>1867</v>
      </c>
      <c r="AP257" s="7">
        <v>2</v>
      </c>
      <c r="AQ257" s="7" t="s">
        <v>1787</v>
      </c>
      <c r="AR257" s="7" t="s">
        <v>1814</v>
      </c>
      <c r="AS257" s="7" t="s">
        <v>1667</v>
      </c>
      <c r="AT257" s="7" t="s">
        <v>1984</v>
      </c>
      <c r="AU257" s="7" t="s">
        <v>178</v>
      </c>
      <c r="AV257" s="7" t="s">
        <v>2040</v>
      </c>
      <c r="AW257" s="7" t="s">
        <v>1678</v>
      </c>
      <c r="AX257" s="7" t="s">
        <v>2190</v>
      </c>
      <c r="AY257" s="44" t="s">
        <v>2039</v>
      </c>
      <c r="AZ257" s="7" t="s">
        <v>1650</v>
      </c>
      <c r="BA257" s="7">
        <v>278</v>
      </c>
      <c r="BB257" s="7">
        <v>273</v>
      </c>
      <c r="BC257" s="7" t="s">
        <v>2199</v>
      </c>
      <c r="BD257" s="7">
        <v>327.41300000000001</v>
      </c>
      <c r="BF257" s="7">
        <f>379.229-BD257</f>
        <v>51.815999999999974</v>
      </c>
      <c r="BG257" s="7" t="s">
        <v>2192</v>
      </c>
      <c r="BH257" s="7">
        <v>63.131300000000003</v>
      </c>
      <c r="BJ257" s="7">
        <f>76.2626-BH257</f>
        <v>13.131300000000003</v>
      </c>
    </row>
    <row r="258" spans="1:63" x14ac:dyDescent="0.2">
      <c r="A258" s="7">
        <v>66</v>
      </c>
      <c r="B258" s="7" t="s">
        <v>1191</v>
      </c>
      <c r="C258" s="7" t="s">
        <v>1190</v>
      </c>
      <c r="D258" s="7" t="s">
        <v>1189</v>
      </c>
      <c r="E258" s="7" t="s">
        <v>1188</v>
      </c>
      <c r="F258" s="7" t="s">
        <v>824</v>
      </c>
      <c r="G258" s="7">
        <v>2016</v>
      </c>
      <c r="H258" s="7">
        <v>42365</v>
      </c>
      <c r="I258" s="7" t="s">
        <v>32</v>
      </c>
      <c r="J258" s="7" t="s">
        <v>32</v>
      </c>
      <c r="K258" s="7" t="s">
        <v>1187</v>
      </c>
      <c r="L258" s="7">
        <v>2</v>
      </c>
      <c r="M258" s="7" t="s">
        <v>32</v>
      </c>
      <c r="N258" s="7" t="s">
        <v>1186</v>
      </c>
      <c r="O258" s="7" t="s">
        <v>190</v>
      </c>
      <c r="P258" s="7" t="s">
        <v>34</v>
      </c>
      <c r="Q258" s="7" t="s">
        <v>34</v>
      </c>
      <c r="R258" s="7" t="s">
        <v>739</v>
      </c>
      <c r="S258" s="7" t="s">
        <v>34</v>
      </c>
      <c r="T258" s="7" t="s">
        <v>34</v>
      </c>
      <c r="U258" s="7" t="s">
        <v>32</v>
      </c>
      <c r="V258" s="7">
        <v>1</v>
      </c>
      <c r="W258" s="7" t="s">
        <v>32</v>
      </c>
      <c r="X258" s="7" t="s">
        <v>32</v>
      </c>
      <c r="Y258" s="7" t="s">
        <v>32</v>
      </c>
      <c r="Z258" s="7" t="s">
        <v>32</v>
      </c>
      <c r="AA258" s="7">
        <v>26706692</v>
      </c>
      <c r="AB258" s="7">
        <v>1</v>
      </c>
      <c r="AD258" s="7">
        <v>5</v>
      </c>
      <c r="AE258" s="24">
        <v>27</v>
      </c>
      <c r="AF258" s="7">
        <v>18</v>
      </c>
      <c r="AG258" s="7">
        <v>9</v>
      </c>
      <c r="AH258" s="7" t="s">
        <v>1642</v>
      </c>
      <c r="AI258" s="7" t="s">
        <v>1642</v>
      </c>
      <c r="AJ258" s="7" t="s">
        <v>1867</v>
      </c>
      <c r="AM258" s="7" t="s">
        <v>1867</v>
      </c>
      <c r="AP258" s="7">
        <v>2</v>
      </c>
      <c r="AQ258" s="7" t="s">
        <v>1787</v>
      </c>
      <c r="AR258" s="7" t="s">
        <v>1814</v>
      </c>
      <c r="AS258" s="7" t="s">
        <v>1667</v>
      </c>
      <c r="AT258" s="7" t="s">
        <v>1984</v>
      </c>
      <c r="AU258" s="7" t="s">
        <v>178</v>
      </c>
      <c r="AV258" s="7" t="s">
        <v>2041</v>
      </c>
      <c r="AW258" s="7" t="s">
        <v>1678</v>
      </c>
      <c r="AX258" s="7" t="s">
        <v>2190</v>
      </c>
      <c r="AY258" s="44" t="s">
        <v>2039</v>
      </c>
      <c r="AZ258" s="7" t="s">
        <v>1650</v>
      </c>
      <c r="BA258" s="7">
        <v>278</v>
      </c>
      <c r="BB258" s="7">
        <v>273</v>
      </c>
      <c r="BC258" s="7" t="s">
        <v>2200</v>
      </c>
      <c r="BD258" s="7">
        <v>327.702</v>
      </c>
      <c r="BF258" s="7">
        <f>365.145-BD258</f>
        <v>37.442999999999984</v>
      </c>
      <c r="BG258" s="7" t="s">
        <v>2193</v>
      </c>
      <c r="BH258" s="7">
        <v>59.090899999999998</v>
      </c>
      <c r="BJ258" s="7">
        <f>76.2626-BH258</f>
        <v>17.171700000000008</v>
      </c>
    </row>
    <row r="259" spans="1:63" x14ac:dyDescent="0.2">
      <c r="A259" s="7">
        <v>66</v>
      </c>
      <c r="B259" s="7" t="s">
        <v>1191</v>
      </c>
      <c r="C259" s="7" t="s">
        <v>1190</v>
      </c>
      <c r="D259" s="7" t="s">
        <v>1189</v>
      </c>
      <c r="E259" s="7" t="s">
        <v>1188</v>
      </c>
      <c r="F259" s="7" t="s">
        <v>824</v>
      </c>
      <c r="G259" s="7">
        <v>2016</v>
      </c>
      <c r="H259" s="7">
        <v>42365</v>
      </c>
      <c r="I259" s="7" t="s">
        <v>32</v>
      </c>
      <c r="J259" s="7" t="s">
        <v>32</v>
      </c>
      <c r="K259" s="7" t="s">
        <v>1187</v>
      </c>
      <c r="L259" s="7">
        <v>2</v>
      </c>
      <c r="M259" s="7" t="s">
        <v>32</v>
      </c>
      <c r="N259" s="7" t="s">
        <v>1186</v>
      </c>
      <c r="O259" s="7" t="s">
        <v>190</v>
      </c>
      <c r="P259" s="7" t="s">
        <v>34</v>
      </c>
      <c r="Q259" s="7" t="s">
        <v>34</v>
      </c>
      <c r="R259" s="7" t="s">
        <v>739</v>
      </c>
      <c r="S259" s="7" t="s">
        <v>34</v>
      </c>
      <c r="T259" s="7" t="s">
        <v>34</v>
      </c>
      <c r="U259" s="7" t="s">
        <v>32</v>
      </c>
      <c r="V259" s="7">
        <v>1</v>
      </c>
      <c r="W259" s="7" t="s">
        <v>32</v>
      </c>
      <c r="X259" s="7" t="s">
        <v>32</v>
      </c>
      <c r="Y259" s="7" t="s">
        <v>32</v>
      </c>
      <c r="Z259" s="7" t="s">
        <v>32</v>
      </c>
      <c r="AA259" s="7">
        <v>26706692</v>
      </c>
      <c r="AB259" s="7">
        <v>1</v>
      </c>
      <c r="AD259" s="7">
        <v>5</v>
      </c>
      <c r="AE259" s="24">
        <v>27</v>
      </c>
      <c r="AF259" s="7">
        <v>18</v>
      </c>
      <c r="AG259" s="7">
        <v>9</v>
      </c>
      <c r="AH259" s="7" t="s">
        <v>1642</v>
      </c>
      <c r="AI259" s="7" t="s">
        <v>1642</v>
      </c>
      <c r="AJ259" s="7" t="s">
        <v>1867</v>
      </c>
      <c r="AM259" s="7" t="s">
        <v>1867</v>
      </c>
      <c r="AP259" s="7">
        <v>2</v>
      </c>
      <c r="AQ259" s="7" t="s">
        <v>1787</v>
      </c>
      <c r="AR259" s="7" t="s">
        <v>1814</v>
      </c>
      <c r="AS259" s="7" t="s">
        <v>1667</v>
      </c>
      <c r="AT259" s="7" t="s">
        <v>1984</v>
      </c>
      <c r="AU259" s="7" t="s">
        <v>178</v>
      </c>
      <c r="AV259" s="7" t="s">
        <v>2042</v>
      </c>
      <c r="AW259" s="7" t="s">
        <v>1678</v>
      </c>
      <c r="AX259" s="7" t="s">
        <v>2190</v>
      </c>
      <c r="AY259" s="44" t="s">
        <v>2039</v>
      </c>
      <c r="AZ259" s="7" t="s">
        <v>1650</v>
      </c>
      <c r="BA259" s="7">
        <v>278</v>
      </c>
      <c r="BB259" s="7">
        <v>273</v>
      </c>
      <c r="BC259" s="7" t="s">
        <v>2201</v>
      </c>
      <c r="BD259" s="7">
        <v>163.898</v>
      </c>
      <c r="BF259" s="7">
        <f>217.226-BD259</f>
        <v>53.328000000000003</v>
      </c>
      <c r="BG259" s="7" t="s">
        <v>2194</v>
      </c>
      <c r="BH259" s="7">
        <v>57.070700000000002</v>
      </c>
      <c r="BJ259" s="7">
        <f>74.2424-BH259</f>
        <v>17.171700000000001</v>
      </c>
    </row>
    <row r="260" spans="1:63" x14ac:dyDescent="0.2">
      <c r="A260" s="7">
        <v>66</v>
      </c>
      <c r="B260" s="7" t="s">
        <v>1191</v>
      </c>
      <c r="C260" s="7" t="s">
        <v>1190</v>
      </c>
      <c r="D260" s="7" t="s">
        <v>1189</v>
      </c>
      <c r="E260" s="7" t="s">
        <v>1188</v>
      </c>
      <c r="F260" s="7" t="s">
        <v>824</v>
      </c>
      <c r="G260" s="7">
        <v>2016</v>
      </c>
      <c r="H260" s="7">
        <v>42365</v>
      </c>
      <c r="I260" s="7" t="s">
        <v>32</v>
      </c>
      <c r="J260" s="7" t="s">
        <v>32</v>
      </c>
      <c r="K260" s="7" t="s">
        <v>1187</v>
      </c>
      <c r="L260" s="7">
        <v>2</v>
      </c>
      <c r="M260" s="7" t="s">
        <v>32</v>
      </c>
      <c r="N260" s="7" t="s">
        <v>1186</v>
      </c>
      <c r="O260" s="7" t="s">
        <v>190</v>
      </c>
      <c r="P260" s="7" t="s">
        <v>34</v>
      </c>
      <c r="Q260" s="7" t="s">
        <v>34</v>
      </c>
      <c r="R260" s="7" t="s">
        <v>739</v>
      </c>
      <c r="S260" s="7" t="s">
        <v>34</v>
      </c>
      <c r="T260" s="7" t="s">
        <v>34</v>
      </c>
      <c r="U260" s="7" t="s">
        <v>32</v>
      </c>
      <c r="V260" s="7">
        <v>1</v>
      </c>
      <c r="W260" s="7" t="s">
        <v>32</v>
      </c>
      <c r="X260" s="7" t="s">
        <v>32</v>
      </c>
      <c r="Y260" s="7" t="s">
        <v>32</v>
      </c>
      <c r="Z260" s="7" t="s">
        <v>32</v>
      </c>
      <c r="AA260" s="7">
        <v>26706692</v>
      </c>
      <c r="AB260" s="7">
        <v>1</v>
      </c>
      <c r="AD260" s="7">
        <v>5</v>
      </c>
      <c r="AE260" s="24">
        <v>27</v>
      </c>
      <c r="AF260" s="7">
        <v>18</v>
      </c>
      <c r="AG260" s="7">
        <v>9</v>
      </c>
      <c r="AH260" s="7" t="s">
        <v>1642</v>
      </c>
      <c r="AI260" s="7" t="s">
        <v>1642</v>
      </c>
      <c r="AJ260" s="7" t="s">
        <v>1867</v>
      </c>
      <c r="AM260" s="7" t="s">
        <v>1867</v>
      </c>
      <c r="AP260" s="7">
        <v>2</v>
      </c>
      <c r="AQ260" s="7" t="s">
        <v>1787</v>
      </c>
      <c r="AR260" s="7" t="s">
        <v>1814</v>
      </c>
      <c r="AS260" s="7" t="s">
        <v>1667</v>
      </c>
      <c r="AT260" s="7" t="s">
        <v>1984</v>
      </c>
      <c r="AU260" s="7" t="s">
        <v>178</v>
      </c>
      <c r="AV260" s="7" t="s">
        <v>2080</v>
      </c>
      <c r="AW260" s="7" t="s">
        <v>1678</v>
      </c>
      <c r="AX260" s="7" t="s">
        <v>2190</v>
      </c>
      <c r="AY260" s="44" t="s">
        <v>2039</v>
      </c>
      <c r="AZ260" s="7" t="s">
        <v>1650</v>
      </c>
      <c r="BA260" s="7">
        <v>278</v>
      </c>
      <c r="BB260" s="7">
        <v>273</v>
      </c>
      <c r="BC260" s="7" t="s">
        <v>2202</v>
      </c>
      <c r="BD260" s="18">
        <v>154.78299999999999</v>
      </c>
      <c r="BF260" s="7">
        <f>197.143-BD260</f>
        <v>42.360000000000014</v>
      </c>
      <c r="BG260" s="7" t="s">
        <v>2195</v>
      </c>
      <c r="BH260" s="7">
        <v>25.252500000000001</v>
      </c>
      <c r="BJ260" s="7">
        <f>31.8182-BH260</f>
        <v>6.5656999999999996</v>
      </c>
    </row>
    <row r="261" spans="1:63" x14ac:dyDescent="0.2">
      <c r="A261" s="7">
        <v>66</v>
      </c>
      <c r="B261" s="7" t="s">
        <v>1191</v>
      </c>
      <c r="C261" s="7" t="s">
        <v>1190</v>
      </c>
      <c r="D261" s="7" t="s">
        <v>1189</v>
      </c>
      <c r="E261" s="7" t="s">
        <v>1188</v>
      </c>
      <c r="F261" s="7" t="s">
        <v>824</v>
      </c>
      <c r="G261" s="7">
        <v>2016</v>
      </c>
      <c r="H261" s="7">
        <v>42365</v>
      </c>
      <c r="I261" s="7" t="s">
        <v>32</v>
      </c>
      <c r="J261" s="7" t="s">
        <v>32</v>
      </c>
      <c r="K261" s="7" t="s">
        <v>1187</v>
      </c>
      <c r="L261" s="7">
        <v>2</v>
      </c>
      <c r="M261" s="7" t="s">
        <v>32</v>
      </c>
      <c r="N261" s="7" t="s">
        <v>1186</v>
      </c>
      <c r="O261" s="7" t="s">
        <v>190</v>
      </c>
      <c r="P261" s="7" t="s">
        <v>34</v>
      </c>
      <c r="Q261" s="7" t="s">
        <v>34</v>
      </c>
      <c r="R261" s="7" t="s">
        <v>739</v>
      </c>
      <c r="S261" s="7" t="s">
        <v>34</v>
      </c>
      <c r="T261" s="7" t="s">
        <v>34</v>
      </c>
      <c r="U261" s="7" t="s">
        <v>32</v>
      </c>
      <c r="V261" s="7">
        <v>1</v>
      </c>
      <c r="W261" s="7" t="s">
        <v>32</v>
      </c>
      <c r="X261" s="7" t="s">
        <v>32</v>
      </c>
      <c r="Y261" s="7" t="s">
        <v>32</v>
      </c>
      <c r="Z261" s="7" t="s">
        <v>32</v>
      </c>
      <c r="AA261" s="7">
        <v>26706692</v>
      </c>
      <c r="AB261" s="7">
        <v>1</v>
      </c>
      <c r="AD261" s="7">
        <v>5</v>
      </c>
      <c r="AE261" s="24">
        <v>27</v>
      </c>
      <c r="AF261" s="7">
        <v>18</v>
      </c>
      <c r="AG261" s="7">
        <v>9</v>
      </c>
      <c r="AH261" s="7" t="s">
        <v>1642</v>
      </c>
      <c r="AI261" s="7" t="s">
        <v>1642</v>
      </c>
      <c r="AJ261" s="7" t="s">
        <v>1867</v>
      </c>
      <c r="AM261" s="7" t="s">
        <v>1867</v>
      </c>
      <c r="AP261" s="7">
        <v>2</v>
      </c>
      <c r="AQ261" s="7" t="s">
        <v>1787</v>
      </c>
      <c r="AR261" s="7" t="s">
        <v>1814</v>
      </c>
      <c r="AS261" s="7" t="s">
        <v>1667</v>
      </c>
      <c r="AT261" s="7" t="s">
        <v>1984</v>
      </c>
      <c r="AU261" s="7" t="s">
        <v>178</v>
      </c>
      <c r="AV261" s="7" t="s">
        <v>2205</v>
      </c>
      <c r="AW261" s="7" t="s">
        <v>1678</v>
      </c>
      <c r="AX261" s="7" t="s">
        <v>2190</v>
      </c>
      <c r="AY261" s="44" t="s">
        <v>2039</v>
      </c>
      <c r="AZ261" s="7" t="s">
        <v>1650</v>
      </c>
      <c r="BA261" s="7">
        <v>278</v>
      </c>
      <c r="BB261" s="7">
        <v>273</v>
      </c>
      <c r="BC261" s="7" t="s">
        <v>2203</v>
      </c>
      <c r="BD261" s="7">
        <v>65.108900000000006</v>
      </c>
      <c r="BF261" s="7">
        <f>79.1031-BD261</f>
        <v>13.994199999999992</v>
      </c>
      <c r="BG261" s="7" t="s">
        <v>2196</v>
      </c>
      <c r="BH261" s="7">
        <v>34.848500000000001</v>
      </c>
      <c r="BJ261" s="7">
        <f>41.9192-BH261</f>
        <v>7.0706999999999951</v>
      </c>
    </row>
    <row r="262" spans="1:63" x14ac:dyDescent="0.2">
      <c r="A262" s="7">
        <v>66</v>
      </c>
      <c r="B262" s="7" t="s">
        <v>1191</v>
      </c>
      <c r="C262" s="7" t="s">
        <v>1190</v>
      </c>
      <c r="D262" s="7" t="s">
        <v>1189</v>
      </c>
      <c r="E262" s="7" t="s">
        <v>1188</v>
      </c>
      <c r="F262" s="7" t="s">
        <v>824</v>
      </c>
      <c r="G262" s="7">
        <v>2016</v>
      </c>
      <c r="H262" s="7">
        <v>42365</v>
      </c>
      <c r="I262" s="7" t="s">
        <v>32</v>
      </c>
      <c r="J262" s="7" t="s">
        <v>32</v>
      </c>
      <c r="K262" s="7" t="s">
        <v>1187</v>
      </c>
      <c r="L262" s="7">
        <v>2</v>
      </c>
      <c r="M262" s="7" t="s">
        <v>32</v>
      </c>
      <c r="N262" s="7" t="s">
        <v>1186</v>
      </c>
      <c r="O262" s="7" t="s">
        <v>190</v>
      </c>
      <c r="P262" s="7" t="s">
        <v>34</v>
      </c>
      <c r="Q262" s="7" t="s">
        <v>34</v>
      </c>
      <c r="R262" s="7" t="s">
        <v>739</v>
      </c>
      <c r="S262" s="7" t="s">
        <v>34</v>
      </c>
      <c r="T262" s="7" t="s">
        <v>34</v>
      </c>
      <c r="U262" s="7" t="s">
        <v>32</v>
      </c>
      <c r="V262" s="7">
        <v>1</v>
      </c>
      <c r="W262" s="7" t="s">
        <v>32</v>
      </c>
      <c r="X262" s="7" t="s">
        <v>32</v>
      </c>
      <c r="Y262" s="7" t="s">
        <v>32</v>
      </c>
      <c r="Z262" s="7" t="s">
        <v>32</v>
      </c>
      <c r="AA262" s="7">
        <v>26706692</v>
      </c>
      <c r="AB262" s="7">
        <v>1</v>
      </c>
      <c r="AD262" s="7">
        <v>5</v>
      </c>
      <c r="AE262" s="24">
        <v>27</v>
      </c>
      <c r="AF262" s="7">
        <v>18</v>
      </c>
      <c r="AG262" s="7">
        <v>9</v>
      </c>
      <c r="AH262" s="7" t="s">
        <v>1642</v>
      </c>
      <c r="AI262" s="7" t="s">
        <v>1642</v>
      </c>
      <c r="AJ262" s="7" t="s">
        <v>1867</v>
      </c>
      <c r="AM262" s="7" t="s">
        <v>1867</v>
      </c>
      <c r="AP262" s="7">
        <v>2</v>
      </c>
      <c r="AQ262" s="7" t="s">
        <v>1787</v>
      </c>
      <c r="AR262" s="7" t="s">
        <v>1814</v>
      </c>
      <c r="AS262" s="7" t="s">
        <v>1667</v>
      </c>
      <c r="AT262" s="7" t="s">
        <v>1984</v>
      </c>
      <c r="AU262" s="7" t="s">
        <v>178</v>
      </c>
      <c r="AV262" s="7" t="s">
        <v>1899</v>
      </c>
      <c r="AW262" s="7" t="s">
        <v>1678</v>
      </c>
      <c r="AX262" s="7" t="s">
        <v>2190</v>
      </c>
      <c r="AY262" s="44" t="s">
        <v>2039</v>
      </c>
      <c r="AZ262" s="7" t="s">
        <v>1650</v>
      </c>
      <c r="BA262" s="7">
        <v>278</v>
      </c>
      <c r="BB262" s="7">
        <v>273</v>
      </c>
      <c r="BC262" s="7" t="s">
        <v>2204</v>
      </c>
      <c r="BD262" s="7">
        <v>90.033699999999996</v>
      </c>
      <c r="BF262" s="7">
        <f>121.047-BD262</f>
        <v>31.013300000000001</v>
      </c>
      <c r="BG262" s="7" t="s">
        <v>2197</v>
      </c>
      <c r="BH262" s="7">
        <v>60.100999999999999</v>
      </c>
      <c r="BJ262" s="7">
        <f>75.7576-BH262</f>
        <v>15.656599999999997</v>
      </c>
    </row>
    <row r="263" spans="1:63" s="20" customFormat="1" x14ac:dyDescent="0.2">
      <c r="A263" s="20">
        <v>67</v>
      </c>
      <c r="B263" s="20" t="s">
        <v>1185</v>
      </c>
      <c r="C263" s="20" t="s">
        <v>1184</v>
      </c>
      <c r="D263" s="20" t="s">
        <v>1183</v>
      </c>
      <c r="E263" s="20" t="s">
        <v>1182</v>
      </c>
      <c r="F263" s="20" t="s">
        <v>343</v>
      </c>
      <c r="G263" s="20">
        <v>2016</v>
      </c>
      <c r="H263" s="20">
        <v>42298</v>
      </c>
      <c r="I263" s="20" t="s">
        <v>1181</v>
      </c>
      <c r="J263" s="20" t="s">
        <v>1180</v>
      </c>
      <c r="K263" s="20" t="s">
        <v>1179</v>
      </c>
      <c r="L263" s="20">
        <v>2</v>
      </c>
      <c r="M263" s="20" t="s">
        <v>1178</v>
      </c>
      <c r="N263" s="20" t="s">
        <v>1177</v>
      </c>
      <c r="O263" s="20" t="s">
        <v>190</v>
      </c>
      <c r="P263" s="20" t="s">
        <v>34</v>
      </c>
      <c r="Q263" s="20" t="s">
        <v>34</v>
      </c>
      <c r="R263" s="20" t="s">
        <v>1176</v>
      </c>
      <c r="S263" s="20" t="s">
        <v>34</v>
      </c>
      <c r="T263" s="20" t="s">
        <v>34</v>
      </c>
      <c r="U263" s="20" t="s">
        <v>32</v>
      </c>
      <c r="V263" s="20">
        <v>1</v>
      </c>
      <c r="W263" s="20" t="s">
        <v>1175</v>
      </c>
      <c r="X263" s="20" t="s">
        <v>32</v>
      </c>
      <c r="Y263" s="20" t="s">
        <v>32</v>
      </c>
      <c r="Z263" s="20" t="s">
        <v>32</v>
      </c>
      <c r="AA263" s="20">
        <v>26482332</v>
      </c>
      <c r="AB263" s="20">
        <v>0</v>
      </c>
      <c r="AC263" s="20" t="s">
        <v>2208</v>
      </c>
      <c r="AD263" s="20">
        <v>4</v>
      </c>
      <c r="AE263" s="26"/>
      <c r="AH263" s="20" t="s">
        <v>1642</v>
      </c>
      <c r="AI263" s="20" t="s">
        <v>1642</v>
      </c>
      <c r="AK263" s="20">
        <v>262.5</v>
      </c>
      <c r="AN263" s="20">
        <v>262.5</v>
      </c>
      <c r="AT263" s="20" t="s">
        <v>1729</v>
      </c>
      <c r="AX263" s="20" t="s">
        <v>2207</v>
      </c>
      <c r="BK263" s="41"/>
    </row>
    <row r="264" spans="1:63" s="45" customFormat="1" x14ac:dyDescent="0.2">
      <c r="A264" s="45">
        <v>68</v>
      </c>
      <c r="B264" s="45" t="s">
        <v>1174</v>
      </c>
      <c r="C264" s="45" t="s">
        <v>1173</v>
      </c>
      <c r="D264" s="45" t="s">
        <v>1172</v>
      </c>
      <c r="E264" s="45" t="s">
        <v>1171</v>
      </c>
      <c r="F264" s="45" t="s">
        <v>1170</v>
      </c>
      <c r="G264" s="45">
        <v>2015</v>
      </c>
      <c r="H264" s="45">
        <v>42256</v>
      </c>
      <c r="I264" s="45" t="s">
        <v>1169</v>
      </c>
      <c r="J264" s="45" t="s">
        <v>1168</v>
      </c>
      <c r="K264" s="45" t="s">
        <v>1167</v>
      </c>
      <c r="L264" s="45">
        <v>2</v>
      </c>
      <c r="M264" s="45" t="s">
        <v>1166</v>
      </c>
      <c r="N264" s="45" t="s">
        <v>34</v>
      </c>
      <c r="O264" s="45" t="s">
        <v>190</v>
      </c>
      <c r="P264" s="45" t="s">
        <v>34</v>
      </c>
      <c r="Q264" s="45" t="s">
        <v>34</v>
      </c>
      <c r="R264" s="45" t="s">
        <v>34</v>
      </c>
      <c r="S264" s="45" t="s">
        <v>34</v>
      </c>
      <c r="T264" s="45" t="s">
        <v>34</v>
      </c>
      <c r="U264" s="45" t="s">
        <v>32</v>
      </c>
      <c r="V264" s="45" t="s">
        <v>190</v>
      </c>
      <c r="W264" s="45" t="s">
        <v>32</v>
      </c>
      <c r="X264" s="45" t="s">
        <v>32</v>
      </c>
      <c r="Y264" s="45" t="s">
        <v>1165</v>
      </c>
      <c r="Z264" s="45" t="s">
        <v>32</v>
      </c>
      <c r="AA264" s="45">
        <v>26348715</v>
      </c>
      <c r="AE264" s="46"/>
      <c r="BK264" s="47"/>
    </row>
    <row r="265" spans="1:63" x14ac:dyDescent="0.2">
      <c r="A265" s="7">
        <v>69</v>
      </c>
      <c r="B265" s="7" t="s">
        <v>1164</v>
      </c>
      <c r="C265" s="7" t="s">
        <v>1163</v>
      </c>
      <c r="D265" s="7" t="s">
        <v>1162</v>
      </c>
      <c r="E265" s="7" t="s">
        <v>1161</v>
      </c>
      <c r="F265" s="7" t="s">
        <v>45</v>
      </c>
      <c r="G265" s="7">
        <v>2016</v>
      </c>
      <c r="H265" s="7">
        <v>42201</v>
      </c>
      <c r="I265" s="7" t="s">
        <v>1160</v>
      </c>
      <c r="J265" s="7" t="s">
        <v>32</v>
      </c>
      <c r="K265" s="7" t="s">
        <v>1159</v>
      </c>
      <c r="L265" s="7">
        <v>2</v>
      </c>
      <c r="M265" s="7" t="s">
        <v>1158</v>
      </c>
      <c r="N265" s="7" t="s">
        <v>34</v>
      </c>
      <c r="O265" s="7" t="s">
        <v>190</v>
      </c>
      <c r="P265" s="7" t="s">
        <v>34</v>
      </c>
      <c r="Q265" s="7" t="s">
        <v>34</v>
      </c>
      <c r="R265" s="7" t="s">
        <v>34</v>
      </c>
      <c r="S265" s="7" t="s">
        <v>34</v>
      </c>
      <c r="T265" s="7" t="s">
        <v>34</v>
      </c>
      <c r="U265" s="7" t="s">
        <v>32</v>
      </c>
      <c r="V265" s="7">
        <v>1</v>
      </c>
      <c r="W265" s="7" t="s">
        <v>32</v>
      </c>
      <c r="X265" s="7" t="s">
        <v>32</v>
      </c>
      <c r="Y265" s="7" t="s">
        <v>32</v>
      </c>
      <c r="Z265" s="7" t="s">
        <v>32</v>
      </c>
      <c r="AA265" s="7">
        <v>26174596</v>
      </c>
      <c r="AB265" s="7">
        <v>1</v>
      </c>
      <c r="AD265" s="7">
        <v>5</v>
      </c>
      <c r="AE265" s="24">
        <v>16</v>
      </c>
      <c r="AF265" s="7">
        <v>8</v>
      </c>
      <c r="AG265" s="7">
        <v>8</v>
      </c>
      <c r="AH265" s="7" t="s">
        <v>1642</v>
      </c>
      <c r="AI265" s="7" t="s">
        <v>1642</v>
      </c>
      <c r="AJ265" s="7" t="s">
        <v>1867</v>
      </c>
      <c r="AM265" s="7" t="s">
        <v>1867</v>
      </c>
      <c r="AP265" s="7">
        <v>5</v>
      </c>
      <c r="AQ265" s="7" t="s">
        <v>1942</v>
      </c>
      <c r="AR265" s="7" t="s">
        <v>2210</v>
      </c>
      <c r="AS265" s="7" t="s">
        <v>1878</v>
      </c>
      <c r="AT265" s="7" t="s">
        <v>1895</v>
      </c>
      <c r="AU265" s="7" t="s">
        <v>178</v>
      </c>
      <c r="AV265" s="7" t="s">
        <v>1747</v>
      </c>
      <c r="AW265" s="7" t="s">
        <v>1639</v>
      </c>
      <c r="AX265" s="7" t="s">
        <v>2209</v>
      </c>
      <c r="AY265" s="7" t="s">
        <v>1662</v>
      </c>
      <c r="AZ265" s="7" t="s">
        <v>1650</v>
      </c>
      <c r="BA265" s="7">
        <v>279</v>
      </c>
      <c r="BB265" s="7">
        <v>274</v>
      </c>
      <c r="BC265" s="7" t="s">
        <v>2211</v>
      </c>
      <c r="BD265" s="7">
        <v>43.3733</v>
      </c>
      <c r="BF265" s="7">
        <f>BD265-40.4021</f>
        <v>2.9712000000000032</v>
      </c>
      <c r="BG265" s="7" t="s">
        <v>2213</v>
      </c>
      <c r="BH265" s="7">
        <v>44.858600000000003</v>
      </c>
      <c r="BJ265" s="7">
        <f>48.2755-BH265</f>
        <v>3.4168999999999983</v>
      </c>
    </row>
    <row r="266" spans="1:63" x14ac:dyDescent="0.2">
      <c r="A266" s="7">
        <v>69</v>
      </c>
      <c r="B266" s="7" t="s">
        <v>1164</v>
      </c>
      <c r="C266" s="7" t="s">
        <v>1163</v>
      </c>
      <c r="D266" s="7" t="s">
        <v>1162</v>
      </c>
      <c r="E266" s="7" t="s">
        <v>1161</v>
      </c>
      <c r="F266" s="7" t="s">
        <v>45</v>
      </c>
      <c r="G266" s="7">
        <v>2016</v>
      </c>
      <c r="H266" s="7">
        <v>42201</v>
      </c>
      <c r="I266" s="7" t="s">
        <v>1160</v>
      </c>
      <c r="J266" s="7" t="s">
        <v>32</v>
      </c>
      <c r="K266" s="7" t="s">
        <v>1159</v>
      </c>
      <c r="L266" s="7">
        <v>2</v>
      </c>
      <c r="M266" s="7" t="s">
        <v>1158</v>
      </c>
      <c r="N266" s="7" t="s">
        <v>34</v>
      </c>
      <c r="O266" s="7" t="s">
        <v>190</v>
      </c>
      <c r="P266" s="7" t="s">
        <v>34</v>
      </c>
      <c r="Q266" s="7" t="s">
        <v>34</v>
      </c>
      <c r="R266" s="7" t="s">
        <v>34</v>
      </c>
      <c r="S266" s="7" t="s">
        <v>34</v>
      </c>
      <c r="T266" s="7" t="s">
        <v>34</v>
      </c>
      <c r="U266" s="7" t="s">
        <v>32</v>
      </c>
      <c r="V266" s="7">
        <v>1</v>
      </c>
      <c r="W266" s="7" t="s">
        <v>32</v>
      </c>
      <c r="X266" s="7" t="s">
        <v>32</v>
      </c>
      <c r="Y266" s="7" t="s">
        <v>32</v>
      </c>
      <c r="Z266" s="7" t="s">
        <v>32</v>
      </c>
      <c r="AA266" s="7">
        <v>26174596</v>
      </c>
      <c r="AB266" s="7">
        <v>1</v>
      </c>
      <c r="AD266" s="7">
        <v>5</v>
      </c>
      <c r="AE266" s="24">
        <v>16</v>
      </c>
      <c r="AF266" s="7">
        <v>8</v>
      </c>
      <c r="AG266" s="7">
        <v>8</v>
      </c>
      <c r="AH266" s="7" t="s">
        <v>1642</v>
      </c>
      <c r="AI266" s="7" t="s">
        <v>1642</v>
      </c>
      <c r="AJ266" s="7" t="s">
        <v>1867</v>
      </c>
      <c r="AM266" s="7" t="s">
        <v>1867</v>
      </c>
      <c r="AP266" s="7">
        <v>5</v>
      </c>
      <c r="AQ266" s="7" t="s">
        <v>1942</v>
      </c>
      <c r="AR266" s="7" t="s">
        <v>2210</v>
      </c>
      <c r="AS266" s="7" t="s">
        <v>1878</v>
      </c>
      <c r="AT266" s="7" t="s">
        <v>1895</v>
      </c>
      <c r="AU266" s="7" t="s">
        <v>178</v>
      </c>
      <c r="AV266" s="7" t="s">
        <v>1747</v>
      </c>
      <c r="AW266" s="7" t="s">
        <v>1639</v>
      </c>
      <c r="AX266" s="7" t="s">
        <v>2209</v>
      </c>
      <c r="AY266" s="7" t="s">
        <v>1662</v>
      </c>
      <c r="AZ266" s="7" t="s">
        <v>1650</v>
      </c>
      <c r="BA266" s="7">
        <v>279</v>
      </c>
      <c r="BB266" s="7">
        <v>274</v>
      </c>
      <c r="BC266" s="7" t="s">
        <v>2212</v>
      </c>
      <c r="BD266" s="7">
        <v>69.452699999999993</v>
      </c>
      <c r="BF266" s="7">
        <f>BD266-65.887</f>
        <v>3.5656999999999925</v>
      </c>
      <c r="BG266" s="7" t="s">
        <v>2214</v>
      </c>
      <c r="BH266" s="7">
        <v>70.046999999999997</v>
      </c>
      <c r="BJ266" s="7">
        <f>73.6124-BH266</f>
        <v>3.5653999999999968</v>
      </c>
    </row>
    <row r="267" spans="1:63" x14ac:dyDescent="0.2">
      <c r="A267" s="7">
        <v>69</v>
      </c>
      <c r="B267" s="7" t="s">
        <v>1164</v>
      </c>
      <c r="C267" s="7" t="s">
        <v>1163</v>
      </c>
      <c r="D267" s="7" t="s">
        <v>1162</v>
      </c>
      <c r="E267" s="7" t="s">
        <v>1161</v>
      </c>
      <c r="F267" s="7" t="s">
        <v>45</v>
      </c>
      <c r="G267" s="7">
        <v>2016</v>
      </c>
      <c r="H267" s="7">
        <v>42201</v>
      </c>
      <c r="I267" s="7" t="s">
        <v>1160</v>
      </c>
      <c r="J267" s="7" t="s">
        <v>32</v>
      </c>
      <c r="K267" s="7" t="s">
        <v>1159</v>
      </c>
      <c r="L267" s="7">
        <v>2</v>
      </c>
      <c r="M267" s="7" t="s">
        <v>1158</v>
      </c>
      <c r="N267" s="7" t="s">
        <v>34</v>
      </c>
      <c r="O267" s="7" t="s">
        <v>190</v>
      </c>
      <c r="P267" s="7" t="s">
        <v>34</v>
      </c>
      <c r="Q267" s="7" t="s">
        <v>34</v>
      </c>
      <c r="R267" s="7" t="s">
        <v>34</v>
      </c>
      <c r="S267" s="7" t="s">
        <v>34</v>
      </c>
      <c r="T267" s="7" t="s">
        <v>34</v>
      </c>
      <c r="U267" s="7" t="s">
        <v>32</v>
      </c>
      <c r="V267" s="7">
        <v>1</v>
      </c>
      <c r="W267" s="7" t="s">
        <v>32</v>
      </c>
      <c r="X267" s="7" t="s">
        <v>32</v>
      </c>
      <c r="Y267" s="7" t="s">
        <v>32</v>
      </c>
      <c r="Z267" s="7" t="s">
        <v>32</v>
      </c>
      <c r="AA267" s="7">
        <v>26174596</v>
      </c>
      <c r="AB267" s="7">
        <v>1</v>
      </c>
      <c r="AD267" s="7">
        <v>5</v>
      </c>
      <c r="AE267" s="24">
        <v>16</v>
      </c>
      <c r="AF267" s="7">
        <v>8</v>
      </c>
      <c r="AG267" s="7">
        <v>8</v>
      </c>
      <c r="AH267" s="7" t="s">
        <v>1642</v>
      </c>
      <c r="AI267" s="7" t="s">
        <v>1642</v>
      </c>
      <c r="AJ267" s="7" t="s">
        <v>1867</v>
      </c>
      <c r="AM267" s="7" t="s">
        <v>1867</v>
      </c>
      <c r="AP267" s="7">
        <v>5</v>
      </c>
      <c r="AQ267" s="7" t="s">
        <v>1942</v>
      </c>
      <c r="AR267" s="7" t="s">
        <v>2210</v>
      </c>
      <c r="AS267" s="7" t="s">
        <v>1878</v>
      </c>
      <c r="AT267" s="7" t="s">
        <v>1895</v>
      </c>
      <c r="AU267" s="7" t="s">
        <v>178</v>
      </c>
      <c r="AV267" s="7" t="s">
        <v>1641</v>
      </c>
      <c r="AW267" s="7" t="s">
        <v>1639</v>
      </c>
      <c r="AX267" s="7" t="s">
        <v>2209</v>
      </c>
      <c r="AY267" s="7" t="s">
        <v>1664</v>
      </c>
      <c r="AZ267" s="7" t="s">
        <v>1650</v>
      </c>
      <c r="BA267" s="7">
        <v>279</v>
      </c>
      <c r="BB267" s="7">
        <v>274</v>
      </c>
      <c r="BC267" s="7" t="s">
        <v>2215</v>
      </c>
      <c r="BD267" s="7">
        <v>55.079099999999997</v>
      </c>
      <c r="BF267" s="7">
        <f>59.5784-BD267</f>
        <v>4.4993000000000052</v>
      </c>
      <c r="BG267" s="7" t="s">
        <v>2218</v>
      </c>
      <c r="BH267" s="7">
        <v>45.565600000000003</v>
      </c>
      <c r="BJ267" s="7">
        <f>49.2938-BH267</f>
        <v>3.728199999999994</v>
      </c>
    </row>
    <row r="268" spans="1:63" x14ac:dyDescent="0.2">
      <c r="A268" s="7">
        <v>69</v>
      </c>
      <c r="B268" s="7" t="s">
        <v>1164</v>
      </c>
      <c r="C268" s="7" t="s">
        <v>1163</v>
      </c>
      <c r="D268" s="7" t="s">
        <v>1162</v>
      </c>
      <c r="E268" s="7" t="s">
        <v>1161</v>
      </c>
      <c r="F268" s="7" t="s">
        <v>45</v>
      </c>
      <c r="G268" s="7">
        <v>2016</v>
      </c>
      <c r="H268" s="7">
        <v>42201</v>
      </c>
      <c r="I268" s="7" t="s">
        <v>1160</v>
      </c>
      <c r="J268" s="7" t="s">
        <v>32</v>
      </c>
      <c r="K268" s="7" t="s">
        <v>1159</v>
      </c>
      <c r="L268" s="7">
        <v>2</v>
      </c>
      <c r="M268" s="7" t="s">
        <v>1158</v>
      </c>
      <c r="N268" s="7" t="s">
        <v>34</v>
      </c>
      <c r="O268" s="7" t="s">
        <v>190</v>
      </c>
      <c r="P268" s="7" t="s">
        <v>34</v>
      </c>
      <c r="Q268" s="7" t="s">
        <v>34</v>
      </c>
      <c r="R268" s="7" t="s">
        <v>34</v>
      </c>
      <c r="S268" s="7" t="s">
        <v>34</v>
      </c>
      <c r="T268" s="7" t="s">
        <v>34</v>
      </c>
      <c r="U268" s="7" t="s">
        <v>32</v>
      </c>
      <c r="V268" s="7">
        <v>1</v>
      </c>
      <c r="W268" s="7" t="s">
        <v>32</v>
      </c>
      <c r="X268" s="7" t="s">
        <v>32</v>
      </c>
      <c r="Y268" s="7" t="s">
        <v>32</v>
      </c>
      <c r="Z268" s="7" t="s">
        <v>32</v>
      </c>
      <c r="AA268" s="7">
        <v>26174596</v>
      </c>
      <c r="AB268" s="7">
        <v>1</v>
      </c>
      <c r="AD268" s="7">
        <v>5</v>
      </c>
      <c r="AE268" s="24">
        <v>16</v>
      </c>
      <c r="AF268" s="7">
        <v>8</v>
      </c>
      <c r="AG268" s="7">
        <v>8</v>
      </c>
      <c r="AH268" s="7" t="s">
        <v>1642</v>
      </c>
      <c r="AI268" s="7" t="s">
        <v>1642</v>
      </c>
      <c r="AJ268" s="7" t="s">
        <v>1867</v>
      </c>
      <c r="AM268" s="7" t="s">
        <v>1867</v>
      </c>
      <c r="AP268" s="7">
        <v>5</v>
      </c>
      <c r="AQ268" s="7" t="s">
        <v>1942</v>
      </c>
      <c r="AR268" s="7" t="s">
        <v>2210</v>
      </c>
      <c r="AS268" s="7" t="s">
        <v>1878</v>
      </c>
      <c r="AT268" s="7" t="s">
        <v>1895</v>
      </c>
      <c r="AU268" s="7" t="s">
        <v>178</v>
      </c>
      <c r="AV268" s="7" t="s">
        <v>1641</v>
      </c>
      <c r="AW268" s="7" t="s">
        <v>1639</v>
      </c>
      <c r="AX268" s="7" t="s">
        <v>2209</v>
      </c>
      <c r="AY268" s="7" t="s">
        <v>1664</v>
      </c>
      <c r="AZ268" s="7" t="s">
        <v>1650</v>
      </c>
      <c r="BA268" s="7">
        <v>279</v>
      </c>
      <c r="BB268" s="7">
        <v>274</v>
      </c>
      <c r="BC268" s="7" t="s">
        <v>2216</v>
      </c>
      <c r="BD268" s="7">
        <v>45.902999999999999</v>
      </c>
      <c r="BF268" s="7">
        <f>49.5082-BD268</f>
        <v>3.6052000000000035</v>
      </c>
      <c r="BG268" s="7" t="s">
        <v>2219</v>
      </c>
      <c r="BH268" s="7">
        <v>35.875300000000003</v>
      </c>
      <c r="BJ268" s="7">
        <f>39.9889-BH268</f>
        <v>4.1135999999999981</v>
      </c>
    </row>
    <row r="269" spans="1:63" x14ac:dyDescent="0.2">
      <c r="A269" s="7">
        <v>69</v>
      </c>
      <c r="B269" s="7" t="s">
        <v>1164</v>
      </c>
      <c r="C269" s="7" t="s">
        <v>1163</v>
      </c>
      <c r="D269" s="7" t="s">
        <v>1162</v>
      </c>
      <c r="E269" s="7" t="s">
        <v>1161</v>
      </c>
      <c r="F269" s="7" t="s">
        <v>45</v>
      </c>
      <c r="G269" s="7">
        <v>2016</v>
      </c>
      <c r="H269" s="7">
        <v>42201</v>
      </c>
      <c r="I269" s="7" t="s">
        <v>1160</v>
      </c>
      <c r="J269" s="7" t="s">
        <v>32</v>
      </c>
      <c r="K269" s="7" t="s">
        <v>1159</v>
      </c>
      <c r="L269" s="7">
        <v>2</v>
      </c>
      <c r="M269" s="7" t="s">
        <v>1158</v>
      </c>
      <c r="N269" s="7" t="s">
        <v>34</v>
      </c>
      <c r="O269" s="7" t="s">
        <v>190</v>
      </c>
      <c r="P269" s="7" t="s">
        <v>34</v>
      </c>
      <c r="Q269" s="7" t="s">
        <v>34</v>
      </c>
      <c r="R269" s="7" t="s">
        <v>34</v>
      </c>
      <c r="S269" s="7" t="s">
        <v>34</v>
      </c>
      <c r="T269" s="7" t="s">
        <v>34</v>
      </c>
      <c r="U269" s="7" t="s">
        <v>32</v>
      </c>
      <c r="V269" s="7">
        <v>1</v>
      </c>
      <c r="W269" s="7" t="s">
        <v>32</v>
      </c>
      <c r="X269" s="7" t="s">
        <v>32</v>
      </c>
      <c r="Y269" s="7" t="s">
        <v>32</v>
      </c>
      <c r="Z269" s="7" t="s">
        <v>32</v>
      </c>
      <c r="AA269" s="7">
        <v>26174596</v>
      </c>
      <c r="AB269" s="7">
        <v>1</v>
      </c>
      <c r="AD269" s="7">
        <v>5</v>
      </c>
      <c r="AE269" s="24">
        <v>16</v>
      </c>
      <c r="AF269" s="7">
        <v>8</v>
      </c>
      <c r="AG269" s="7">
        <v>8</v>
      </c>
      <c r="AH269" s="7" t="s">
        <v>1642</v>
      </c>
      <c r="AI269" s="7" t="s">
        <v>1642</v>
      </c>
      <c r="AJ269" s="7" t="s">
        <v>1867</v>
      </c>
      <c r="AM269" s="7" t="s">
        <v>1867</v>
      </c>
      <c r="AP269" s="7">
        <v>5</v>
      </c>
      <c r="AQ269" s="7" t="s">
        <v>1942</v>
      </c>
      <c r="AR269" s="7" t="s">
        <v>2210</v>
      </c>
      <c r="AS269" s="7" t="s">
        <v>1878</v>
      </c>
      <c r="AT269" s="7" t="s">
        <v>1895</v>
      </c>
      <c r="AU269" s="7" t="s">
        <v>178</v>
      </c>
      <c r="AV269" s="7" t="s">
        <v>1641</v>
      </c>
      <c r="AW269" s="7" t="s">
        <v>1639</v>
      </c>
      <c r="AX269" s="7" t="s">
        <v>2209</v>
      </c>
      <c r="AY269" s="7" t="s">
        <v>1664</v>
      </c>
      <c r="AZ269" s="7" t="s">
        <v>1650</v>
      </c>
      <c r="BA269" s="7">
        <v>279</v>
      </c>
      <c r="BB269" s="7">
        <v>274</v>
      </c>
      <c r="BC269" s="7" t="s">
        <v>2217</v>
      </c>
      <c r="BD269" s="7">
        <v>43.0259</v>
      </c>
      <c r="BF269" s="7">
        <f>48.2974-BD269</f>
        <v>5.2715000000000032</v>
      </c>
      <c r="BG269" s="7" t="s">
        <v>2220</v>
      </c>
      <c r="BH269" s="7">
        <v>29.1418</v>
      </c>
      <c r="BJ269" s="7">
        <f>31.5844-BH269</f>
        <v>2.4425999999999988</v>
      </c>
    </row>
    <row r="270" spans="1:63" s="20" customFormat="1" x14ac:dyDescent="0.2">
      <c r="A270" s="20">
        <v>70</v>
      </c>
      <c r="B270" s="20" t="s">
        <v>1157</v>
      </c>
      <c r="C270" s="20" t="s">
        <v>1156</v>
      </c>
      <c r="D270" s="20" t="s">
        <v>1155</v>
      </c>
      <c r="E270" s="20" t="s">
        <v>1154</v>
      </c>
      <c r="F270" s="20" t="s">
        <v>1153</v>
      </c>
      <c r="G270" s="20">
        <v>2015</v>
      </c>
      <c r="H270" s="20">
        <v>42113</v>
      </c>
      <c r="I270" s="20" t="s">
        <v>1152</v>
      </c>
      <c r="J270" s="20" t="s">
        <v>32</v>
      </c>
      <c r="K270" s="20" t="s">
        <v>1151</v>
      </c>
      <c r="L270" s="20">
        <v>2</v>
      </c>
      <c r="M270" s="20" t="s">
        <v>32</v>
      </c>
      <c r="N270" s="20" t="s">
        <v>34</v>
      </c>
      <c r="O270" s="20" t="s">
        <v>190</v>
      </c>
      <c r="P270" s="20" t="s">
        <v>34</v>
      </c>
      <c r="Q270" s="20" t="s">
        <v>34</v>
      </c>
      <c r="R270" s="20" t="s">
        <v>739</v>
      </c>
      <c r="S270" s="20" t="s">
        <v>34</v>
      </c>
      <c r="T270" s="20" t="s">
        <v>34</v>
      </c>
      <c r="U270" s="20" t="s">
        <v>32</v>
      </c>
      <c r="V270" s="20">
        <v>1</v>
      </c>
      <c r="W270" s="20" t="s">
        <v>32</v>
      </c>
      <c r="X270" s="20" t="s">
        <v>32</v>
      </c>
      <c r="Y270" s="20" t="s">
        <v>32</v>
      </c>
      <c r="Z270" s="20" t="s">
        <v>32</v>
      </c>
      <c r="AA270" s="20">
        <v>25888136</v>
      </c>
      <c r="AB270" s="20">
        <v>0</v>
      </c>
      <c r="AC270" s="20" t="s">
        <v>2221</v>
      </c>
      <c r="AE270" s="26"/>
      <c r="BK270" s="41"/>
    </row>
    <row r="271" spans="1:63" s="20" customFormat="1" x14ac:dyDescent="0.2">
      <c r="A271" s="20">
        <v>71</v>
      </c>
      <c r="B271" s="20" t="s">
        <v>1150</v>
      </c>
      <c r="C271" s="20" t="s">
        <v>1149</v>
      </c>
      <c r="D271" s="20" t="s">
        <v>1148</v>
      </c>
      <c r="E271" s="20" t="s">
        <v>1147</v>
      </c>
      <c r="F271" s="20" t="s">
        <v>45</v>
      </c>
      <c r="G271" s="20">
        <v>2015</v>
      </c>
      <c r="H271" s="20">
        <v>42105</v>
      </c>
      <c r="I271" s="20" t="s">
        <v>1146</v>
      </c>
      <c r="J271" s="20" t="s">
        <v>32</v>
      </c>
      <c r="K271" s="20" t="s">
        <v>1145</v>
      </c>
      <c r="L271" s="20">
        <v>2</v>
      </c>
      <c r="M271" s="20" t="s">
        <v>1144</v>
      </c>
      <c r="N271" s="20" t="s">
        <v>34</v>
      </c>
      <c r="O271" s="20" t="s">
        <v>190</v>
      </c>
      <c r="P271" s="20" t="s">
        <v>34</v>
      </c>
      <c r="Q271" s="20" t="s">
        <v>34</v>
      </c>
      <c r="R271" s="20" t="s">
        <v>34</v>
      </c>
      <c r="S271" s="20" t="s">
        <v>34</v>
      </c>
      <c r="T271" s="20" t="s">
        <v>34</v>
      </c>
      <c r="U271" s="20" t="s">
        <v>32</v>
      </c>
      <c r="V271" s="20">
        <v>1</v>
      </c>
      <c r="W271" s="20" t="s">
        <v>32</v>
      </c>
      <c r="X271" s="20" t="s">
        <v>32</v>
      </c>
      <c r="Y271" s="20" t="s">
        <v>1143</v>
      </c>
      <c r="Z271" s="20" t="s">
        <v>32</v>
      </c>
      <c r="AA271" s="20">
        <v>25857685</v>
      </c>
      <c r="AB271" s="20">
        <v>0</v>
      </c>
      <c r="AC271" s="20" t="s">
        <v>2222</v>
      </c>
      <c r="AE271" s="26"/>
      <c r="BK271" s="41"/>
    </row>
    <row r="272" spans="1:63" x14ac:dyDescent="0.2">
      <c r="A272" s="7">
        <v>72</v>
      </c>
      <c r="B272" s="7" t="s">
        <v>1142</v>
      </c>
      <c r="C272" s="7" t="s">
        <v>1141</v>
      </c>
      <c r="D272" s="7" t="s">
        <v>1140</v>
      </c>
      <c r="E272" s="7" t="s">
        <v>1119</v>
      </c>
      <c r="F272" s="7" t="s">
        <v>167</v>
      </c>
      <c r="G272" s="7">
        <v>2015</v>
      </c>
      <c r="H272" s="7">
        <v>42098</v>
      </c>
      <c r="I272" s="7" t="s">
        <v>1139</v>
      </c>
      <c r="J272" s="7" t="s">
        <v>1138</v>
      </c>
      <c r="K272" s="7" t="s">
        <v>1137</v>
      </c>
      <c r="L272" s="7">
        <v>2</v>
      </c>
      <c r="M272" s="7" t="s">
        <v>1136</v>
      </c>
      <c r="N272" s="7" t="s">
        <v>34</v>
      </c>
      <c r="O272" s="7" t="s">
        <v>34</v>
      </c>
      <c r="P272" s="7" t="s">
        <v>34</v>
      </c>
      <c r="Q272" s="7" t="s">
        <v>34</v>
      </c>
      <c r="R272" s="7" t="s">
        <v>34</v>
      </c>
      <c r="S272" s="7" t="s">
        <v>34</v>
      </c>
      <c r="T272" s="7" t="s">
        <v>34</v>
      </c>
      <c r="U272" s="7" t="s">
        <v>32</v>
      </c>
      <c r="V272" s="7">
        <v>1</v>
      </c>
      <c r="W272" s="7" t="s">
        <v>32</v>
      </c>
      <c r="X272" s="7" t="s">
        <v>32</v>
      </c>
      <c r="Y272" s="7" t="s">
        <v>32</v>
      </c>
      <c r="Z272" s="7" t="s">
        <v>32</v>
      </c>
      <c r="AA272" s="7">
        <v>25839906</v>
      </c>
      <c r="AB272" s="7">
        <v>1</v>
      </c>
      <c r="AD272" s="7">
        <v>4</v>
      </c>
      <c r="AE272" s="24">
        <v>22</v>
      </c>
      <c r="AF272" s="7">
        <v>10</v>
      </c>
      <c r="AG272" s="7">
        <v>12</v>
      </c>
      <c r="AH272" s="7" t="s">
        <v>1642</v>
      </c>
      <c r="AI272" s="7" t="s">
        <v>1642</v>
      </c>
      <c r="AJ272" s="7" t="s">
        <v>1685</v>
      </c>
      <c r="AM272" s="7" t="s">
        <v>1685</v>
      </c>
      <c r="AP272" s="7">
        <v>5</v>
      </c>
      <c r="AQ272" s="7" t="s">
        <v>1942</v>
      </c>
      <c r="AR272" s="7" t="s">
        <v>1637</v>
      </c>
      <c r="AS272" s="7" t="s">
        <v>1638</v>
      </c>
      <c r="AT272" s="7" t="s">
        <v>1640</v>
      </c>
      <c r="AU272" s="7" t="s">
        <v>178</v>
      </c>
      <c r="AV272" s="7" t="s">
        <v>1653</v>
      </c>
      <c r="AW272" s="7" t="s">
        <v>1639</v>
      </c>
      <c r="AX272" s="7" t="s">
        <v>2223</v>
      </c>
      <c r="AY272" s="7" t="s">
        <v>1662</v>
      </c>
      <c r="AZ272" s="7" t="s">
        <v>1650</v>
      </c>
      <c r="BA272" s="7">
        <v>280</v>
      </c>
      <c r="BB272" s="7">
        <v>275</v>
      </c>
      <c r="BC272" s="7" t="s">
        <v>2224</v>
      </c>
      <c r="BD272" s="7">
        <v>74.580699999999993</v>
      </c>
      <c r="BF272" s="7">
        <f>82.8468-BD272</f>
        <v>8.2661000000000087</v>
      </c>
      <c r="BG272" s="7" t="s">
        <v>2225</v>
      </c>
      <c r="BH272" s="7">
        <v>65.867099999999994</v>
      </c>
      <c r="BJ272" s="7">
        <f>74.1333-BH272</f>
        <v>8.266200000000012</v>
      </c>
    </row>
    <row r="273" spans="1:63" x14ac:dyDescent="0.2">
      <c r="A273" s="7">
        <v>72</v>
      </c>
      <c r="B273" s="7" t="s">
        <v>1142</v>
      </c>
      <c r="C273" s="7" t="s">
        <v>1141</v>
      </c>
      <c r="D273" s="7" t="s">
        <v>1140</v>
      </c>
      <c r="E273" s="7" t="s">
        <v>1119</v>
      </c>
      <c r="F273" s="7" t="s">
        <v>167</v>
      </c>
      <c r="G273" s="7">
        <v>2015</v>
      </c>
      <c r="H273" s="7">
        <v>42098</v>
      </c>
      <c r="I273" s="7" t="s">
        <v>1139</v>
      </c>
      <c r="J273" s="7" t="s">
        <v>1138</v>
      </c>
      <c r="K273" s="7" t="s">
        <v>1137</v>
      </c>
      <c r="L273" s="7">
        <v>2</v>
      </c>
      <c r="M273" s="7" t="s">
        <v>1136</v>
      </c>
      <c r="N273" s="7" t="s">
        <v>34</v>
      </c>
      <c r="O273" s="7" t="s">
        <v>34</v>
      </c>
      <c r="P273" s="7" t="s">
        <v>34</v>
      </c>
      <c r="Q273" s="7" t="s">
        <v>34</v>
      </c>
      <c r="R273" s="7" t="s">
        <v>34</v>
      </c>
      <c r="S273" s="7" t="s">
        <v>34</v>
      </c>
      <c r="T273" s="7" t="s">
        <v>34</v>
      </c>
      <c r="U273" s="7" t="s">
        <v>32</v>
      </c>
      <c r="V273" s="7">
        <v>1</v>
      </c>
      <c r="W273" s="7" t="s">
        <v>32</v>
      </c>
      <c r="X273" s="7" t="s">
        <v>32</v>
      </c>
      <c r="Y273" s="7" t="s">
        <v>32</v>
      </c>
      <c r="Z273" s="7" t="s">
        <v>32</v>
      </c>
      <c r="AA273" s="7">
        <v>25839906</v>
      </c>
      <c r="AB273" s="7">
        <v>1</v>
      </c>
      <c r="AD273" s="7">
        <v>4</v>
      </c>
      <c r="AE273" s="24">
        <v>22</v>
      </c>
      <c r="AF273" s="7">
        <v>10</v>
      </c>
      <c r="AG273" s="7">
        <v>12</v>
      </c>
      <c r="AH273" s="7" t="s">
        <v>1642</v>
      </c>
      <c r="AI273" s="7" t="s">
        <v>1642</v>
      </c>
      <c r="AJ273" s="7" t="s">
        <v>1685</v>
      </c>
      <c r="AM273" s="7" t="s">
        <v>1685</v>
      </c>
      <c r="AP273" s="7">
        <v>5</v>
      </c>
      <c r="AQ273" s="7" t="s">
        <v>1942</v>
      </c>
      <c r="AR273" s="7" t="s">
        <v>1637</v>
      </c>
      <c r="AS273" s="7" t="s">
        <v>1638</v>
      </c>
      <c r="AT273" s="7" t="s">
        <v>1640</v>
      </c>
      <c r="AU273" s="7" t="s">
        <v>178</v>
      </c>
      <c r="AV273" s="7" t="s">
        <v>1653</v>
      </c>
      <c r="AW273" s="7" t="s">
        <v>1639</v>
      </c>
      <c r="AX273" s="7" t="s">
        <v>2223</v>
      </c>
      <c r="AY273" s="7" t="s">
        <v>1662</v>
      </c>
      <c r="AZ273" s="7" t="s">
        <v>1650</v>
      </c>
      <c r="BA273" s="7">
        <v>280</v>
      </c>
      <c r="BB273" s="7">
        <v>275</v>
      </c>
      <c r="BC273" s="7" t="s">
        <v>2226</v>
      </c>
      <c r="BD273" s="7">
        <v>81.8917</v>
      </c>
      <c r="BF273" s="7">
        <f>88.143-BD273</f>
        <v>6.2513000000000005</v>
      </c>
      <c r="BG273" s="7" t="s">
        <v>2227</v>
      </c>
      <c r="BH273" s="7">
        <v>80.031599999999997</v>
      </c>
      <c r="BJ273" s="7">
        <f>86.4833-BH273</f>
        <v>6.4517000000000024</v>
      </c>
    </row>
    <row r="274" spans="1:63" x14ac:dyDescent="0.2">
      <c r="A274" s="7">
        <v>72</v>
      </c>
      <c r="B274" s="7" t="s">
        <v>1142</v>
      </c>
      <c r="C274" s="7" t="s">
        <v>1141</v>
      </c>
      <c r="D274" s="7" t="s">
        <v>1140</v>
      </c>
      <c r="E274" s="7" t="s">
        <v>1119</v>
      </c>
      <c r="F274" s="7" t="s">
        <v>167</v>
      </c>
      <c r="G274" s="7">
        <v>2015</v>
      </c>
      <c r="H274" s="7">
        <v>42098</v>
      </c>
      <c r="I274" s="7" t="s">
        <v>1139</v>
      </c>
      <c r="J274" s="7" t="s">
        <v>1138</v>
      </c>
      <c r="K274" s="7" t="s">
        <v>1137</v>
      </c>
      <c r="L274" s="7">
        <v>2</v>
      </c>
      <c r="M274" s="7" t="s">
        <v>1136</v>
      </c>
      <c r="N274" s="7" t="s">
        <v>34</v>
      </c>
      <c r="O274" s="7" t="s">
        <v>34</v>
      </c>
      <c r="P274" s="7" t="s">
        <v>34</v>
      </c>
      <c r="Q274" s="7" t="s">
        <v>34</v>
      </c>
      <c r="R274" s="7" t="s">
        <v>34</v>
      </c>
      <c r="S274" s="7" t="s">
        <v>34</v>
      </c>
      <c r="T274" s="7" t="s">
        <v>34</v>
      </c>
      <c r="U274" s="7" t="s">
        <v>32</v>
      </c>
      <c r="V274" s="7">
        <v>1</v>
      </c>
      <c r="W274" s="7" t="s">
        <v>32</v>
      </c>
      <c r="X274" s="7" t="s">
        <v>32</v>
      </c>
      <c r="Y274" s="7" t="s">
        <v>32</v>
      </c>
      <c r="Z274" s="7" t="s">
        <v>32</v>
      </c>
      <c r="AA274" s="7">
        <v>25839906</v>
      </c>
      <c r="AB274" s="7">
        <v>1</v>
      </c>
      <c r="AD274" s="7">
        <v>4</v>
      </c>
      <c r="AE274" s="24">
        <v>22</v>
      </c>
      <c r="AF274" s="7">
        <v>10</v>
      </c>
      <c r="AG274" s="7">
        <v>12</v>
      </c>
      <c r="AH274" s="7" t="s">
        <v>1642</v>
      </c>
      <c r="AI274" s="7" t="s">
        <v>1642</v>
      </c>
      <c r="AJ274" s="7" t="s">
        <v>1685</v>
      </c>
      <c r="AM274" s="7" t="s">
        <v>1685</v>
      </c>
      <c r="AP274" s="7">
        <v>5</v>
      </c>
      <c r="AQ274" s="7" t="s">
        <v>1942</v>
      </c>
      <c r="AR274" s="7" t="s">
        <v>1637</v>
      </c>
      <c r="AS274" s="7" t="s">
        <v>1638</v>
      </c>
      <c r="AT274" s="7" t="s">
        <v>1640</v>
      </c>
      <c r="AU274" s="7" t="s">
        <v>178</v>
      </c>
      <c r="AV274" s="7" t="s">
        <v>1653</v>
      </c>
      <c r="AW274" s="7" t="s">
        <v>1639</v>
      </c>
      <c r="AX274" s="7" t="s">
        <v>2223</v>
      </c>
      <c r="AY274" s="38" t="s">
        <v>1663</v>
      </c>
      <c r="AZ274" s="36" t="s">
        <v>1650</v>
      </c>
      <c r="BA274" s="36">
        <v>280</v>
      </c>
      <c r="BB274" s="36">
        <v>275</v>
      </c>
      <c r="BC274" s="36" t="s">
        <v>2228</v>
      </c>
      <c r="BD274" s="7">
        <v>66.179500000000004</v>
      </c>
      <c r="BF274" s="7">
        <f>74.5303-BD274</f>
        <v>8.3507999999999925</v>
      </c>
      <c r="BG274" s="7" t="s">
        <v>2231</v>
      </c>
      <c r="BH274" s="7">
        <v>69.519800000000004</v>
      </c>
      <c r="BJ274" s="7">
        <f>77.8706-BH274</f>
        <v>8.3507999999999925</v>
      </c>
    </row>
    <row r="275" spans="1:63" x14ac:dyDescent="0.2">
      <c r="A275" s="7">
        <v>72</v>
      </c>
      <c r="B275" s="7" t="s">
        <v>1142</v>
      </c>
      <c r="C275" s="7" t="s">
        <v>1141</v>
      </c>
      <c r="D275" s="7" t="s">
        <v>1140</v>
      </c>
      <c r="E275" s="7" t="s">
        <v>1119</v>
      </c>
      <c r="F275" s="7" t="s">
        <v>167</v>
      </c>
      <c r="G275" s="7">
        <v>2015</v>
      </c>
      <c r="H275" s="7">
        <v>42098</v>
      </c>
      <c r="I275" s="7" t="s">
        <v>1139</v>
      </c>
      <c r="J275" s="7" t="s">
        <v>1138</v>
      </c>
      <c r="K275" s="7" t="s">
        <v>1137</v>
      </c>
      <c r="L275" s="7">
        <v>2</v>
      </c>
      <c r="M275" s="7" t="s">
        <v>1136</v>
      </c>
      <c r="N275" s="7" t="s">
        <v>34</v>
      </c>
      <c r="O275" s="7" t="s">
        <v>34</v>
      </c>
      <c r="P275" s="7" t="s">
        <v>34</v>
      </c>
      <c r="Q275" s="7" t="s">
        <v>34</v>
      </c>
      <c r="R275" s="7" t="s">
        <v>34</v>
      </c>
      <c r="S275" s="7" t="s">
        <v>34</v>
      </c>
      <c r="T275" s="7" t="s">
        <v>34</v>
      </c>
      <c r="U275" s="7" t="s">
        <v>32</v>
      </c>
      <c r="V275" s="7">
        <v>1</v>
      </c>
      <c r="W275" s="7" t="s">
        <v>32</v>
      </c>
      <c r="X275" s="7" t="s">
        <v>32</v>
      </c>
      <c r="Y275" s="7" t="s">
        <v>32</v>
      </c>
      <c r="Z275" s="7" t="s">
        <v>32</v>
      </c>
      <c r="AA275" s="7">
        <v>25839906</v>
      </c>
      <c r="AB275" s="7">
        <v>1</v>
      </c>
      <c r="AD275" s="7">
        <v>4</v>
      </c>
      <c r="AE275" s="24">
        <v>22</v>
      </c>
      <c r="AF275" s="7">
        <v>10</v>
      </c>
      <c r="AG275" s="7">
        <v>12</v>
      </c>
      <c r="AH275" s="7" t="s">
        <v>1642</v>
      </c>
      <c r="AI275" s="7" t="s">
        <v>1642</v>
      </c>
      <c r="AJ275" s="7" t="s">
        <v>1685</v>
      </c>
      <c r="AM275" s="7" t="s">
        <v>1685</v>
      </c>
      <c r="AP275" s="7">
        <v>5</v>
      </c>
      <c r="AQ275" s="7" t="s">
        <v>1942</v>
      </c>
      <c r="AR275" s="7" t="s">
        <v>1637</v>
      </c>
      <c r="AS275" s="7" t="s">
        <v>1638</v>
      </c>
      <c r="AT275" s="7" t="s">
        <v>1640</v>
      </c>
      <c r="AU275" s="7" t="s">
        <v>178</v>
      </c>
      <c r="AV275" s="7" t="s">
        <v>1653</v>
      </c>
      <c r="AW275" s="7" t="s">
        <v>1639</v>
      </c>
      <c r="AX275" s="7" t="s">
        <v>2223</v>
      </c>
      <c r="AY275" s="36" t="s">
        <v>1664</v>
      </c>
      <c r="AZ275" s="36" t="s">
        <v>1650</v>
      </c>
      <c r="BA275" s="36">
        <v>280</v>
      </c>
      <c r="BB275" s="36">
        <v>275</v>
      </c>
      <c r="BC275" s="36" t="s">
        <v>2229</v>
      </c>
      <c r="BD275" s="7">
        <v>58.663899999999998</v>
      </c>
      <c r="BF275" s="7">
        <f>68.0585-BD275</f>
        <v>9.394599999999997</v>
      </c>
      <c r="BG275" s="7" t="s">
        <v>2232</v>
      </c>
      <c r="BH275" s="7">
        <v>62.839199999999998</v>
      </c>
      <c r="BJ275" s="7">
        <f>72.8601-BH275</f>
        <v>10.020900000000005</v>
      </c>
    </row>
    <row r="276" spans="1:63" x14ac:dyDescent="0.2">
      <c r="A276" s="7">
        <v>72</v>
      </c>
      <c r="B276" s="7" t="s">
        <v>1142</v>
      </c>
      <c r="C276" s="7" t="s">
        <v>1141</v>
      </c>
      <c r="D276" s="7" t="s">
        <v>1140</v>
      </c>
      <c r="E276" s="7" t="s">
        <v>1119</v>
      </c>
      <c r="F276" s="7" t="s">
        <v>167</v>
      </c>
      <c r="G276" s="7">
        <v>2015</v>
      </c>
      <c r="H276" s="7">
        <v>42098</v>
      </c>
      <c r="I276" s="7" t="s">
        <v>1139</v>
      </c>
      <c r="J276" s="7" t="s">
        <v>1138</v>
      </c>
      <c r="K276" s="7" t="s">
        <v>1137</v>
      </c>
      <c r="L276" s="7">
        <v>2</v>
      </c>
      <c r="M276" s="7" t="s">
        <v>1136</v>
      </c>
      <c r="N276" s="7" t="s">
        <v>34</v>
      </c>
      <c r="O276" s="7" t="s">
        <v>34</v>
      </c>
      <c r="P276" s="7" t="s">
        <v>34</v>
      </c>
      <c r="Q276" s="7" t="s">
        <v>34</v>
      </c>
      <c r="R276" s="7" t="s">
        <v>34</v>
      </c>
      <c r="S276" s="7" t="s">
        <v>34</v>
      </c>
      <c r="T276" s="7" t="s">
        <v>34</v>
      </c>
      <c r="U276" s="7" t="s">
        <v>32</v>
      </c>
      <c r="V276" s="7">
        <v>1</v>
      </c>
      <c r="W276" s="7" t="s">
        <v>32</v>
      </c>
      <c r="X276" s="7" t="s">
        <v>32</v>
      </c>
      <c r="Y276" s="7" t="s">
        <v>32</v>
      </c>
      <c r="Z276" s="7" t="s">
        <v>32</v>
      </c>
      <c r="AA276" s="7">
        <v>25839906</v>
      </c>
      <c r="AB276" s="7">
        <v>1</v>
      </c>
      <c r="AD276" s="7">
        <v>4</v>
      </c>
      <c r="AE276" s="24">
        <v>22</v>
      </c>
      <c r="AF276" s="7">
        <v>10</v>
      </c>
      <c r="AG276" s="7">
        <v>12</v>
      </c>
      <c r="AH276" s="7" t="s">
        <v>1642</v>
      </c>
      <c r="AI276" s="7" t="s">
        <v>1642</v>
      </c>
      <c r="AJ276" s="7" t="s">
        <v>1685</v>
      </c>
      <c r="AM276" s="7" t="s">
        <v>1685</v>
      </c>
      <c r="AP276" s="7">
        <v>5</v>
      </c>
      <c r="AQ276" s="7" t="s">
        <v>1942</v>
      </c>
      <c r="AR276" s="7" t="s">
        <v>1637</v>
      </c>
      <c r="AS276" s="7" t="s">
        <v>1638</v>
      </c>
      <c r="AT276" s="7" t="s">
        <v>1640</v>
      </c>
      <c r="AU276" s="7" t="s">
        <v>178</v>
      </c>
      <c r="AV276" s="7" t="s">
        <v>1653</v>
      </c>
      <c r="AW276" s="7" t="s">
        <v>1639</v>
      </c>
      <c r="AX276" s="7" t="s">
        <v>2223</v>
      </c>
      <c r="AY276" s="36" t="s">
        <v>1664</v>
      </c>
      <c r="AZ276" s="36" t="s">
        <v>1650</v>
      </c>
      <c r="BA276" s="36">
        <v>280</v>
      </c>
      <c r="BB276" s="36">
        <v>275</v>
      </c>
      <c r="BC276" s="36" t="s">
        <v>2230</v>
      </c>
      <c r="BD276" s="7">
        <v>34.655500000000004</v>
      </c>
      <c r="BF276" s="7">
        <f>45.7202-BD276</f>
        <v>11.064699999999995</v>
      </c>
      <c r="BG276" s="7" t="s">
        <v>2233</v>
      </c>
      <c r="BH276" s="7">
        <v>39.665999999999997</v>
      </c>
      <c r="BJ276" s="7">
        <f>51.1482-BH276</f>
        <v>11.482200000000006</v>
      </c>
    </row>
    <row r="277" spans="1:63" x14ac:dyDescent="0.2">
      <c r="A277" s="7">
        <v>72</v>
      </c>
      <c r="B277" s="7" t="s">
        <v>1142</v>
      </c>
      <c r="C277" s="7" t="s">
        <v>1141</v>
      </c>
      <c r="D277" s="7" t="s">
        <v>1140</v>
      </c>
      <c r="E277" s="7" t="s">
        <v>1119</v>
      </c>
      <c r="F277" s="7" t="s">
        <v>167</v>
      </c>
      <c r="G277" s="7">
        <v>2015</v>
      </c>
      <c r="H277" s="7">
        <v>42098</v>
      </c>
      <c r="I277" s="7" t="s">
        <v>1139</v>
      </c>
      <c r="J277" s="7" t="s">
        <v>1138</v>
      </c>
      <c r="K277" s="7" t="s">
        <v>1137</v>
      </c>
      <c r="L277" s="7">
        <v>2</v>
      </c>
      <c r="M277" s="7" t="s">
        <v>1136</v>
      </c>
      <c r="N277" s="7" t="s">
        <v>34</v>
      </c>
      <c r="O277" s="7" t="s">
        <v>34</v>
      </c>
      <c r="P277" s="7" t="s">
        <v>34</v>
      </c>
      <c r="Q277" s="7" t="s">
        <v>34</v>
      </c>
      <c r="R277" s="7" t="s">
        <v>34</v>
      </c>
      <c r="S277" s="7" t="s">
        <v>34</v>
      </c>
      <c r="T277" s="7" t="s">
        <v>34</v>
      </c>
      <c r="U277" s="7" t="s">
        <v>32</v>
      </c>
      <c r="V277" s="7">
        <v>1</v>
      </c>
      <c r="W277" s="7" t="s">
        <v>32</v>
      </c>
      <c r="X277" s="7" t="s">
        <v>32</v>
      </c>
      <c r="Y277" s="7" t="s">
        <v>32</v>
      </c>
      <c r="Z277" s="7" t="s">
        <v>32</v>
      </c>
      <c r="AA277" s="7">
        <v>25839906</v>
      </c>
      <c r="AB277" s="7">
        <v>1</v>
      </c>
      <c r="AD277" s="7">
        <v>4</v>
      </c>
      <c r="AE277" s="24">
        <v>22</v>
      </c>
      <c r="AF277" s="7">
        <v>10</v>
      </c>
      <c r="AG277" s="7">
        <v>12</v>
      </c>
      <c r="AH277" s="7" t="s">
        <v>1642</v>
      </c>
      <c r="AI277" s="7" t="s">
        <v>1642</v>
      </c>
      <c r="AJ277" s="7" t="s">
        <v>1685</v>
      </c>
      <c r="AM277" s="7" t="s">
        <v>1685</v>
      </c>
      <c r="AP277" s="7">
        <v>5</v>
      </c>
      <c r="AQ277" s="7" t="s">
        <v>1942</v>
      </c>
      <c r="AR277" s="7" t="s">
        <v>1637</v>
      </c>
      <c r="AS277" s="7" t="s">
        <v>1638</v>
      </c>
      <c r="AT277" s="7" t="s">
        <v>1640</v>
      </c>
      <c r="AU277" s="7" t="s">
        <v>178</v>
      </c>
      <c r="AV277" s="7" t="s">
        <v>1653</v>
      </c>
      <c r="AW277" s="7" t="s">
        <v>1639</v>
      </c>
      <c r="AX277" s="7" t="s">
        <v>2223</v>
      </c>
      <c r="AY277" s="36" t="s">
        <v>1664</v>
      </c>
      <c r="AZ277" s="36" t="s">
        <v>1650</v>
      </c>
      <c r="BA277" s="36">
        <v>280</v>
      </c>
      <c r="BB277" s="36">
        <v>275</v>
      </c>
      <c r="BC277" s="36" t="s">
        <v>2234</v>
      </c>
      <c r="BD277" s="7">
        <v>68.640299999999996</v>
      </c>
      <c r="BF277" s="7">
        <f>77.8296-BD277</f>
        <v>9.1893000000000029</v>
      </c>
      <c r="BG277" s="7" t="s">
        <v>2237</v>
      </c>
      <c r="BH277" s="7">
        <v>49.515500000000003</v>
      </c>
      <c r="BJ277" s="7">
        <f>58.4184-BH277</f>
        <v>8.9028999999999954</v>
      </c>
    </row>
    <row r="278" spans="1:63" x14ac:dyDescent="0.2">
      <c r="A278" s="7">
        <v>72</v>
      </c>
      <c r="B278" s="7" t="s">
        <v>1142</v>
      </c>
      <c r="C278" s="7" t="s">
        <v>1141</v>
      </c>
      <c r="D278" s="7" t="s">
        <v>1140</v>
      </c>
      <c r="E278" s="7" t="s">
        <v>1119</v>
      </c>
      <c r="F278" s="7" t="s">
        <v>167</v>
      </c>
      <c r="G278" s="7">
        <v>2015</v>
      </c>
      <c r="H278" s="7">
        <v>42098</v>
      </c>
      <c r="I278" s="7" t="s">
        <v>1139</v>
      </c>
      <c r="J278" s="7" t="s">
        <v>1138</v>
      </c>
      <c r="K278" s="7" t="s">
        <v>1137</v>
      </c>
      <c r="L278" s="7">
        <v>2</v>
      </c>
      <c r="M278" s="7" t="s">
        <v>1136</v>
      </c>
      <c r="N278" s="7" t="s">
        <v>34</v>
      </c>
      <c r="O278" s="7" t="s">
        <v>34</v>
      </c>
      <c r="P278" s="7" t="s">
        <v>34</v>
      </c>
      <c r="Q278" s="7" t="s">
        <v>34</v>
      </c>
      <c r="R278" s="7" t="s">
        <v>34</v>
      </c>
      <c r="S278" s="7" t="s">
        <v>34</v>
      </c>
      <c r="T278" s="7" t="s">
        <v>34</v>
      </c>
      <c r="U278" s="7" t="s">
        <v>32</v>
      </c>
      <c r="V278" s="7">
        <v>1</v>
      </c>
      <c r="W278" s="7" t="s">
        <v>32</v>
      </c>
      <c r="X278" s="7" t="s">
        <v>32</v>
      </c>
      <c r="Y278" s="7" t="s">
        <v>32</v>
      </c>
      <c r="Z278" s="7" t="s">
        <v>32</v>
      </c>
      <c r="AA278" s="7">
        <v>25839906</v>
      </c>
      <c r="AB278" s="7">
        <v>1</v>
      </c>
      <c r="AD278" s="7">
        <v>4</v>
      </c>
      <c r="AE278" s="24">
        <v>22</v>
      </c>
      <c r="AF278" s="7">
        <v>10</v>
      </c>
      <c r="AG278" s="7">
        <v>12</v>
      </c>
      <c r="AH278" s="7" t="s">
        <v>1642</v>
      </c>
      <c r="AI278" s="7" t="s">
        <v>1642</v>
      </c>
      <c r="AJ278" s="7" t="s">
        <v>1685</v>
      </c>
      <c r="AM278" s="7" t="s">
        <v>1685</v>
      </c>
      <c r="AP278" s="7">
        <v>5</v>
      </c>
      <c r="AQ278" s="7" t="s">
        <v>1942</v>
      </c>
      <c r="AR278" s="7" t="s">
        <v>1637</v>
      </c>
      <c r="AS278" s="7" t="s">
        <v>1638</v>
      </c>
      <c r="AT278" s="7" t="s">
        <v>1640</v>
      </c>
      <c r="AU278" s="7" t="s">
        <v>178</v>
      </c>
      <c r="AV278" s="7" t="s">
        <v>1653</v>
      </c>
      <c r="AW278" s="7" t="s">
        <v>1639</v>
      </c>
      <c r="AX278" s="7" t="s">
        <v>2223</v>
      </c>
      <c r="AY278" s="36" t="s">
        <v>1664</v>
      </c>
      <c r="AZ278" s="36" t="s">
        <v>1650</v>
      </c>
      <c r="BA278" s="36">
        <v>280</v>
      </c>
      <c r="BB278" s="36">
        <v>275</v>
      </c>
      <c r="BC278" s="36" t="s">
        <v>2235</v>
      </c>
      <c r="BD278" s="7">
        <v>60.371899999999997</v>
      </c>
      <c r="BF278" s="7">
        <f>71.4824-BD278</f>
        <v>11.110500000000002</v>
      </c>
      <c r="BG278" s="7" t="s">
        <v>2238</v>
      </c>
      <c r="BH278" s="7">
        <v>57.623899999999999</v>
      </c>
      <c r="BJ278" s="7">
        <f>68.3076-BH278</f>
        <v>10.683699999999995</v>
      </c>
    </row>
    <row r="279" spans="1:63" x14ac:dyDescent="0.2">
      <c r="A279" s="7">
        <v>72</v>
      </c>
      <c r="B279" s="7" t="s">
        <v>1142</v>
      </c>
      <c r="C279" s="7" t="s">
        <v>1141</v>
      </c>
      <c r="D279" s="7" t="s">
        <v>1140</v>
      </c>
      <c r="E279" s="7" t="s">
        <v>1119</v>
      </c>
      <c r="F279" s="7" t="s">
        <v>167</v>
      </c>
      <c r="G279" s="7">
        <v>2015</v>
      </c>
      <c r="H279" s="7">
        <v>42098</v>
      </c>
      <c r="I279" s="7" t="s">
        <v>1139</v>
      </c>
      <c r="J279" s="7" t="s">
        <v>1138</v>
      </c>
      <c r="K279" s="7" t="s">
        <v>1137</v>
      </c>
      <c r="L279" s="7">
        <v>2</v>
      </c>
      <c r="M279" s="7" t="s">
        <v>1136</v>
      </c>
      <c r="N279" s="7" t="s">
        <v>34</v>
      </c>
      <c r="O279" s="7" t="s">
        <v>34</v>
      </c>
      <c r="P279" s="7" t="s">
        <v>34</v>
      </c>
      <c r="Q279" s="7" t="s">
        <v>34</v>
      </c>
      <c r="R279" s="7" t="s">
        <v>34</v>
      </c>
      <c r="S279" s="7" t="s">
        <v>34</v>
      </c>
      <c r="T279" s="7" t="s">
        <v>34</v>
      </c>
      <c r="U279" s="7" t="s">
        <v>32</v>
      </c>
      <c r="V279" s="7">
        <v>1</v>
      </c>
      <c r="W279" s="7" t="s">
        <v>32</v>
      </c>
      <c r="X279" s="7" t="s">
        <v>32</v>
      </c>
      <c r="Y279" s="7" t="s">
        <v>32</v>
      </c>
      <c r="Z279" s="7" t="s">
        <v>32</v>
      </c>
      <c r="AA279" s="7">
        <v>25839906</v>
      </c>
      <c r="AB279" s="7">
        <v>1</v>
      </c>
      <c r="AD279" s="7">
        <v>4</v>
      </c>
      <c r="AE279" s="24">
        <v>22</v>
      </c>
      <c r="AF279" s="7">
        <v>10</v>
      </c>
      <c r="AG279" s="7">
        <v>12</v>
      </c>
      <c r="AH279" s="7" t="s">
        <v>1642</v>
      </c>
      <c r="AI279" s="7" t="s">
        <v>1642</v>
      </c>
      <c r="AJ279" s="7" t="s">
        <v>1685</v>
      </c>
      <c r="AM279" s="7" t="s">
        <v>1685</v>
      </c>
      <c r="AP279" s="7">
        <v>5</v>
      </c>
      <c r="AQ279" s="7" t="s">
        <v>1942</v>
      </c>
      <c r="AR279" s="7" t="s">
        <v>1637</v>
      </c>
      <c r="AS279" s="7" t="s">
        <v>1638</v>
      </c>
      <c r="AT279" s="7" t="s">
        <v>1640</v>
      </c>
      <c r="AU279" s="7" t="s">
        <v>178</v>
      </c>
      <c r="AV279" s="7" t="s">
        <v>1653</v>
      </c>
      <c r="AW279" s="7" t="s">
        <v>1639</v>
      </c>
      <c r="AX279" s="7" t="s">
        <v>2223</v>
      </c>
      <c r="AY279" s="36" t="s">
        <v>1664</v>
      </c>
      <c r="AZ279" s="36" t="s">
        <v>1650</v>
      </c>
      <c r="BA279" s="36">
        <v>280</v>
      </c>
      <c r="BB279" s="36">
        <v>275</v>
      </c>
      <c r="BC279" s="36" t="s">
        <v>2236</v>
      </c>
      <c r="BD279" s="7">
        <v>17.236899999999999</v>
      </c>
      <c r="BF279" s="7">
        <f>27.4933-BD279</f>
        <v>10.256400000000003</v>
      </c>
      <c r="BG279" s="7" t="s">
        <v>2239</v>
      </c>
      <c r="BH279" s="7">
        <v>28.373000000000001</v>
      </c>
      <c r="BJ279" s="7">
        <f>38.4157-BH279</f>
        <v>10.0427</v>
      </c>
    </row>
    <row r="280" spans="1:63" x14ac:dyDescent="0.2">
      <c r="A280" s="7">
        <v>73</v>
      </c>
      <c r="B280" s="7" t="s">
        <v>1135</v>
      </c>
      <c r="C280" s="7" t="s">
        <v>1134</v>
      </c>
      <c r="D280" s="7" t="s">
        <v>1133</v>
      </c>
      <c r="E280" s="7" t="s">
        <v>1132</v>
      </c>
      <c r="F280" s="7" t="s">
        <v>824</v>
      </c>
      <c r="G280" s="7">
        <v>2015</v>
      </c>
      <c r="H280" s="7">
        <v>42079</v>
      </c>
      <c r="I280" s="7" t="s">
        <v>32</v>
      </c>
      <c r="J280" s="7" t="s">
        <v>32</v>
      </c>
      <c r="K280" s="7" t="s">
        <v>1131</v>
      </c>
      <c r="L280" s="7">
        <v>2</v>
      </c>
      <c r="M280" s="7" t="s">
        <v>1130</v>
      </c>
      <c r="N280" s="7" t="s">
        <v>34</v>
      </c>
      <c r="O280" s="7" t="s">
        <v>190</v>
      </c>
      <c r="P280" s="7" t="s">
        <v>34</v>
      </c>
      <c r="Q280" s="7" t="s">
        <v>34</v>
      </c>
      <c r="R280" s="7" t="s">
        <v>739</v>
      </c>
      <c r="S280" s="7" t="s">
        <v>34</v>
      </c>
      <c r="T280" s="7" t="s">
        <v>34</v>
      </c>
      <c r="U280" s="7" t="s">
        <v>32</v>
      </c>
      <c r="V280" s="7">
        <v>1</v>
      </c>
      <c r="W280" s="7" t="s">
        <v>34</v>
      </c>
      <c r="X280" s="7" t="s">
        <v>32</v>
      </c>
      <c r="Y280" s="7" t="s">
        <v>32</v>
      </c>
      <c r="Z280" s="7" t="s">
        <v>32</v>
      </c>
      <c r="AA280" s="7">
        <v>25771251</v>
      </c>
      <c r="AB280" s="7">
        <v>1</v>
      </c>
      <c r="AD280" s="7">
        <v>4</v>
      </c>
      <c r="AE280" s="24">
        <v>19</v>
      </c>
      <c r="AF280" s="7">
        <v>9</v>
      </c>
      <c r="AG280" s="7">
        <v>10</v>
      </c>
      <c r="AH280" s="7" t="s">
        <v>1642</v>
      </c>
      <c r="AI280" s="7" t="s">
        <v>1642</v>
      </c>
      <c r="AK280" s="7">
        <v>175</v>
      </c>
      <c r="AN280" s="7">
        <v>175</v>
      </c>
      <c r="AR280" s="7" t="s">
        <v>1675</v>
      </c>
      <c r="AS280" s="7" t="s">
        <v>1667</v>
      </c>
      <c r="AT280" s="7" t="s">
        <v>1640</v>
      </c>
      <c r="AU280" s="7" t="s">
        <v>178</v>
      </c>
      <c r="AV280" s="7" t="s">
        <v>1653</v>
      </c>
      <c r="AW280" s="7" t="s">
        <v>1678</v>
      </c>
      <c r="AX280" s="7" t="s">
        <v>2240</v>
      </c>
      <c r="AY280" s="7" t="s">
        <v>1684</v>
      </c>
      <c r="AZ280" s="7" t="s">
        <v>1650</v>
      </c>
      <c r="BA280" s="7">
        <v>281</v>
      </c>
      <c r="BB280" s="7">
        <v>276</v>
      </c>
      <c r="BC280" s="7" t="s">
        <v>2241</v>
      </c>
      <c r="BD280" s="7">
        <v>56.577100000000002</v>
      </c>
      <c r="BF280" s="7">
        <f>62.7628-BD280</f>
        <v>6.1856999999999971</v>
      </c>
      <c r="BG280" s="7" t="s">
        <v>2242</v>
      </c>
      <c r="BH280" s="7">
        <v>13.2013</v>
      </c>
      <c r="BJ280" s="7">
        <f>16.0679-BH280</f>
        <v>2.8666000000000018</v>
      </c>
    </row>
    <row r="281" spans="1:63" s="21" customFormat="1" x14ac:dyDescent="0.2">
      <c r="A281" s="21">
        <v>74</v>
      </c>
      <c r="B281" s="21" t="s">
        <v>1129</v>
      </c>
      <c r="C281" s="21" t="s">
        <v>1128</v>
      </c>
      <c r="D281" s="21" t="s">
        <v>1127</v>
      </c>
      <c r="E281" s="21" t="s">
        <v>1126</v>
      </c>
      <c r="F281" s="21" t="s">
        <v>1125</v>
      </c>
      <c r="G281" s="21">
        <v>2015</v>
      </c>
      <c r="H281" s="21">
        <v>42073</v>
      </c>
      <c r="I281" s="21" t="s">
        <v>32</v>
      </c>
      <c r="J281" s="21" t="s">
        <v>32</v>
      </c>
      <c r="K281" s="21" t="s">
        <v>1124</v>
      </c>
      <c r="L281" s="21">
        <v>2</v>
      </c>
      <c r="M281" s="21" t="s">
        <v>1123</v>
      </c>
      <c r="N281" s="21" t="s">
        <v>34</v>
      </c>
      <c r="O281" s="21" t="s">
        <v>190</v>
      </c>
      <c r="P281" s="21" t="s">
        <v>34</v>
      </c>
      <c r="Q281" s="21" t="s">
        <v>34</v>
      </c>
      <c r="R281" s="21" t="s">
        <v>34</v>
      </c>
      <c r="S281" s="21" t="s">
        <v>34</v>
      </c>
      <c r="T281" s="21" t="s">
        <v>34</v>
      </c>
      <c r="U281" s="21" t="s">
        <v>32</v>
      </c>
      <c r="V281" s="21">
        <v>1</v>
      </c>
      <c r="W281" s="21" t="s">
        <v>32</v>
      </c>
      <c r="X281" s="21" t="s">
        <v>32</v>
      </c>
      <c r="Y281" s="21" t="s">
        <v>32</v>
      </c>
      <c r="Z281" s="21" t="s">
        <v>32</v>
      </c>
      <c r="AA281" s="21">
        <v>25749890</v>
      </c>
      <c r="AB281" s="21">
        <v>1</v>
      </c>
      <c r="AD281" s="21">
        <v>4</v>
      </c>
      <c r="AE281" s="23"/>
      <c r="AH281" s="21" t="s">
        <v>1642</v>
      </c>
      <c r="AI281" s="21" t="s">
        <v>1642</v>
      </c>
      <c r="AK281" s="21">
        <v>235</v>
      </c>
      <c r="AN281" s="21">
        <v>235</v>
      </c>
      <c r="AR281" s="21" t="s">
        <v>1637</v>
      </c>
      <c r="AS281" s="21" t="s">
        <v>1638</v>
      </c>
      <c r="AT281" s="21" t="s">
        <v>1729</v>
      </c>
      <c r="AU281" s="21" t="s">
        <v>178</v>
      </c>
      <c r="AV281" s="21" t="s">
        <v>1641</v>
      </c>
      <c r="AW281" s="21" t="s">
        <v>1687</v>
      </c>
      <c r="AX281" s="21" t="s">
        <v>2243</v>
      </c>
      <c r="AY281" s="58" t="s">
        <v>1695</v>
      </c>
      <c r="AZ281" s="21" t="s">
        <v>1650</v>
      </c>
      <c r="BA281" s="21">
        <v>282</v>
      </c>
      <c r="BB281" s="21">
        <v>277</v>
      </c>
      <c r="BC281" s="21" t="s">
        <v>2244</v>
      </c>
      <c r="BD281" s="21">
        <v>72.049099999999996</v>
      </c>
      <c r="BE281" s="21">
        <f>73.1827-BD281</f>
        <v>1.1336000000000013</v>
      </c>
      <c r="BG281" s="21" t="s">
        <v>2249</v>
      </c>
      <c r="BH281" s="21">
        <v>48.7288</v>
      </c>
      <c r="BI281" s="21">
        <f>50.1863-BH281</f>
        <v>1.4575000000000031</v>
      </c>
      <c r="BK281" s="40" t="s">
        <v>2779</v>
      </c>
    </row>
    <row r="282" spans="1:63" x14ac:dyDescent="0.2">
      <c r="A282" s="7">
        <v>74</v>
      </c>
      <c r="B282" s="7" t="s">
        <v>1129</v>
      </c>
      <c r="C282" s="7" t="s">
        <v>1128</v>
      </c>
      <c r="D282" s="7" t="s">
        <v>1127</v>
      </c>
      <c r="E282" s="7" t="s">
        <v>1126</v>
      </c>
      <c r="F282" s="7" t="s">
        <v>1125</v>
      </c>
      <c r="G282" s="7">
        <v>2015</v>
      </c>
      <c r="H282" s="7">
        <v>42073</v>
      </c>
      <c r="I282" s="7" t="s">
        <v>32</v>
      </c>
      <c r="J282" s="7" t="s">
        <v>32</v>
      </c>
      <c r="K282" s="7" t="s">
        <v>1124</v>
      </c>
      <c r="L282" s="7">
        <v>2</v>
      </c>
      <c r="M282" s="7" t="s">
        <v>1123</v>
      </c>
      <c r="N282" s="7" t="s">
        <v>34</v>
      </c>
      <c r="O282" s="7" t="s">
        <v>190</v>
      </c>
      <c r="P282" s="7" t="s">
        <v>34</v>
      </c>
      <c r="Q282" s="7" t="s">
        <v>34</v>
      </c>
      <c r="R282" s="7" t="s">
        <v>34</v>
      </c>
      <c r="S282" s="7" t="s">
        <v>34</v>
      </c>
      <c r="T282" s="7" t="s">
        <v>34</v>
      </c>
      <c r="U282" s="7" t="s">
        <v>32</v>
      </c>
      <c r="V282" s="7">
        <v>1</v>
      </c>
      <c r="W282" s="7" t="s">
        <v>32</v>
      </c>
      <c r="X282" s="7" t="s">
        <v>32</v>
      </c>
      <c r="Y282" s="7" t="s">
        <v>32</v>
      </c>
      <c r="Z282" s="7" t="s">
        <v>32</v>
      </c>
      <c r="AA282" s="7">
        <v>25749890</v>
      </c>
      <c r="AB282" s="7">
        <v>1</v>
      </c>
      <c r="AD282" s="7">
        <v>4</v>
      </c>
      <c r="AH282" s="7" t="s">
        <v>1642</v>
      </c>
      <c r="AI282" s="7" t="s">
        <v>1642</v>
      </c>
      <c r="AK282" s="7">
        <v>235</v>
      </c>
      <c r="AN282" s="7">
        <v>235</v>
      </c>
      <c r="AR282" s="7" t="s">
        <v>1637</v>
      </c>
      <c r="AS282" s="7" t="s">
        <v>1638</v>
      </c>
      <c r="AT282" s="7" t="s">
        <v>1729</v>
      </c>
      <c r="AU282" s="7" t="s">
        <v>178</v>
      </c>
      <c r="AV282" s="7" t="s">
        <v>1653</v>
      </c>
      <c r="AW282" s="7" t="s">
        <v>1687</v>
      </c>
      <c r="AX282" s="7" t="s">
        <v>2243</v>
      </c>
      <c r="AY282" s="48" t="s">
        <v>1695</v>
      </c>
      <c r="AZ282" s="7" t="s">
        <v>1650</v>
      </c>
      <c r="BA282" s="7">
        <v>282</v>
      </c>
      <c r="BB282" s="7">
        <v>277</v>
      </c>
      <c r="BC282" s="7" t="s">
        <v>2245</v>
      </c>
      <c r="BD282" s="7">
        <v>63.433300000000003</v>
      </c>
      <c r="BE282" s="7">
        <f>64.405-BD282</f>
        <v>0.97169999999999845</v>
      </c>
      <c r="BG282" s="7" t="s">
        <v>2250</v>
      </c>
      <c r="BH282" s="7">
        <v>33.797699999999999</v>
      </c>
      <c r="BI282" s="7">
        <f>34.7694-BH282</f>
        <v>0.97169999999999845</v>
      </c>
    </row>
    <row r="283" spans="1:63" x14ac:dyDescent="0.2">
      <c r="A283" s="7">
        <v>74</v>
      </c>
      <c r="B283" s="7" t="s">
        <v>1129</v>
      </c>
      <c r="C283" s="7" t="s">
        <v>1128</v>
      </c>
      <c r="D283" s="7" t="s">
        <v>1127</v>
      </c>
      <c r="E283" s="7" t="s">
        <v>1126</v>
      </c>
      <c r="F283" s="7" t="s">
        <v>1125</v>
      </c>
      <c r="G283" s="7">
        <v>2015</v>
      </c>
      <c r="H283" s="7">
        <v>42073</v>
      </c>
      <c r="I283" s="7" t="s">
        <v>32</v>
      </c>
      <c r="J283" s="7" t="s">
        <v>32</v>
      </c>
      <c r="K283" s="7" t="s">
        <v>1124</v>
      </c>
      <c r="L283" s="7">
        <v>2</v>
      </c>
      <c r="M283" s="7" t="s">
        <v>1123</v>
      </c>
      <c r="N283" s="7" t="s">
        <v>34</v>
      </c>
      <c r="O283" s="7" t="s">
        <v>190</v>
      </c>
      <c r="P283" s="7" t="s">
        <v>34</v>
      </c>
      <c r="Q283" s="7" t="s">
        <v>34</v>
      </c>
      <c r="R283" s="7" t="s">
        <v>34</v>
      </c>
      <c r="S283" s="7" t="s">
        <v>34</v>
      </c>
      <c r="T283" s="7" t="s">
        <v>34</v>
      </c>
      <c r="U283" s="7" t="s">
        <v>32</v>
      </c>
      <c r="V283" s="7">
        <v>1</v>
      </c>
      <c r="W283" s="7" t="s">
        <v>32</v>
      </c>
      <c r="X283" s="7" t="s">
        <v>32</v>
      </c>
      <c r="Y283" s="7" t="s">
        <v>32</v>
      </c>
      <c r="Z283" s="7" t="s">
        <v>32</v>
      </c>
      <c r="AA283" s="7">
        <v>25749890</v>
      </c>
      <c r="AB283" s="7">
        <v>1</v>
      </c>
      <c r="AD283" s="7">
        <v>4</v>
      </c>
      <c r="AH283" s="7" t="s">
        <v>1642</v>
      </c>
      <c r="AI283" s="7" t="s">
        <v>1642</v>
      </c>
      <c r="AK283" s="7">
        <v>235</v>
      </c>
      <c r="AN283" s="7">
        <v>235</v>
      </c>
      <c r="AR283" s="7" t="s">
        <v>1637</v>
      </c>
      <c r="AS283" s="7" t="s">
        <v>1638</v>
      </c>
      <c r="AT283" s="7" t="s">
        <v>1729</v>
      </c>
      <c r="AU283" s="7" t="s">
        <v>178</v>
      </c>
      <c r="AV283" s="7" t="s">
        <v>2095</v>
      </c>
      <c r="AW283" s="7" t="s">
        <v>1687</v>
      </c>
      <c r="AX283" s="7" t="s">
        <v>2243</v>
      </c>
      <c r="AY283" s="48" t="s">
        <v>1695</v>
      </c>
      <c r="AZ283" s="7" t="s">
        <v>1650</v>
      </c>
      <c r="BA283" s="7">
        <v>282</v>
      </c>
      <c r="BB283" s="7">
        <v>277</v>
      </c>
      <c r="BC283" s="7" t="s">
        <v>2246</v>
      </c>
      <c r="BD283" s="7">
        <v>54.008200000000002</v>
      </c>
      <c r="BE283" s="7">
        <f>55.3039-BD283</f>
        <v>1.2956999999999965</v>
      </c>
      <c r="BG283" s="7" t="s">
        <v>2251</v>
      </c>
      <c r="BH283" s="7">
        <v>24.8581</v>
      </c>
      <c r="BI283" s="7">
        <f>25.6678-BH283</f>
        <v>0.80969999999999942</v>
      </c>
    </row>
    <row r="284" spans="1:63" x14ac:dyDescent="0.2">
      <c r="A284" s="7">
        <v>74</v>
      </c>
      <c r="B284" s="7" t="s">
        <v>1129</v>
      </c>
      <c r="C284" s="7" t="s">
        <v>1128</v>
      </c>
      <c r="D284" s="7" t="s">
        <v>1127</v>
      </c>
      <c r="E284" s="7" t="s">
        <v>1126</v>
      </c>
      <c r="F284" s="7" t="s">
        <v>1125</v>
      </c>
      <c r="G284" s="7">
        <v>2015</v>
      </c>
      <c r="H284" s="7">
        <v>42073</v>
      </c>
      <c r="I284" s="7" t="s">
        <v>32</v>
      </c>
      <c r="J284" s="7" t="s">
        <v>32</v>
      </c>
      <c r="K284" s="7" t="s">
        <v>1124</v>
      </c>
      <c r="L284" s="7">
        <v>2</v>
      </c>
      <c r="M284" s="7" t="s">
        <v>1123</v>
      </c>
      <c r="N284" s="7" t="s">
        <v>34</v>
      </c>
      <c r="O284" s="7" t="s">
        <v>190</v>
      </c>
      <c r="P284" s="7" t="s">
        <v>34</v>
      </c>
      <c r="Q284" s="7" t="s">
        <v>34</v>
      </c>
      <c r="R284" s="7" t="s">
        <v>34</v>
      </c>
      <c r="S284" s="7" t="s">
        <v>34</v>
      </c>
      <c r="T284" s="7" t="s">
        <v>34</v>
      </c>
      <c r="U284" s="7" t="s">
        <v>32</v>
      </c>
      <c r="V284" s="7">
        <v>1</v>
      </c>
      <c r="W284" s="7" t="s">
        <v>32</v>
      </c>
      <c r="X284" s="7" t="s">
        <v>32</v>
      </c>
      <c r="Y284" s="7" t="s">
        <v>32</v>
      </c>
      <c r="Z284" s="7" t="s">
        <v>32</v>
      </c>
      <c r="AA284" s="7">
        <v>25749890</v>
      </c>
      <c r="AB284" s="7">
        <v>1</v>
      </c>
      <c r="AD284" s="7">
        <v>4</v>
      </c>
      <c r="AH284" s="7" t="s">
        <v>1642</v>
      </c>
      <c r="AI284" s="7" t="s">
        <v>1642</v>
      </c>
      <c r="AK284" s="7">
        <v>235</v>
      </c>
      <c r="AN284" s="7">
        <v>235</v>
      </c>
      <c r="AR284" s="7" t="s">
        <v>1637</v>
      </c>
      <c r="AS284" s="7" t="s">
        <v>1638</v>
      </c>
      <c r="AT284" s="7" t="s">
        <v>1729</v>
      </c>
      <c r="AU284" s="7" t="s">
        <v>178</v>
      </c>
      <c r="AV284" s="7" t="s">
        <v>1718</v>
      </c>
      <c r="AW284" s="7" t="s">
        <v>1687</v>
      </c>
      <c r="AX284" s="7" t="s">
        <v>2243</v>
      </c>
      <c r="AY284" s="48" t="s">
        <v>1695</v>
      </c>
      <c r="AZ284" s="7" t="s">
        <v>1650</v>
      </c>
      <c r="BA284" s="7">
        <v>282</v>
      </c>
      <c r="BB284" s="7">
        <v>277</v>
      </c>
      <c r="BC284" s="7" t="s">
        <v>2247</v>
      </c>
      <c r="BD284" s="7">
        <v>41.829799999999999</v>
      </c>
      <c r="BE284" s="7">
        <f>42.9634-BD284</f>
        <v>1.1336000000000013</v>
      </c>
      <c r="BG284" s="7" t="s">
        <v>2252</v>
      </c>
      <c r="BH284" s="7">
        <v>22.720500000000001</v>
      </c>
      <c r="BI284" s="7">
        <f>23.8541-BH284</f>
        <v>1.1335999999999977</v>
      </c>
    </row>
    <row r="285" spans="1:63" x14ac:dyDescent="0.2">
      <c r="A285" s="7">
        <v>74</v>
      </c>
      <c r="B285" s="7" t="s">
        <v>1129</v>
      </c>
      <c r="C285" s="7" t="s">
        <v>1128</v>
      </c>
      <c r="D285" s="7" t="s">
        <v>1127</v>
      </c>
      <c r="E285" s="7" t="s">
        <v>1126</v>
      </c>
      <c r="F285" s="7" t="s">
        <v>1125</v>
      </c>
      <c r="G285" s="7">
        <v>2015</v>
      </c>
      <c r="H285" s="7">
        <v>42073</v>
      </c>
      <c r="I285" s="7" t="s">
        <v>32</v>
      </c>
      <c r="J285" s="7" t="s">
        <v>32</v>
      </c>
      <c r="K285" s="7" t="s">
        <v>1124</v>
      </c>
      <c r="L285" s="7">
        <v>2</v>
      </c>
      <c r="M285" s="7" t="s">
        <v>1123</v>
      </c>
      <c r="N285" s="7" t="s">
        <v>34</v>
      </c>
      <c r="O285" s="7" t="s">
        <v>190</v>
      </c>
      <c r="P285" s="7" t="s">
        <v>34</v>
      </c>
      <c r="Q285" s="7" t="s">
        <v>34</v>
      </c>
      <c r="R285" s="7" t="s">
        <v>34</v>
      </c>
      <c r="S285" s="7" t="s">
        <v>34</v>
      </c>
      <c r="T285" s="7" t="s">
        <v>34</v>
      </c>
      <c r="U285" s="7" t="s">
        <v>32</v>
      </c>
      <c r="V285" s="7">
        <v>1</v>
      </c>
      <c r="W285" s="7" t="s">
        <v>32</v>
      </c>
      <c r="X285" s="7" t="s">
        <v>32</v>
      </c>
      <c r="Y285" s="7" t="s">
        <v>32</v>
      </c>
      <c r="Z285" s="7" t="s">
        <v>32</v>
      </c>
      <c r="AA285" s="7">
        <v>25749890</v>
      </c>
      <c r="AB285" s="7">
        <v>1</v>
      </c>
      <c r="AD285" s="7">
        <v>4</v>
      </c>
      <c r="AH285" s="7" t="s">
        <v>1642</v>
      </c>
      <c r="AI285" s="7" t="s">
        <v>1642</v>
      </c>
      <c r="AK285" s="7">
        <v>235</v>
      </c>
      <c r="AN285" s="7">
        <v>235</v>
      </c>
      <c r="AR285" s="7" t="s">
        <v>1637</v>
      </c>
      <c r="AS285" s="7" t="s">
        <v>1638</v>
      </c>
      <c r="AT285" s="7" t="s">
        <v>1729</v>
      </c>
      <c r="AU285" s="7" t="s">
        <v>178</v>
      </c>
      <c r="AV285" s="7" t="s">
        <v>1876</v>
      </c>
      <c r="AW285" s="7" t="s">
        <v>1687</v>
      </c>
      <c r="AX285" s="7" t="s">
        <v>2243</v>
      </c>
      <c r="AY285" s="48" t="s">
        <v>1695</v>
      </c>
      <c r="AZ285" s="7" t="s">
        <v>1650</v>
      </c>
      <c r="BA285" s="7">
        <v>282</v>
      </c>
      <c r="BB285" s="7">
        <v>277</v>
      </c>
      <c r="BC285" s="7" t="s">
        <v>2248</v>
      </c>
      <c r="BD285" s="7">
        <v>35.643700000000003</v>
      </c>
      <c r="BE285" s="7">
        <f>36.7773-BD285</f>
        <v>1.1335999999999942</v>
      </c>
      <c r="BG285" s="7" t="s">
        <v>2253</v>
      </c>
      <c r="BH285" s="7">
        <v>25.765000000000001</v>
      </c>
      <c r="BI285" s="7">
        <f>26.8986-BH285</f>
        <v>1.1335999999999977</v>
      </c>
    </row>
    <row r="286" spans="1:63" x14ac:dyDescent="0.2">
      <c r="A286" s="7">
        <v>75</v>
      </c>
      <c r="B286" s="7" t="s">
        <v>1122</v>
      </c>
      <c r="C286" s="7" t="s">
        <v>1121</v>
      </c>
      <c r="D286" s="7" t="s">
        <v>1120</v>
      </c>
      <c r="E286" s="7" t="s">
        <v>1119</v>
      </c>
      <c r="F286" s="7" t="s">
        <v>167</v>
      </c>
      <c r="G286" s="7">
        <v>2015</v>
      </c>
      <c r="H286" s="7">
        <v>42063</v>
      </c>
      <c r="I286" s="7" t="s">
        <v>1118</v>
      </c>
      <c r="J286" s="7" t="s">
        <v>1117</v>
      </c>
      <c r="K286" s="7" t="s">
        <v>1116</v>
      </c>
      <c r="L286" s="7">
        <v>2</v>
      </c>
      <c r="M286" s="7" t="s">
        <v>1115</v>
      </c>
      <c r="N286" s="7" t="s">
        <v>34</v>
      </c>
      <c r="O286" s="7" t="s">
        <v>190</v>
      </c>
      <c r="P286" s="7" t="s">
        <v>34</v>
      </c>
      <c r="Q286" s="7" t="s">
        <v>34</v>
      </c>
      <c r="R286" s="7" t="s">
        <v>34</v>
      </c>
      <c r="S286" s="7" t="s">
        <v>34</v>
      </c>
      <c r="T286" s="7" t="s">
        <v>34</v>
      </c>
      <c r="U286" s="7" t="s">
        <v>32</v>
      </c>
      <c r="V286" s="7">
        <v>1</v>
      </c>
      <c r="W286" s="7" t="s">
        <v>32</v>
      </c>
      <c r="X286" s="7" t="s">
        <v>32</v>
      </c>
      <c r="Y286" s="7" t="s">
        <v>32</v>
      </c>
      <c r="Z286" s="7" t="s">
        <v>32</v>
      </c>
      <c r="AA286" s="7">
        <v>25721741</v>
      </c>
      <c r="AB286" s="7">
        <v>1</v>
      </c>
      <c r="AD286" s="7">
        <v>4</v>
      </c>
      <c r="AE286" s="24">
        <v>12</v>
      </c>
      <c r="AF286" s="7">
        <v>6</v>
      </c>
      <c r="AG286" s="7">
        <v>6</v>
      </c>
      <c r="AH286" s="7" t="s">
        <v>1642</v>
      </c>
      <c r="AI286" s="7" t="s">
        <v>1642</v>
      </c>
      <c r="AJ286" s="7" t="s">
        <v>1896</v>
      </c>
      <c r="AM286" s="7" t="s">
        <v>1896</v>
      </c>
      <c r="AP286" s="7">
        <v>5</v>
      </c>
      <c r="AQ286" s="7" t="s">
        <v>1942</v>
      </c>
      <c r="AR286" s="7" t="s">
        <v>1637</v>
      </c>
      <c r="AS286" s="7" t="s">
        <v>1638</v>
      </c>
      <c r="AT286" s="7" t="s">
        <v>1640</v>
      </c>
      <c r="AU286" s="7" t="s">
        <v>178</v>
      </c>
      <c r="AV286" s="7" t="s">
        <v>1641</v>
      </c>
      <c r="AW286" s="7" t="s">
        <v>1639</v>
      </c>
      <c r="AX286" s="7" t="s">
        <v>2254</v>
      </c>
      <c r="AY286" s="7" t="s">
        <v>1662</v>
      </c>
      <c r="AZ286" s="7" t="s">
        <v>1650</v>
      </c>
      <c r="BA286" s="7">
        <v>283</v>
      </c>
      <c r="BB286" s="7">
        <v>278</v>
      </c>
      <c r="BC286" s="7" t="s">
        <v>2255</v>
      </c>
      <c r="BD286" s="7">
        <v>64.0351</v>
      </c>
      <c r="BF286" s="7">
        <f>71.4912-BD286</f>
        <v>7.4561000000000064</v>
      </c>
      <c r="BG286" s="7" t="s">
        <v>2263</v>
      </c>
      <c r="BH286" s="7">
        <v>69.298199999999994</v>
      </c>
      <c r="BJ286" s="7">
        <f>77.0468-BH286</f>
        <v>7.7486000000000104</v>
      </c>
      <c r="BK286" s="9" t="s">
        <v>2291</v>
      </c>
    </row>
    <row r="287" spans="1:63" x14ac:dyDescent="0.2">
      <c r="A287" s="7">
        <v>75</v>
      </c>
      <c r="B287" s="7" t="s">
        <v>1122</v>
      </c>
      <c r="C287" s="7" t="s">
        <v>1121</v>
      </c>
      <c r="D287" s="7" t="s">
        <v>1120</v>
      </c>
      <c r="E287" s="7" t="s">
        <v>1119</v>
      </c>
      <c r="F287" s="7" t="s">
        <v>167</v>
      </c>
      <c r="G287" s="7">
        <v>2015</v>
      </c>
      <c r="H287" s="7">
        <v>42063</v>
      </c>
      <c r="I287" s="7" t="s">
        <v>1118</v>
      </c>
      <c r="J287" s="7" t="s">
        <v>1117</v>
      </c>
      <c r="K287" s="7" t="s">
        <v>1116</v>
      </c>
      <c r="L287" s="7">
        <v>2</v>
      </c>
      <c r="M287" s="7" t="s">
        <v>1115</v>
      </c>
      <c r="N287" s="7" t="s">
        <v>34</v>
      </c>
      <c r="O287" s="7" t="s">
        <v>190</v>
      </c>
      <c r="P287" s="7" t="s">
        <v>34</v>
      </c>
      <c r="Q287" s="7" t="s">
        <v>34</v>
      </c>
      <c r="R287" s="7" t="s">
        <v>34</v>
      </c>
      <c r="S287" s="7" t="s">
        <v>34</v>
      </c>
      <c r="T287" s="7" t="s">
        <v>34</v>
      </c>
      <c r="U287" s="7" t="s">
        <v>32</v>
      </c>
      <c r="V287" s="7">
        <v>1</v>
      </c>
      <c r="W287" s="7" t="s">
        <v>32</v>
      </c>
      <c r="X287" s="7" t="s">
        <v>32</v>
      </c>
      <c r="Y287" s="7" t="s">
        <v>32</v>
      </c>
      <c r="Z287" s="7" t="s">
        <v>32</v>
      </c>
      <c r="AA287" s="7">
        <v>25721741</v>
      </c>
      <c r="AB287" s="7">
        <v>1</v>
      </c>
      <c r="AD287" s="7">
        <v>4</v>
      </c>
      <c r="AE287" s="24">
        <v>12</v>
      </c>
      <c r="AF287" s="7">
        <v>6</v>
      </c>
      <c r="AG287" s="7">
        <v>6</v>
      </c>
      <c r="AH287" s="7" t="s">
        <v>1642</v>
      </c>
      <c r="AI287" s="7" t="s">
        <v>1642</v>
      </c>
      <c r="AJ287" s="7" t="s">
        <v>1896</v>
      </c>
      <c r="AM287" s="7" t="s">
        <v>1896</v>
      </c>
      <c r="AP287" s="7">
        <v>5</v>
      </c>
      <c r="AQ287" s="7" t="s">
        <v>1942</v>
      </c>
      <c r="AR287" s="7" t="s">
        <v>1637</v>
      </c>
      <c r="AS287" s="7" t="s">
        <v>1638</v>
      </c>
      <c r="AT287" s="7" t="s">
        <v>1640</v>
      </c>
      <c r="AU287" s="7" t="s">
        <v>178</v>
      </c>
      <c r="AV287" s="7" t="s">
        <v>1641</v>
      </c>
      <c r="AW287" s="7" t="s">
        <v>1639</v>
      </c>
      <c r="AX287" s="7" t="s">
        <v>2254</v>
      </c>
      <c r="AY287" s="7" t="s">
        <v>1662</v>
      </c>
      <c r="AZ287" s="7" t="s">
        <v>1650</v>
      </c>
      <c r="BA287" s="7">
        <v>283</v>
      </c>
      <c r="BB287" s="7">
        <v>278</v>
      </c>
      <c r="BC287" s="7" t="s">
        <v>2256</v>
      </c>
      <c r="BD287" s="7">
        <v>74.415199999999999</v>
      </c>
      <c r="BF287" s="7">
        <f>81.1404-BD287</f>
        <v>6.725200000000001</v>
      </c>
      <c r="BG287" s="7" t="s">
        <v>2286</v>
      </c>
      <c r="BH287" s="7">
        <v>72.953199999999995</v>
      </c>
      <c r="BJ287" s="7">
        <f>79.9708-BH287</f>
        <v>7.0176000000000016</v>
      </c>
    </row>
    <row r="288" spans="1:63" x14ac:dyDescent="0.2">
      <c r="A288" s="7">
        <v>75</v>
      </c>
      <c r="B288" s="7" t="s">
        <v>1122</v>
      </c>
      <c r="C288" s="7" t="s">
        <v>1121</v>
      </c>
      <c r="D288" s="7" t="s">
        <v>1120</v>
      </c>
      <c r="E288" s="7" t="s">
        <v>1119</v>
      </c>
      <c r="F288" s="7" t="s">
        <v>167</v>
      </c>
      <c r="G288" s="7">
        <v>2015</v>
      </c>
      <c r="H288" s="7">
        <v>42063</v>
      </c>
      <c r="I288" s="7" t="s">
        <v>1118</v>
      </c>
      <c r="J288" s="7" t="s">
        <v>1117</v>
      </c>
      <c r="K288" s="7" t="s">
        <v>1116</v>
      </c>
      <c r="L288" s="7">
        <v>2</v>
      </c>
      <c r="M288" s="7" t="s">
        <v>1115</v>
      </c>
      <c r="N288" s="7" t="s">
        <v>34</v>
      </c>
      <c r="O288" s="7" t="s">
        <v>190</v>
      </c>
      <c r="P288" s="7" t="s">
        <v>34</v>
      </c>
      <c r="Q288" s="7" t="s">
        <v>34</v>
      </c>
      <c r="R288" s="7" t="s">
        <v>34</v>
      </c>
      <c r="S288" s="7" t="s">
        <v>34</v>
      </c>
      <c r="T288" s="7" t="s">
        <v>34</v>
      </c>
      <c r="U288" s="7" t="s">
        <v>32</v>
      </c>
      <c r="V288" s="7">
        <v>1</v>
      </c>
      <c r="W288" s="7" t="s">
        <v>32</v>
      </c>
      <c r="X288" s="7" t="s">
        <v>32</v>
      </c>
      <c r="Y288" s="7" t="s">
        <v>32</v>
      </c>
      <c r="Z288" s="7" t="s">
        <v>32</v>
      </c>
      <c r="AA288" s="7">
        <v>25721741</v>
      </c>
      <c r="AB288" s="7">
        <v>1</v>
      </c>
      <c r="AD288" s="7">
        <v>4</v>
      </c>
      <c r="AE288" s="24">
        <v>12</v>
      </c>
      <c r="AF288" s="7">
        <v>6</v>
      </c>
      <c r="AG288" s="7">
        <v>6</v>
      </c>
      <c r="AH288" s="7" t="s">
        <v>1642</v>
      </c>
      <c r="AI288" s="7" t="s">
        <v>1642</v>
      </c>
      <c r="AJ288" s="7" t="s">
        <v>1896</v>
      </c>
      <c r="AM288" s="7" t="s">
        <v>1896</v>
      </c>
      <c r="AP288" s="7">
        <v>5</v>
      </c>
      <c r="AQ288" s="7" t="s">
        <v>1942</v>
      </c>
      <c r="AR288" s="7" t="s">
        <v>1637</v>
      </c>
      <c r="AS288" s="7" t="s">
        <v>1638</v>
      </c>
      <c r="AT288" s="7" t="s">
        <v>1640</v>
      </c>
      <c r="AU288" s="7" t="s">
        <v>178</v>
      </c>
      <c r="AV288" s="7" t="s">
        <v>1641</v>
      </c>
      <c r="AW288" s="7" t="s">
        <v>1639</v>
      </c>
      <c r="AX288" s="7" t="s">
        <v>2254</v>
      </c>
      <c r="AY288" s="38" t="s">
        <v>1663</v>
      </c>
      <c r="AZ288" s="7" t="s">
        <v>1650</v>
      </c>
      <c r="BA288" s="7">
        <v>283</v>
      </c>
      <c r="BB288" s="7">
        <v>278</v>
      </c>
      <c r="BC288" s="7" t="s">
        <v>2257</v>
      </c>
      <c r="BD288" s="7">
        <v>90.231700000000004</v>
      </c>
      <c r="BF288" s="7">
        <f>99.4069-BD288</f>
        <v>9.1751999999999896</v>
      </c>
      <c r="BG288" s="7" t="s">
        <v>2264</v>
      </c>
      <c r="BH288" s="7">
        <v>66.146000000000001</v>
      </c>
      <c r="BJ288" s="7">
        <f>75.035-BH288</f>
        <v>8.8889999999999958</v>
      </c>
    </row>
    <row r="289" spans="1:62" x14ac:dyDescent="0.2">
      <c r="A289" s="7">
        <v>75</v>
      </c>
      <c r="B289" s="7" t="s">
        <v>1122</v>
      </c>
      <c r="C289" s="7" t="s">
        <v>1121</v>
      </c>
      <c r="D289" s="7" t="s">
        <v>1120</v>
      </c>
      <c r="E289" s="7" t="s">
        <v>1119</v>
      </c>
      <c r="F289" s="7" t="s">
        <v>167</v>
      </c>
      <c r="G289" s="7">
        <v>2015</v>
      </c>
      <c r="H289" s="7">
        <v>42063</v>
      </c>
      <c r="I289" s="7" t="s">
        <v>1118</v>
      </c>
      <c r="J289" s="7" t="s">
        <v>1117</v>
      </c>
      <c r="K289" s="7" t="s">
        <v>1116</v>
      </c>
      <c r="L289" s="7">
        <v>2</v>
      </c>
      <c r="M289" s="7" t="s">
        <v>1115</v>
      </c>
      <c r="N289" s="7" t="s">
        <v>34</v>
      </c>
      <c r="O289" s="7" t="s">
        <v>190</v>
      </c>
      <c r="P289" s="7" t="s">
        <v>34</v>
      </c>
      <c r="Q289" s="7" t="s">
        <v>34</v>
      </c>
      <c r="R289" s="7" t="s">
        <v>34</v>
      </c>
      <c r="S289" s="7" t="s">
        <v>34</v>
      </c>
      <c r="T289" s="7" t="s">
        <v>34</v>
      </c>
      <c r="U289" s="7" t="s">
        <v>32</v>
      </c>
      <c r="V289" s="7">
        <v>1</v>
      </c>
      <c r="W289" s="7" t="s">
        <v>32</v>
      </c>
      <c r="X289" s="7" t="s">
        <v>32</v>
      </c>
      <c r="Y289" s="7" t="s">
        <v>32</v>
      </c>
      <c r="Z289" s="7" t="s">
        <v>32</v>
      </c>
      <c r="AA289" s="7">
        <v>25721741</v>
      </c>
      <c r="AB289" s="7">
        <v>1</v>
      </c>
      <c r="AD289" s="7">
        <v>4</v>
      </c>
      <c r="AE289" s="24">
        <v>12</v>
      </c>
      <c r="AF289" s="7">
        <v>6</v>
      </c>
      <c r="AG289" s="7">
        <v>6</v>
      </c>
      <c r="AH289" s="7" t="s">
        <v>1642</v>
      </c>
      <c r="AI289" s="7" t="s">
        <v>1642</v>
      </c>
      <c r="AJ289" s="7" t="s">
        <v>1896</v>
      </c>
      <c r="AM289" s="7" t="s">
        <v>1896</v>
      </c>
      <c r="AP289" s="7">
        <v>5</v>
      </c>
      <c r="AQ289" s="7" t="s">
        <v>1942</v>
      </c>
      <c r="AR289" s="7" t="s">
        <v>1637</v>
      </c>
      <c r="AS289" s="7" t="s">
        <v>1638</v>
      </c>
      <c r="AT289" s="7" t="s">
        <v>1640</v>
      </c>
      <c r="AU289" s="7" t="s">
        <v>178</v>
      </c>
      <c r="AV289" s="7" t="s">
        <v>1641</v>
      </c>
      <c r="AW289" s="7" t="s">
        <v>1639</v>
      </c>
      <c r="AX289" s="7" t="s">
        <v>2254</v>
      </c>
      <c r="AY289" s="36" t="s">
        <v>1664</v>
      </c>
      <c r="AZ289" s="7" t="s">
        <v>1650</v>
      </c>
      <c r="BA289" s="7">
        <v>283</v>
      </c>
      <c r="BB289" s="7">
        <v>278</v>
      </c>
      <c r="BC289" s="7" t="s">
        <v>2258</v>
      </c>
      <c r="BD289" s="7">
        <v>73.812200000000004</v>
      </c>
      <c r="BF289" s="7">
        <f>88.0053-BD289</f>
        <v>14.193100000000001</v>
      </c>
      <c r="BG289" s="7" t="s">
        <v>2265</v>
      </c>
      <c r="BH289" s="7">
        <v>55.604100000000003</v>
      </c>
      <c r="BJ289" s="7">
        <f>69.3666-BH289</f>
        <v>13.762500000000003</v>
      </c>
    </row>
    <row r="290" spans="1:62" x14ac:dyDescent="0.2">
      <c r="A290" s="7">
        <v>75</v>
      </c>
      <c r="B290" s="7" t="s">
        <v>1122</v>
      </c>
      <c r="C290" s="7" t="s">
        <v>1121</v>
      </c>
      <c r="D290" s="7" t="s">
        <v>1120</v>
      </c>
      <c r="E290" s="7" t="s">
        <v>1119</v>
      </c>
      <c r="F290" s="7" t="s">
        <v>167</v>
      </c>
      <c r="G290" s="7">
        <v>2015</v>
      </c>
      <c r="H290" s="7">
        <v>42063</v>
      </c>
      <c r="I290" s="7" t="s">
        <v>1118</v>
      </c>
      <c r="J290" s="7" t="s">
        <v>1117</v>
      </c>
      <c r="K290" s="7" t="s">
        <v>1116</v>
      </c>
      <c r="L290" s="7">
        <v>2</v>
      </c>
      <c r="M290" s="7" t="s">
        <v>1115</v>
      </c>
      <c r="N290" s="7" t="s">
        <v>34</v>
      </c>
      <c r="O290" s="7" t="s">
        <v>190</v>
      </c>
      <c r="P290" s="7" t="s">
        <v>34</v>
      </c>
      <c r="Q290" s="7" t="s">
        <v>34</v>
      </c>
      <c r="R290" s="7" t="s">
        <v>34</v>
      </c>
      <c r="S290" s="7" t="s">
        <v>34</v>
      </c>
      <c r="T290" s="7" t="s">
        <v>34</v>
      </c>
      <c r="U290" s="7" t="s">
        <v>32</v>
      </c>
      <c r="V290" s="7">
        <v>1</v>
      </c>
      <c r="W290" s="7" t="s">
        <v>32</v>
      </c>
      <c r="X290" s="7" t="s">
        <v>32</v>
      </c>
      <c r="Y290" s="7" t="s">
        <v>32</v>
      </c>
      <c r="Z290" s="7" t="s">
        <v>32</v>
      </c>
      <c r="AA290" s="7">
        <v>25721741</v>
      </c>
      <c r="AB290" s="7">
        <v>1</v>
      </c>
      <c r="AD290" s="7">
        <v>4</v>
      </c>
      <c r="AE290" s="24">
        <v>12</v>
      </c>
      <c r="AF290" s="7">
        <v>6</v>
      </c>
      <c r="AG290" s="7">
        <v>6</v>
      </c>
      <c r="AH290" s="7" t="s">
        <v>1642</v>
      </c>
      <c r="AI290" s="7" t="s">
        <v>1642</v>
      </c>
      <c r="AJ290" s="7" t="s">
        <v>1896</v>
      </c>
      <c r="AM290" s="7" t="s">
        <v>1896</v>
      </c>
      <c r="AP290" s="7">
        <v>5</v>
      </c>
      <c r="AQ290" s="7" t="s">
        <v>1942</v>
      </c>
      <c r="AR290" s="7" t="s">
        <v>1637</v>
      </c>
      <c r="AS290" s="7" t="s">
        <v>1638</v>
      </c>
      <c r="AT290" s="7" t="s">
        <v>1640</v>
      </c>
      <c r="AU290" s="7" t="s">
        <v>178</v>
      </c>
      <c r="AV290" s="7" t="s">
        <v>1641</v>
      </c>
      <c r="AW290" s="7" t="s">
        <v>1639</v>
      </c>
      <c r="AX290" s="7" t="s">
        <v>2254</v>
      </c>
      <c r="AY290" s="36" t="s">
        <v>1664</v>
      </c>
      <c r="AZ290" s="7" t="s">
        <v>1650</v>
      </c>
      <c r="BA290" s="7">
        <v>283</v>
      </c>
      <c r="BB290" s="7">
        <v>278</v>
      </c>
      <c r="BC290" s="7" t="s">
        <v>2259</v>
      </c>
      <c r="BD290" s="7">
        <v>41.692599999999999</v>
      </c>
      <c r="BF290" s="7">
        <f>52.7321-BD290</f>
        <v>11.039500000000004</v>
      </c>
      <c r="BG290" s="7" t="s">
        <v>2266</v>
      </c>
      <c r="BH290" s="7">
        <v>30.366299999999999</v>
      </c>
      <c r="BJ290" s="7">
        <f>41.5487-BH290</f>
        <v>11.182399999999998</v>
      </c>
    </row>
    <row r="291" spans="1:62" x14ac:dyDescent="0.2">
      <c r="A291" s="7">
        <v>75</v>
      </c>
      <c r="B291" s="7" t="s">
        <v>1122</v>
      </c>
      <c r="C291" s="7" t="s">
        <v>1121</v>
      </c>
      <c r="D291" s="7" t="s">
        <v>1120</v>
      </c>
      <c r="E291" s="7" t="s">
        <v>1119</v>
      </c>
      <c r="F291" s="7" t="s">
        <v>167</v>
      </c>
      <c r="G291" s="7">
        <v>2015</v>
      </c>
      <c r="H291" s="7">
        <v>42063</v>
      </c>
      <c r="I291" s="7" t="s">
        <v>1118</v>
      </c>
      <c r="J291" s="7" t="s">
        <v>1117</v>
      </c>
      <c r="K291" s="7" t="s">
        <v>1116</v>
      </c>
      <c r="L291" s="7">
        <v>2</v>
      </c>
      <c r="M291" s="7" t="s">
        <v>1115</v>
      </c>
      <c r="N291" s="7" t="s">
        <v>34</v>
      </c>
      <c r="O291" s="7" t="s">
        <v>190</v>
      </c>
      <c r="P291" s="7" t="s">
        <v>34</v>
      </c>
      <c r="Q291" s="7" t="s">
        <v>34</v>
      </c>
      <c r="R291" s="7" t="s">
        <v>34</v>
      </c>
      <c r="S291" s="7" t="s">
        <v>34</v>
      </c>
      <c r="T291" s="7" t="s">
        <v>34</v>
      </c>
      <c r="U291" s="7" t="s">
        <v>32</v>
      </c>
      <c r="V291" s="7">
        <v>1</v>
      </c>
      <c r="W291" s="7" t="s">
        <v>32</v>
      </c>
      <c r="X291" s="7" t="s">
        <v>32</v>
      </c>
      <c r="Y291" s="7" t="s">
        <v>32</v>
      </c>
      <c r="Z291" s="7" t="s">
        <v>32</v>
      </c>
      <c r="AA291" s="7">
        <v>25721741</v>
      </c>
      <c r="AB291" s="7">
        <v>1</v>
      </c>
      <c r="AD291" s="7">
        <v>4</v>
      </c>
      <c r="AE291" s="24">
        <v>12</v>
      </c>
      <c r="AF291" s="7">
        <v>6</v>
      </c>
      <c r="AG291" s="7">
        <v>6</v>
      </c>
      <c r="AH291" s="7" t="s">
        <v>1642</v>
      </c>
      <c r="AI291" s="7" t="s">
        <v>1642</v>
      </c>
      <c r="AJ291" s="7" t="s">
        <v>1896</v>
      </c>
      <c r="AM291" s="7" t="s">
        <v>1896</v>
      </c>
      <c r="AP291" s="7">
        <v>5</v>
      </c>
      <c r="AQ291" s="7" t="s">
        <v>1942</v>
      </c>
      <c r="AR291" s="7" t="s">
        <v>1637</v>
      </c>
      <c r="AS291" s="7" t="s">
        <v>1638</v>
      </c>
      <c r="AT291" s="7" t="s">
        <v>1640</v>
      </c>
      <c r="AU291" s="7" t="s">
        <v>178</v>
      </c>
      <c r="AV291" s="7" t="s">
        <v>1641</v>
      </c>
      <c r="AW291" s="7" t="s">
        <v>1639</v>
      </c>
      <c r="AX291" s="7" t="s">
        <v>2254</v>
      </c>
      <c r="AY291" s="36" t="s">
        <v>1664</v>
      </c>
      <c r="AZ291" s="7" t="s">
        <v>1650</v>
      </c>
      <c r="BA291" s="7">
        <v>283</v>
      </c>
      <c r="BB291" s="7">
        <v>278</v>
      </c>
      <c r="BC291" s="7" t="s">
        <v>2260</v>
      </c>
      <c r="BD291" s="7">
        <v>72.956699999999998</v>
      </c>
      <c r="BF291" s="7">
        <f>85.2149-BD291</f>
        <v>12.258200000000002</v>
      </c>
      <c r="BG291" s="7" t="s">
        <v>2267</v>
      </c>
      <c r="BH291" s="7">
        <v>47.366799999999998</v>
      </c>
      <c r="BJ291" s="7">
        <f>58.763-BH291</f>
        <v>11.3962</v>
      </c>
    </row>
    <row r="292" spans="1:62" x14ac:dyDescent="0.2">
      <c r="A292" s="7">
        <v>75</v>
      </c>
      <c r="B292" s="7" t="s">
        <v>1122</v>
      </c>
      <c r="C292" s="7" t="s">
        <v>1121</v>
      </c>
      <c r="D292" s="7" t="s">
        <v>1120</v>
      </c>
      <c r="E292" s="7" t="s">
        <v>1119</v>
      </c>
      <c r="F292" s="7" t="s">
        <v>167</v>
      </c>
      <c r="G292" s="7">
        <v>2015</v>
      </c>
      <c r="H292" s="7">
        <v>42063</v>
      </c>
      <c r="I292" s="7" t="s">
        <v>1118</v>
      </c>
      <c r="J292" s="7" t="s">
        <v>1117</v>
      </c>
      <c r="K292" s="7" t="s">
        <v>1116</v>
      </c>
      <c r="L292" s="7">
        <v>2</v>
      </c>
      <c r="M292" s="7" t="s">
        <v>1115</v>
      </c>
      <c r="N292" s="7" t="s">
        <v>34</v>
      </c>
      <c r="O292" s="7" t="s">
        <v>190</v>
      </c>
      <c r="P292" s="7" t="s">
        <v>34</v>
      </c>
      <c r="Q292" s="7" t="s">
        <v>34</v>
      </c>
      <c r="R292" s="7" t="s">
        <v>34</v>
      </c>
      <c r="S292" s="7" t="s">
        <v>34</v>
      </c>
      <c r="T292" s="7" t="s">
        <v>34</v>
      </c>
      <c r="U292" s="7" t="s">
        <v>32</v>
      </c>
      <c r="V292" s="7">
        <v>1</v>
      </c>
      <c r="W292" s="7" t="s">
        <v>32</v>
      </c>
      <c r="X292" s="7" t="s">
        <v>32</v>
      </c>
      <c r="Y292" s="7" t="s">
        <v>32</v>
      </c>
      <c r="Z292" s="7" t="s">
        <v>32</v>
      </c>
      <c r="AA292" s="7">
        <v>25721741</v>
      </c>
      <c r="AB292" s="7">
        <v>1</v>
      </c>
      <c r="AD292" s="7">
        <v>4</v>
      </c>
      <c r="AE292" s="24">
        <v>12</v>
      </c>
      <c r="AF292" s="7">
        <v>6</v>
      </c>
      <c r="AG292" s="7">
        <v>6</v>
      </c>
      <c r="AH292" s="7" t="s">
        <v>1642</v>
      </c>
      <c r="AI292" s="7" t="s">
        <v>1642</v>
      </c>
      <c r="AJ292" s="7" t="s">
        <v>1896</v>
      </c>
      <c r="AM292" s="7" t="s">
        <v>1896</v>
      </c>
      <c r="AP292" s="7">
        <v>5</v>
      </c>
      <c r="AQ292" s="7" t="s">
        <v>1942</v>
      </c>
      <c r="AR292" s="7" t="s">
        <v>1637</v>
      </c>
      <c r="AS292" s="7" t="s">
        <v>1638</v>
      </c>
      <c r="AT292" s="7" t="s">
        <v>1640</v>
      </c>
      <c r="AU292" s="7" t="s">
        <v>178</v>
      </c>
      <c r="AV292" s="7" t="s">
        <v>1641</v>
      </c>
      <c r="AW292" s="7" t="s">
        <v>1639</v>
      </c>
      <c r="AX292" s="7" t="s">
        <v>2254</v>
      </c>
      <c r="AY292" s="36" t="s">
        <v>1664</v>
      </c>
      <c r="AZ292" s="7" t="s">
        <v>1650</v>
      </c>
      <c r="BA292" s="7">
        <v>283</v>
      </c>
      <c r="BB292" s="7">
        <v>278</v>
      </c>
      <c r="BC292" s="7" t="s">
        <v>2261</v>
      </c>
      <c r="BD292" s="7">
        <v>87.918199999999999</v>
      </c>
      <c r="BF292" s="7">
        <f>100.822-BD292</f>
        <v>12.903800000000004</v>
      </c>
      <c r="BG292" s="7" t="s">
        <v>2268</v>
      </c>
      <c r="BH292" s="7">
        <v>51.357100000000003</v>
      </c>
      <c r="BJ292" s="7">
        <f>63.8303-BH292</f>
        <v>12.473199999999999</v>
      </c>
    </row>
    <row r="293" spans="1:62" x14ac:dyDescent="0.2">
      <c r="A293" s="7">
        <v>75</v>
      </c>
      <c r="B293" s="7" t="s">
        <v>1122</v>
      </c>
      <c r="C293" s="7" t="s">
        <v>1121</v>
      </c>
      <c r="D293" s="7" t="s">
        <v>1120</v>
      </c>
      <c r="E293" s="7" t="s">
        <v>1119</v>
      </c>
      <c r="F293" s="7" t="s">
        <v>167</v>
      </c>
      <c r="G293" s="7">
        <v>2015</v>
      </c>
      <c r="H293" s="7">
        <v>42063</v>
      </c>
      <c r="I293" s="7" t="s">
        <v>1118</v>
      </c>
      <c r="J293" s="7" t="s">
        <v>1117</v>
      </c>
      <c r="K293" s="7" t="s">
        <v>1116</v>
      </c>
      <c r="L293" s="7">
        <v>2</v>
      </c>
      <c r="M293" s="7" t="s">
        <v>1115</v>
      </c>
      <c r="N293" s="7" t="s">
        <v>34</v>
      </c>
      <c r="O293" s="7" t="s">
        <v>190</v>
      </c>
      <c r="P293" s="7" t="s">
        <v>34</v>
      </c>
      <c r="Q293" s="7" t="s">
        <v>34</v>
      </c>
      <c r="R293" s="7" t="s">
        <v>34</v>
      </c>
      <c r="S293" s="7" t="s">
        <v>34</v>
      </c>
      <c r="T293" s="7" t="s">
        <v>34</v>
      </c>
      <c r="U293" s="7" t="s">
        <v>32</v>
      </c>
      <c r="V293" s="7">
        <v>1</v>
      </c>
      <c r="W293" s="7" t="s">
        <v>32</v>
      </c>
      <c r="X293" s="7" t="s">
        <v>32</v>
      </c>
      <c r="Y293" s="7" t="s">
        <v>32</v>
      </c>
      <c r="Z293" s="7" t="s">
        <v>32</v>
      </c>
      <c r="AA293" s="7">
        <v>25721741</v>
      </c>
      <c r="AB293" s="7">
        <v>1</v>
      </c>
      <c r="AD293" s="7">
        <v>4</v>
      </c>
      <c r="AE293" s="24">
        <v>12</v>
      </c>
      <c r="AF293" s="7">
        <v>6</v>
      </c>
      <c r="AG293" s="7">
        <v>6</v>
      </c>
      <c r="AH293" s="7" t="s">
        <v>1642</v>
      </c>
      <c r="AI293" s="7" t="s">
        <v>1642</v>
      </c>
      <c r="AJ293" s="7" t="s">
        <v>1896</v>
      </c>
      <c r="AM293" s="7" t="s">
        <v>1896</v>
      </c>
      <c r="AP293" s="7">
        <v>5</v>
      </c>
      <c r="AQ293" s="7" t="s">
        <v>1942</v>
      </c>
      <c r="AR293" s="7" t="s">
        <v>1637</v>
      </c>
      <c r="AS293" s="7" t="s">
        <v>1638</v>
      </c>
      <c r="AT293" s="7" t="s">
        <v>1640</v>
      </c>
      <c r="AU293" s="7" t="s">
        <v>178</v>
      </c>
      <c r="AV293" s="7" t="s">
        <v>1641</v>
      </c>
      <c r="AW293" s="7" t="s">
        <v>1639</v>
      </c>
      <c r="AX293" s="7" t="s">
        <v>2254</v>
      </c>
      <c r="AY293" s="36" t="s">
        <v>1664</v>
      </c>
      <c r="AZ293" s="7" t="s">
        <v>1650</v>
      </c>
      <c r="BA293" s="7">
        <v>283</v>
      </c>
      <c r="BB293" s="7">
        <v>278</v>
      </c>
      <c r="BC293" s="7" t="s">
        <v>2289</v>
      </c>
      <c r="BD293" s="7">
        <v>66.102699999999999</v>
      </c>
      <c r="BF293" s="7">
        <f>79.6504-BD293</f>
        <v>13.547700000000006</v>
      </c>
      <c r="BG293" s="7" t="s">
        <v>2290</v>
      </c>
      <c r="BH293" s="7">
        <v>44.167900000000003</v>
      </c>
      <c r="BJ293" s="7">
        <f>57.7164-BH293</f>
        <v>13.548499999999997</v>
      </c>
    </row>
    <row r="294" spans="1:62" x14ac:dyDescent="0.2">
      <c r="A294" s="7">
        <v>75</v>
      </c>
      <c r="B294" s="7" t="s">
        <v>1122</v>
      </c>
      <c r="C294" s="7" t="s">
        <v>1121</v>
      </c>
      <c r="D294" s="7" t="s">
        <v>1120</v>
      </c>
      <c r="E294" s="7" t="s">
        <v>1119</v>
      </c>
      <c r="F294" s="7" t="s">
        <v>167</v>
      </c>
      <c r="G294" s="7">
        <v>2015</v>
      </c>
      <c r="H294" s="7">
        <v>42063</v>
      </c>
      <c r="I294" s="7" t="s">
        <v>1118</v>
      </c>
      <c r="J294" s="7" t="s">
        <v>1117</v>
      </c>
      <c r="K294" s="7" t="s">
        <v>1116</v>
      </c>
      <c r="L294" s="7">
        <v>2</v>
      </c>
      <c r="M294" s="7" t="s">
        <v>1115</v>
      </c>
      <c r="N294" s="7" t="s">
        <v>34</v>
      </c>
      <c r="O294" s="7" t="s">
        <v>190</v>
      </c>
      <c r="P294" s="7" t="s">
        <v>34</v>
      </c>
      <c r="Q294" s="7" t="s">
        <v>34</v>
      </c>
      <c r="R294" s="7" t="s">
        <v>34</v>
      </c>
      <c r="S294" s="7" t="s">
        <v>34</v>
      </c>
      <c r="T294" s="7" t="s">
        <v>34</v>
      </c>
      <c r="U294" s="7" t="s">
        <v>32</v>
      </c>
      <c r="V294" s="7">
        <v>1</v>
      </c>
      <c r="W294" s="7" t="s">
        <v>32</v>
      </c>
      <c r="X294" s="7" t="s">
        <v>32</v>
      </c>
      <c r="Y294" s="7" t="s">
        <v>32</v>
      </c>
      <c r="Z294" s="7" t="s">
        <v>32</v>
      </c>
      <c r="AA294" s="7">
        <v>25721741</v>
      </c>
      <c r="AB294" s="7">
        <v>1</v>
      </c>
      <c r="AD294" s="7">
        <v>4</v>
      </c>
      <c r="AE294" s="24">
        <v>12</v>
      </c>
      <c r="AF294" s="7">
        <v>6</v>
      </c>
      <c r="AG294" s="7">
        <v>6</v>
      </c>
      <c r="AH294" s="7" t="s">
        <v>1642</v>
      </c>
      <c r="AI294" s="7" t="s">
        <v>1642</v>
      </c>
      <c r="AJ294" s="7" t="s">
        <v>1896</v>
      </c>
      <c r="AM294" s="7" t="s">
        <v>1896</v>
      </c>
      <c r="AP294" s="7">
        <v>5</v>
      </c>
      <c r="AQ294" s="7" t="s">
        <v>1942</v>
      </c>
      <c r="AR294" s="7" t="s">
        <v>1637</v>
      </c>
      <c r="AS294" s="7" t="s">
        <v>1638</v>
      </c>
      <c r="AT294" s="7" t="s">
        <v>1640</v>
      </c>
      <c r="AU294" s="7" t="s">
        <v>178</v>
      </c>
      <c r="AV294" s="7" t="s">
        <v>1641</v>
      </c>
      <c r="AW294" s="7" t="s">
        <v>1639</v>
      </c>
      <c r="AX294" s="7" t="s">
        <v>2254</v>
      </c>
      <c r="AY294" s="36" t="s">
        <v>1664</v>
      </c>
      <c r="AZ294" s="7" t="s">
        <v>1650</v>
      </c>
      <c r="BA294" s="7">
        <v>283</v>
      </c>
      <c r="BB294" s="7">
        <v>278</v>
      </c>
      <c r="BC294" s="7" t="s">
        <v>2262</v>
      </c>
      <c r="BD294" s="7">
        <v>44.503999999999998</v>
      </c>
      <c r="BF294" s="7">
        <f>54.8266-BD294</f>
        <v>10.322600000000001</v>
      </c>
      <c r="BG294" s="7" t="s">
        <v>2269</v>
      </c>
      <c r="BH294" s="7">
        <v>23.214300000000001</v>
      </c>
      <c r="BJ294" s="7">
        <f>33.7512-BH294</f>
        <v>10.536899999999996</v>
      </c>
    </row>
    <row r="295" spans="1:62" x14ac:dyDescent="0.2">
      <c r="A295" s="7">
        <v>75</v>
      </c>
      <c r="B295" s="7" t="s">
        <v>1122</v>
      </c>
      <c r="C295" s="7" t="s">
        <v>1121</v>
      </c>
      <c r="D295" s="7" t="s">
        <v>1120</v>
      </c>
      <c r="E295" s="7" t="s">
        <v>1119</v>
      </c>
      <c r="F295" s="7" t="s">
        <v>167</v>
      </c>
      <c r="G295" s="7">
        <v>2015</v>
      </c>
      <c r="H295" s="7">
        <v>42063</v>
      </c>
      <c r="I295" s="7" t="s">
        <v>1118</v>
      </c>
      <c r="J295" s="7" t="s">
        <v>1117</v>
      </c>
      <c r="K295" s="7" t="s">
        <v>1116</v>
      </c>
      <c r="L295" s="7">
        <v>2</v>
      </c>
      <c r="M295" s="7" t="s">
        <v>1115</v>
      </c>
      <c r="N295" s="7" t="s">
        <v>34</v>
      </c>
      <c r="O295" s="7" t="s">
        <v>190</v>
      </c>
      <c r="P295" s="7" t="s">
        <v>34</v>
      </c>
      <c r="Q295" s="7" t="s">
        <v>34</v>
      </c>
      <c r="R295" s="7" t="s">
        <v>34</v>
      </c>
      <c r="S295" s="7" t="s">
        <v>34</v>
      </c>
      <c r="T295" s="7" t="s">
        <v>34</v>
      </c>
      <c r="U295" s="7" t="s">
        <v>32</v>
      </c>
      <c r="V295" s="7">
        <v>1</v>
      </c>
      <c r="W295" s="7" t="s">
        <v>32</v>
      </c>
      <c r="X295" s="7" t="s">
        <v>32</v>
      </c>
      <c r="Y295" s="7" t="s">
        <v>32</v>
      </c>
      <c r="Z295" s="7" t="s">
        <v>32</v>
      </c>
      <c r="AA295" s="7">
        <v>25721741</v>
      </c>
      <c r="AB295" s="7">
        <v>1</v>
      </c>
      <c r="AD295" s="7">
        <v>4</v>
      </c>
      <c r="AE295" s="24">
        <v>12</v>
      </c>
      <c r="AF295" s="7">
        <v>6</v>
      </c>
      <c r="AG295" s="7">
        <v>6</v>
      </c>
      <c r="AH295" s="7" t="s">
        <v>1769</v>
      </c>
      <c r="AI295" s="7" t="s">
        <v>1769</v>
      </c>
      <c r="AJ295" s="7" t="s">
        <v>2024</v>
      </c>
      <c r="AM295" s="7" t="s">
        <v>2024</v>
      </c>
      <c r="AP295" s="7">
        <v>5</v>
      </c>
      <c r="AQ295" s="7" t="s">
        <v>1942</v>
      </c>
      <c r="AR295" s="7" t="s">
        <v>1637</v>
      </c>
      <c r="AS295" s="7" t="s">
        <v>1638</v>
      </c>
      <c r="AT295" s="7" t="s">
        <v>1640</v>
      </c>
      <c r="AU295" s="7" t="s">
        <v>178</v>
      </c>
      <c r="AV295" s="7" t="s">
        <v>1641</v>
      </c>
      <c r="AW295" s="7" t="s">
        <v>1639</v>
      </c>
      <c r="AX295" s="7" t="s">
        <v>2254</v>
      </c>
      <c r="AY295" s="36" t="s">
        <v>1662</v>
      </c>
      <c r="AZ295" s="7" t="s">
        <v>1650</v>
      </c>
      <c r="BA295" s="7">
        <v>284</v>
      </c>
      <c r="BB295" s="7">
        <v>279</v>
      </c>
      <c r="BC295" s="7" t="s">
        <v>2270</v>
      </c>
      <c r="BD295" s="7">
        <v>78.801199999999994</v>
      </c>
      <c r="BF295" s="7">
        <f>85.5263-BD295</f>
        <v>6.7251000000000118</v>
      </c>
      <c r="BG295" s="7" t="s">
        <v>2271</v>
      </c>
      <c r="BH295" s="7">
        <v>67.690100000000001</v>
      </c>
      <c r="BJ295" s="7">
        <f>73.2456-BH295</f>
        <v>5.555499999999995</v>
      </c>
    </row>
    <row r="296" spans="1:62" x14ac:dyDescent="0.2">
      <c r="A296" s="7">
        <v>75</v>
      </c>
      <c r="B296" s="7" t="s">
        <v>1122</v>
      </c>
      <c r="C296" s="7" t="s">
        <v>1121</v>
      </c>
      <c r="D296" s="7" t="s">
        <v>1120</v>
      </c>
      <c r="E296" s="7" t="s">
        <v>1119</v>
      </c>
      <c r="F296" s="7" t="s">
        <v>167</v>
      </c>
      <c r="G296" s="7">
        <v>2015</v>
      </c>
      <c r="H296" s="7">
        <v>42063</v>
      </c>
      <c r="I296" s="7" t="s">
        <v>1118</v>
      </c>
      <c r="J296" s="7" t="s">
        <v>1117</v>
      </c>
      <c r="K296" s="7" t="s">
        <v>1116</v>
      </c>
      <c r="L296" s="7">
        <v>2</v>
      </c>
      <c r="M296" s="7" t="s">
        <v>1115</v>
      </c>
      <c r="N296" s="7" t="s">
        <v>34</v>
      </c>
      <c r="O296" s="7" t="s">
        <v>190</v>
      </c>
      <c r="P296" s="7" t="s">
        <v>34</v>
      </c>
      <c r="Q296" s="7" t="s">
        <v>34</v>
      </c>
      <c r="R296" s="7" t="s">
        <v>34</v>
      </c>
      <c r="S296" s="7" t="s">
        <v>34</v>
      </c>
      <c r="T296" s="7" t="s">
        <v>34</v>
      </c>
      <c r="U296" s="7" t="s">
        <v>32</v>
      </c>
      <c r="V296" s="7">
        <v>1</v>
      </c>
      <c r="W296" s="7" t="s">
        <v>32</v>
      </c>
      <c r="X296" s="7" t="s">
        <v>32</v>
      </c>
      <c r="Y296" s="7" t="s">
        <v>32</v>
      </c>
      <c r="Z296" s="7" t="s">
        <v>32</v>
      </c>
      <c r="AA296" s="7">
        <v>25721741</v>
      </c>
      <c r="AB296" s="7">
        <v>1</v>
      </c>
      <c r="AD296" s="7">
        <v>4</v>
      </c>
      <c r="AE296" s="24">
        <v>12</v>
      </c>
      <c r="AF296" s="7">
        <v>6</v>
      </c>
      <c r="AG296" s="7">
        <v>6</v>
      </c>
      <c r="AH296" s="7" t="s">
        <v>1769</v>
      </c>
      <c r="AI296" s="7" t="s">
        <v>1769</v>
      </c>
      <c r="AJ296" s="7" t="s">
        <v>2024</v>
      </c>
      <c r="AM296" s="7" t="s">
        <v>2024</v>
      </c>
      <c r="AP296" s="7">
        <v>5</v>
      </c>
      <c r="AQ296" s="7" t="s">
        <v>1942</v>
      </c>
      <c r="AR296" s="7" t="s">
        <v>1637</v>
      </c>
      <c r="AS296" s="7" t="s">
        <v>1638</v>
      </c>
      <c r="AT296" s="7" t="s">
        <v>1640</v>
      </c>
      <c r="AU296" s="7" t="s">
        <v>178</v>
      </c>
      <c r="AV296" s="7" t="s">
        <v>1641</v>
      </c>
      <c r="AW296" s="7" t="s">
        <v>1639</v>
      </c>
      <c r="AX296" s="7" t="s">
        <v>2254</v>
      </c>
      <c r="AY296" s="36" t="s">
        <v>1662</v>
      </c>
      <c r="AZ296" s="7" t="s">
        <v>1650</v>
      </c>
      <c r="BA296" s="7">
        <v>284</v>
      </c>
      <c r="BB296" s="7">
        <v>279</v>
      </c>
      <c r="BC296" s="7" t="s">
        <v>2272</v>
      </c>
      <c r="BD296" s="7">
        <v>83.187100000000001</v>
      </c>
      <c r="BF296" s="7">
        <f>89.3275-BD296</f>
        <v>6.1403999999999996</v>
      </c>
      <c r="BG296" s="7" t="s">
        <v>2273</v>
      </c>
      <c r="BH296" s="7">
        <v>76.608199999999997</v>
      </c>
      <c r="BJ296" s="7">
        <f>82.1637-BH296</f>
        <v>5.5555000000000092</v>
      </c>
    </row>
    <row r="297" spans="1:62" x14ac:dyDescent="0.2">
      <c r="A297" s="7">
        <v>75</v>
      </c>
      <c r="B297" s="7" t="s">
        <v>1122</v>
      </c>
      <c r="C297" s="7" t="s">
        <v>1121</v>
      </c>
      <c r="D297" s="7" t="s">
        <v>1120</v>
      </c>
      <c r="E297" s="7" t="s">
        <v>1119</v>
      </c>
      <c r="F297" s="7" t="s">
        <v>167</v>
      </c>
      <c r="G297" s="7">
        <v>2015</v>
      </c>
      <c r="H297" s="7">
        <v>42063</v>
      </c>
      <c r="I297" s="7" t="s">
        <v>1118</v>
      </c>
      <c r="J297" s="7" t="s">
        <v>1117</v>
      </c>
      <c r="K297" s="7" t="s">
        <v>1116</v>
      </c>
      <c r="L297" s="7">
        <v>2</v>
      </c>
      <c r="M297" s="7" t="s">
        <v>1115</v>
      </c>
      <c r="N297" s="7" t="s">
        <v>34</v>
      </c>
      <c r="O297" s="7" t="s">
        <v>190</v>
      </c>
      <c r="P297" s="7" t="s">
        <v>34</v>
      </c>
      <c r="Q297" s="7" t="s">
        <v>34</v>
      </c>
      <c r="R297" s="7" t="s">
        <v>34</v>
      </c>
      <c r="S297" s="7" t="s">
        <v>34</v>
      </c>
      <c r="T297" s="7" t="s">
        <v>34</v>
      </c>
      <c r="U297" s="7" t="s">
        <v>32</v>
      </c>
      <c r="V297" s="7">
        <v>1</v>
      </c>
      <c r="W297" s="7" t="s">
        <v>32</v>
      </c>
      <c r="X297" s="7" t="s">
        <v>32</v>
      </c>
      <c r="Y297" s="7" t="s">
        <v>32</v>
      </c>
      <c r="Z297" s="7" t="s">
        <v>32</v>
      </c>
      <c r="AA297" s="7">
        <v>25721741</v>
      </c>
      <c r="AB297" s="7">
        <v>1</v>
      </c>
      <c r="AD297" s="7">
        <v>4</v>
      </c>
      <c r="AE297" s="24">
        <v>12</v>
      </c>
      <c r="AF297" s="7">
        <v>6</v>
      </c>
      <c r="AG297" s="7">
        <v>6</v>
      </c>
      <c r="AH297" s="7" t="s">
        <v>1769</v>
      </c>
      <c r="AI297" s="7" t="s">
        <v>1769</v>
      </c>
      <c r="AJ297" s="7" t="s">
        <v>2024</v>
      </c>
      <c r="AM297" s="7" t="s">
        <v>2024</v>
      </c>
      <c r="AP297" s="7">
        <v>5</v>
      </c>
      <c r="AQ297" s="7" t="s">
        <v>1942</v>
      </c>
      <c r="AR297" s="7" t="s">
        <v>1637</v>
      </c>
      <c r="AS297" s="7" t="s">
        <v>1638</v>
      </c>
      <c r="AT297" s="7" t="s">
        <v>1640</v>
      </c>
      <c r="AU297" s="7" t="s">
        <v>178</v>
      </c>
      <c r="AV297" s="7" t="s">
        <v>1641</v>
      </c>
      <c r="AW297" s="7" t="s">
        <v>1639</v>
      </c>
      <c r="AX297" s="7" t="s">
        <v>2254</v>
      </c>
      <c r="AY297" s="38" t="s">
        <v>1663</v>
      </c>
      <c r="AZ297" s="7" t="s">
        <v>1650</v>
      </c>
      <c r="BA297" s="7">
        <v>284</v>
      </c>
      <c r="BB297" s="7">
        <v>279</v>
      </c>
      <c r="BC297" s="7" t="s">
        <v>2274</v>
      </c>
      <c r="BD297" s="7">
        <v>84.742800000000003</v>
      </c>
      <c r="BF297" s="7">
        <f>91.9108-BD297</f>
        <v>7.1679999999999922</v>
      </c>
      <c r="BG297" s="7" t="s">
        <v>2275</v>
      </c>
      <c r="BH297" s="7">
        <v>81.158600000000007</v>
      </c>
      <c r="BJ297" s="7">
        <f>88.3254-BH297</f>
        <v>7.166799999999995</v>
      </c>
    </row>
    <row r="298" spans="1:62" x14ac:dyDescent="0.2">
      <c r="A298" s="7">
        <v>75</v>
      </c>
      <c r="B298" s="7" t="s">
        <v>1122</v>
      </c>
      <c r="C298" s="7" t="s">
        <v>1121</v>
      </c>
      <c r="D298" s="7" t="s">
        <v>1120</v>
      </c>
      <c r="E298" s="7" t="s">
        <v>1119</v>
      </c>
      <c r="F298" s="7" t="s">
        <v>167</v>
      </c>
      <c r="G298" s="7">
        <v>2015</v>
      </c>
      <c r="H298" s="7">
        <v>42063</v>
      </c>
      <c r="I298" s="7" t="s">
        <v>1118</v>
      </c>
      <c r="J298" s="7" t="s">
        <v>1117</v>
      </c>
      <c r="K298" s="7" t="s">
        <v>1116</v>
      </c>
      <c r="L298" s="7">
        <v>2</v>
      </c>
      <c r="M298" s="7" t="s">
        <v>1115</v>
      </c>
      <c r="N298" s="7" t="s">
        <v>34</v>
      </c>
      <c r="O298" s="7" t="s">
        <v>190</v>
      </c>
      <c r="P298" s="7" t="s">
        <v>34</v>
      </c>
      <c r="Q298" s="7" t="s">
        <v>34</v>
      </c>
      <c r="R298" s="7" t="s">
        <v>34</v>
      </c>
      <c r="S298" s="7" t="s">
        <v>34</v>
      </c>
      <c r="T298" s="7" t="s">
        <v>34</v>
      </c>
      <c r="U298" s="7" t="s">
        <v>32</v>
      </c>
      <c r="V298" s="7">
        <v>1</v>
      </c>
      <c r="W298" s="7" t="s">
        <v>32</v>
      </c>
      <c r="X298" s="7" t="s">
        <v>32</v>
      </c>
      <c r="Y298" s="7" t="s">
        <v>32</v>
      </c>
      <c r="Z298" s="7" t="s">
        <v>32</v>
      </c>
      <c r="AA298" s="7">
        <v>25721741</v>
      </c>
      <c r="AB298" s="7">
        <v>1</v>
      </c>
      <c r="AD298" s="7">
        <v>4</v>
      </c>
      <c r="AE298" s="24">
        <v>12</v>
      </c>
      <c r="AF298" s="7">
        <v>6</v>
      </c>
      <c r="AG298" s="7">
        <v>6</v>
      </c>
      <c r="AH298" s="7" t="s">
        <v>1769</v>
      </c>
      <c r="AI298" s="7" t="s">
        <v>1769</v>
      </c>
      <c r="AJ298" s="7" t="s">
        <v>2024</v>
      </c>
      <c r="AM298" s="7" t="s">
        <v>2024</v>
      </c>
      <c r="AP298" s="7">
        <v>5</v>
      </c>
      <c r="AQ298" s="7" t="s">
        <v>1942</v>
      </c>
      <c r="AR298" s="7" t="s">
        <v>1637</v>
      </c>
      <c r="AS298" s="7" t="s">
        <v>1638</v>
      </c>
      <c r="AT298" s="7" t="s">
        <v>1640</v>
      </c>
      <c r="AU298" s="7" t="s">
        <v>178</v>
      </c>
      <c r="AV298" s="7" t="s">
        <v>1641</v>
      </c>
      <c r="AW298" s="7" t="s">
        <v>1639</v>
      </c>
      <c r="AX298" s="7" t="s">
        <v>2254</v>
      </c>
      <c r="AY298" s="36" t="s">
        <v>1664</v>
      </c>
      <c r="AZ298" s="7" t="s">
        <v>1650</v>
      </c>
      <c r="BA298" s="7">
        <v>284</v>
      </c>
      <c r="BB298" s="7">
        <v>279</v>
      </c>
      <c r="BC298" s="7" t="s">
        <v>2276</v>
      </c>
      <c r="BD298" s="7">
        <v>51.692300000000003</v>
      </c>
      <c r="BF298" s="7">
        <f>64.7385-BD298</f>
        <v>13.046199999999999</v>
      </c>
      <c r="BG298" s="7" t="s">
        <v>2277</v>
      </c>
      <c r="BH298" s="7">
        <v>46.530500000000004</v>
      </c>
      <c r="BJ298" s="7">
        <f>58.4296-BH298</f>
        <v>11.899099999999997</v>
      </c>
    </row>
    <row r="299" spans="1:62" x14ac:dyDescent="0.2">
      <c r="A299" s="7">
        <v>75</v>
      </c>
      <c r="B299" s="7" t="s">
        <v>1122</v>
      </c>
      <c r="C299" s="7" t="s">
        <v>1121</v>
      </c>
      <c r="D299" s="7" t="s">
        <v>1120</v>
      </c>
      <c r="E299" s="7" t="s">
        <v>1119</v>
      </c>
      <c r="F299" s="7" t="s">
        <v>167</v>
      </c>
      <c r="G299" s="7">
        <v>2015</v>
      </c>
      <c r="H299" s="7">
        <v>42063</v>
      </c>
      <c r="I299" s="7" t="s">
        <v>1118</v>
      </c>
      <c r="J299" s="7" t="s">
        <v>1117</v>
      </c>
      <c r="K299" s="7" t="s">
        <v>1116</v>
      </c>
      <c r="L299" s="7">
        <v>2</v>
      </c>
      <c r="M299" s="7" t="s">
        <v>1115</v>
      </c>
      <c r="N299" s="7" t="s">
        <v>34</v>
      </c>
      <c r="O299" s="7" t="s">
        <v>190</v>
      </c>
      <c r="P299" s="7" t="s">
        <v>34</v>
      </c>
      <c r="Q299" s="7" t="s">
        <v>34</v>
      </c>
      <c r="R299" s="7" t="s">
        <v>34</v>
      </c>
      <c r="S299" s="7" t="s">
        <v>34</v>
      </c>
      <c r="T299" s="7" t="s">
        <v>34</v>
      </c>
      <c r="U299" s="7" t="s">
        <v>32</v>
      </c>
      <c r="V299" s="7">
        <v>1</v>
      </c>
      <c r="W299" s="7" t="s">
        <v>32</v>
      </c>
      <c r="X299" s="7" t="s">
        <v>32</v>
      </c>
      <c r="Y299" s="7" t="s">
        <v>32</v>
      </c>
      <c r="Z299" s="7" t="s">
        <v>32</v>
      </c>
      <c r="AA299" s="7">
        <v>25721741</v>
      </c>
      <c r="AB299" s="7">
        <v>1</v>
      </c>
      <c r="AD299" s="7">
        <v>4</v>
      </c>
      <c r="AE299" s="24">
        <v>12</v>
      </c>
      <c r="AF299" s="7">
        <v>6</v>
      </c>
      <c r="AG299" s="7">
        <v>6</v>
      </c>
      <c r="AH299" s="7" t="s">
        <v>1769</v>
      </c>
      <c r="AI299" s="7" t="s">
        <v>1769</v>
      </c>
      <c r="AJ299" s="7" t="s">
        <v>2024</v>
      </c>
      <c r="AM299" s="7" t="s">
        <v>2024</v>
      </c>
      <c r="AP299" s="7">
        <v>5</v>
      </c>
      <c r="AQ299" s="7" t="s">
        <v>1942</v>
      </c>
      <c r="AR299" s="7" t="s">
        <v>1637</v>
      </c>
      <c r="AS299" s="7" t="s">
        <v>1638</v>
      </c>
      <c r="AT299" s="7" t="s">
        <v>1640</v>
      </c>
      <c r="AU299" s="7" t="s">
        <v>178</v>
      </c>
      <c r="AV299" s="7" t="s">
        <v>1641</v>
      </c>
      <c r="AW299" s="7" t="s">
        <v>1639</v>
      </c>
      <c r="AX299" s="7" t="s">
        <v>2254</v>
      </c>
      <c r="AY299" s="36" t="s">
        <v>1664</v>
      </c>
      <c r="AZ299" s="7" t="s">
        <v>1650</v>
      </c>
      <c r="BA299" s="7">
        <v>284</v>
      </c>
      <c r="BB299" s="7">
        <v>279</v>
      </c>
      <c r="BC299" s="7" t="s">
        <v>2278</v>
      </c>
      <c r="BD299" s="7">
        <v>10.827199999999999</v>
      </c>
      <c r="BF299" s="7">
        <f>21.2932-BD299</f>
        <v>10.465999999999999</v>
      </c>
      <c r="BG299" s="7" t="s">
        <v>2279</v>
      </c>
      <c r="BH299" s="7">
        <v>24.734100000000002</v>
      </c>
      <c r="BJ299" s="7">
        <f>34.0537-BH299</f>
        <v>9.3195999999999977</v>
      </c>
    </row>
    <row r="300" spans="1:62" x14ac:dyDescent="0.2">
      <c r="A300" s="7">
        <v>75</v>
      </c>
      <c r="B300" s="7" t="s">
        <v>1122</v>
      </c>
      <c r="C300" s="7" t="s">
        <v>1121</v>
      </c>
      <c r="D300" s="7" t="s">
        <v>1120</v>
      </c>
      <c r="E300" s="7" t="s">
        <v>1119</v>
      </c>
      <c r="F300" s="7" t="s">
        <v>167</v>
      </c>
      <c r="G300" s="7">
        <v>2015</v>
      </c>
      <c r="H300" s="7">
        <v>42063</v>
      </c>
      <c r="I300" s="7" t="s">
        <v>1118</v>
      </c>
      <c r="J300" s="7" t="s">
        <v>1117</v>
      </c>
      <c r="K300" s="7" t="s">
        <v>1116</v>
      </c>
      <c r="L300" s="7">
        <v>2</v>
      </c>
      <c r="M300" s="7" t="s">
        <v>1115</v>
      </c>
      <c r="N300" s="7" t="s">
        <v>34</v>
      </c>
      <c r="O300" s="7" t="s">
        <v>190</v>
      </c>
      <c r="P300" s="7" t="s">
        <v>34</v>
      </c>
      <c r="Q300" s="7" t="s">
        <v>34</v>
      </c>
      <c r="R300" s="7" t="s">
        <v>34</v>
      </c>
      <c r="S300" s="7" t="s">
        <v>34</v>
      </c>
      <c r="T300" s="7" t="s">
        <v>34</v>
      </c>
      <c r="U300" s="7" t="s">
        <v>32</v>
      </c>
      <c r="V300" s="7">
        <v>1</v>
      </c>
      <c r="W300" s="7" t="s">
        <v>32</v>
      </c>
      <c r="X300" s="7" t="s">
        <v>32</v>
      </c>
      <c r="Y300" s="7" t="s">
        <v>32</v>
      </c>
      <c r="Z300" s="7" t="s">
        <v>32</v>
      </c>
      <c r="AA300" s="7">
        <v>25721741</v>
      </c>
      <c r="AB300" s="7">
        <v>1</v>
      </c>
      <c r="AD300" s="7">
        <v>4</v>
      </c>
      <c r="AE300" s="24">
        <v>12</v>
      </c>
      <c r="AF300" s="7">
        <v>6</v>
      </c>
      <c r="AG300" s="7">
        <v>6</v>
      </c>
      <c r="AH300" s="7" t="s">
        <v>1769</v>
      </c>
      <c r="AI300" s="7" t="s">
        <v>1769</v>
      </c>
      <c r="AJ300" s="7" t="s">
        <v>2024</v>
      </c>
      <c r="AM300" s="7" t="s">
        <v>2024</v>
      </c>
      <c r="AP300" s="7">
        <v>5</v>
      </c>
      <c r="AQ300" s="7" t="s">
        <v>1942</v>
      </c>
      <c r="AR300" s="7" t="s">
        <v>1637</v>
      </c>
      <c r="AS300" s="7" t="s">
        <v>1638</v>
      </c>
      <c r="AT300" s="7" t="s">
        <v>1640</v>
      </c>
      <c r="AU300" s="7" t="s">
        <v>178</v>
      </c>
      <c r="AV300" s="7" t="s">
        <v>1641</v>
      </c>
      <c r="AW300" s="7" t="s">
        <v>1639</v>
      </c>
      <c r="AX300" s="7" t="s">
        <v>2254</v>
      </c>
      <c r="AY300" s="36" t="s">
        <v>1664</v>
      </c>
      <c r="AZ300" s="7" t="s">
        <v>1650</v>
      </c>
      <c r="BA300" s="7">
        <v>284</v>
      </c>
      <c r="BB300" s="7">
        <v>279</v>
      </c>
      <c r="BC300" s="7" t="s">
        <v>2280</v>
      </c>
      <c r="BD300" s="7">
        <v>47.594299999999997</v>
      </c>
      <c r="BF300" s="7">
        <f>59.4207-BD300</f>
        <v>11.8264</v>
      </c>
      <c r="BG300" s="7" t="s">
        <v>2281</v>
      </c>
      <c r="BH300" s="7">
        <v>67.808700000000002</v>
      </c>
      <c r="BJ300" s="7">
        <f>78.5607-BH300</f>
        <v>10.751999999999995</v>
      </c>
    </row>
    <row r="301" spans="1:62" x14ac:dyDescent="0.2">
      <c r="A301" s="7">
        <v>75</v>
      </c>
      <c r="B301" s="7" t="s">
        <v>1122</v>
      </c>
      <c r="C301" s="7" t="s">
        <v>1121</v>
      </c>
      <c r="D301" s="7" t="s">
        <v>1120</v>
      </c>
      <c r="E301" s="7" t="s">
        <v>1119</v>
      </c>
      <c r="F301" s="7" t="s">
        <v>167</v>
      </c>
      <c r="G301" s="7">
        <v>2015</v>
      </c>
      <c r="H301" s="7">
        <v>42063</v>
      </c>
      <c r="I301" s="7" t="s">
        <v>1118</v>
      </c>
      <c r="J301" s="7" t="s">
        <v>1117</v>
      </c>
      <c r="K301" s="7" t="s">
        <v>1116</v>
      </c>
      <c r="L301" s="7">
        <v>2</v>
      </c>
      <c r="M301" s="7" t="s">
        <v>1115</v>
      </c>
      <c r="N301" s="7" t="s">
        <v>34</v>
      </c>
      <c r="O301" s="7" t="s">
        <v>190</v>
      </c>
      <c r="P301" s="7" t="s">
        <v>34</v>
      </c>
      <c r="Q301" s="7" t="s">
        <v>34</v>
      </c>
      <c r="R301" s="7" t="s">
        <v>34</v>
      </c>
      <c r="S301" s="7" t="s">
        <v>34</v>
      </c>
      <c r="T301" s="7" t="s">
        <v>34</v>
      </c>
      <c r="U301" s="7" t="s">
        <v>32</v>
      </c>
      <c r="V301" s="7">
        <v>1</v>
      </c>
      <c r="W301" s="7" t="s">
        <v>32</v>
      </c>
      <c r="X301" s="7" t="s">
        <v>32</v>
      </c>
      <c r="Y301" s="7" t="s">
        <v>32</v>
      </c>
      <c r="Z301" s="7" t="s">
        <v>32</v>
      </c>
      <c r="AA301" s="7">
        <v>25721741</v>
      </c>
      <c r="AB301" s="7">
        <v>1</v>
      </c>
      <c r="AD301" s="7">
        <v>4</v>
      </c>
      <c r="AE301" s="24">
        <v>12</v>
      </c>
      <c r="AF301" s="7">
        <v>6</v>
      </c>
      <c r="AG301" s="7">
        <v>6</v>
      </c>
      <c r="AH301" s="7" t="s">
        <v>1769</v>
      </c>
      <c r="AI301" s="7" t="s">
        <v>1769</v>
      </c>
      <c r="AJ301" s="7" t="s">
        <v>2024</v>
      </c>
      <c r="AM301" s="7" t="s">
        <v>2024</v>
      </c>
      <c r="AP301" s="7">
        <v>5</v>
      </c>
      <c r="AQ301" s="7" t="s">
        <v>1942</v>
      </c>
      <c r="AR301" s="7" t="s">
        <v>1637</v>
      </c>
      <c r="AS301" s="7" t="s">
        <v>1638</v>
      </c>
      <c r="AT301" s="7" t="s">
        <v>1640</v>
      </c>
      <c r="AU301" s="7" t="s">
        <v>178</v>
      </c>
      <c r="AV301" s="7" t="s">
        <v>1641</v>
      </c>
      <c r="AW301" s="7" t="s">
        <v>1639</v>
      </c>
      <c r="AX301" s="7" t="s">
        <v>2254</v>
      </c>
      <c r="AY301" s="36" t="s">
        <v>1664</v>
      </c>
      <c r="AZ301" s="7" t="s">
        <v>1650</v>
      </c>
      <c r="BA301" s="7">
        <v>284</v>
      </c>
      <c r="BB301" s="7">
        <v>279</v>
      </c>
      <c r="BC301" s="7" t="s">
        <v>2282</v>
      </c>
      <c r="BD301" s="7">
        <v>57.823</v>
      </c>
      <c r="BF301" s="7">
        <f>69.6502-BD301</f>
        <v>11.827199999999998</v>
      </c>
      <c r="BG301" s="7" t="s">
        <v>2283</v>
      </c>
      <c r="BH301" s="7">
        <v>68.145600000000002</v>
      </c>
      <c r="BJ301" s="7">
        <f>79.5436-BH301</f>
        <v>11.397999999999996</v>
      </c>
    </row>
    <row r="302" spans="1:62" x14ac:dyDescent="0.2">
      <c r="A302" s="7">
        <v>75</v>
      </c>
      <c r="B302" s="7" t="s">
        <v>1122</v>
      </c>
      <c r="C302" s="7" t="s">
        <v>1121</v>
      </c>
      <c r="D302" s="7" t="s">
        <v>1120</v>
      </c>
      <c r="E302" s="7" t="s">
        <v>1119</v>
      </c>
      <c r="F302" s="7" t="s">
        <v>167</v>
      </c>
      <c r="G302" s="7">
        <v>2015</v>
      </c>
      <c r="H302" s="7">
        <v>42063</v>
      </c>
      <c r="I302" s="7" t="s">
        <v>1118</v>
      </c>
      <c r="J302" s="7" t="s">
        <v>1117</v>
      </c>
      <c r="K302" s="7" t="s">
        <v>1116</v>
      </c>
      <c r="L302" s="7">
        <v>2</v>
      </c>
      <c r="M302" s="7" t="s">
        <v>1115</v>
      </c>
      <c r="N302" s="7" t="s">
        <v>34</v>
      </c>
      <c r="O302" s="7" t="s">
        <v>190</v>
      </c>
      <c r="P302" s="7" t="s">
        <v>34</v>
      </c>
      <c r="Q302" s="7" t="s">
        <v>34</v>
      </c>
      <c r="R302" s="7" t="s">
        <v>34</v>
      </c>
      <c r="S302" s="7" t="s">
        <v>34</v>
      </c>
      <c r="T302" s="7" t="s">
        <v>34</v>
      </c>
      <c r="U302" s="7" t="s">
        <v>32</v>
      </c>
      <c r="V302" s="7">
        <v>1</v>
      </c>
      <c r="W302" s="7" t="s">
        <v>32</v>
      </c>
      <c r="X302" s="7" t="s">
        <v>32</v>
      </c>
      <c r="Y302" s="7" t="s">
        <v>32</v>
      </c>
      <c r="Z302" s="7" t="s">
        <v>32</v>
      </c>
      <c r="AA302" s="7">
        <v>25721741</v>
      </c>
      <c r="AB302" s="7">
        <v>1</v>
      </c>
      <c r="AD302" s="7">
        <v>4</v>
      </c>
      <c r="AE302" s="24">
        <v>12</v>
      </c>
      <c r="AF302" s="7">
        <v>6</v>
      </c>
      <c r="AG302" s="7">
        <v>6</v>
      </c>
      <c r="AH302" s="7" t="s">
        <v>1769</v>
      </c>
      <c r="AI302" s="7" t="s">
        <v>1769</v>
      </c>
      <c r="AJ302" s="7" t="s">
        <v>2024</v>
      </c>
      <c r="AM302" s="7" t="s">
        <v>2024</v>
      </c>
      <c r="AP302" s="7">
        <v>5</v>
      </c>
      <c r="AQ302" s="7" t="s">
        <v>1942</v>
      </c>
      <c r="AR302" s="7" t="s">
        <v>1637</v>
      </c>
      <c r="AS302" s="7" t="s">
        <v>1638</v>
      </c>
      <c r="AT302" s="7" t="s">
        <v>1640</v>
      </c>
      <c r="AU302" s="7" t="s">
        <v>178</v>
      </c>
      <c r="AV302" s="7" t="s">
        <v>1641</v>
      </c>
      <c r="AW302" s="7" t="s">
        <v>1639</v>
      </c>
      <c r="AX302" s="7" t="s">
        <v>2254</v>
      </c>
      <c r="AY302" s="36" t="s">
        <v>1664</v>
      </c>
      <c r="AZ302" s="7" t="s">
        <v>1650</v>
      </c>
      <c r="BA302" s="7">
        <v>284</v>
      </c>
      <c r="BB302" s="7">
        <v>279</v>
      </c>
      <c r="BC302" s="7" t="s">
        <v>2288</v>
      </c>
      <c r="BD302" s="7">
        <v>23.965199999999999</v>
      </c>
      <c r="BF302" s="7">
        <f>37.2978-BD302</f>
        <v>13.332600000000003</v>
      </c>
      <c r="BG302" s="7" t="s">
        <v>2287</v>
      </c>
      <c r="BH302" s="7">
        <v>39.019100000000002</v>
      </c>
      <c r="BJ302" s="7">
        <f>51.2764-BH302</f>
        <v>12.257300000000001</v>
      </c>
    </row>
    <row r="303" spans="1:62" x14ac:dyDescent="0.2">
      <c r="A303" s="7">
        <v>75</v>
      </c>
      <c r="B303" s="7" t="s">
        <v>1122</v>
      </c>
      <c r="C303" s="7" t="s">
        <v>1121</v>
      </c>
      <c r="D303" s="7" t="s">
        <v>1120</v>
      </c>
      <c r="E303" s="7" t="s">
        <v>1119</v>
      </c>
      <c r="F303" s="7" t="s">
        <v>167</v>
      </c>
      <c r="G303" s="7">
        <v>2015</v>
      </c>
      <c r="H303" s="7">
        <v>42063</v>
      </c>
      <c r="I303" s="7" t="s">
        <v>1118</v>
      </c>
      <c r="J303" s="7" t="s">
        <v>1117</v>
      </c>
      <c r="K303" s="7" t="s">
        <v>1116</v>
      </c>
      <c r="L303" s="7">
        <v>2</v>
      </c>
      <c r="M303" s="7" t="s">
        <v>1115</v>
      </c>
      <c r="N303" s="7" t="s">
        <v>34</v>
      </c>
      <c r="O303" s="7" t="s">
        <v>190</v>
      </c>
      <c r="P303" s="7" t="s">
        <v>34</v>
      </c>
      <c r="Q303" s="7" t="s">
        <v>34</v>
      </c>
      <c r="R303" s="7" t="s">
        <v>34</v>
      </c>
      <c r="S303" s="7" t="s">
        <v>34</v>
      </c>
      <c r="T303" s="7" t="s">
        <v>34</v>
      </c>
      <c r="U303" s="7" t="s">
        <v>32</v>
      </c>
      <c r="V303" s="7">
        <v>1</v>
      </c>
      <c r="W303" s="7" t="s">
        <v>32</v>
      </c>
      <c r="X303" s="7" t="s">
        <v>32</v>
      </c>
      <c r="Y303" s="7" t="s">
        <v>32</v>
      </c>
      <c r="Z303" s="7" t="s">
        <v>32</v>
      </c>
      <c r="AA303" s="7">
        <v>25721741</v>
      </c>
      <c r="AB303" s="7">
        <v>1</v>
      </c>
      <c r="AD303" s="7">
        <v>4</v>
      </c>
      <c r="AE303" s="24">
        <v>12</v>
      </c>
      <c r="AF303" s="7">
        <v>6</v>
      </c>
      <c r="AG303" s="7">
        <v>6</v>
      </c>
      <c r="AH303" s="7" t="s">
        <v>1769</v>
      </c>
      <c r="AI303" s="7" t="s">
        <v>1769</v>
      </c>
      <c r="AJ303" s="7" t="s">
        <v>1896</v>
      </c>
      <c r="AM303" s="7" t="s">
        <v>1896</v>
      </c>
      <c r="AP303" s="7">
        <v>5</v>
      </c>
      <c r="AQ303" s="7" t="s">
        <v>1942</v>
      </c>
      <c r="AR303" s="7" t="s">
        <v>1637</v>
      </c>
      <c r="AS303" s="7" t="s">
        <v>1638</v>
      </c>
      <c r="AT303" s="7" t="s">
        <v>1640</v>
      </c>
      <c r="AU303" s="7" t="s">
        <v>178</v>
      </c>
      <c r="AV303" s="7" t="s">
        <v>1641</v>
      </c>
      <c r="AW303" s="7" t="s">
        <v>1639</v>
      </c>
      <c r="AX303" s="7" t="s">
        <v>2254</v>
      </c>
      <c r="AY303" s="36" t="s">
        <v>1664</v>
      </c>
      <c r="AZ303" s="7" t="s">
        <v>1650</v>
      </c>
      <c r="BA303" s="7">
        <v>284</v>
      </c>
      <c r="BB303" s="7">
        <v>279</v>
      </c>
      <c r="BC303" s="7" t="s">
        <v>2284</v>
      </c>
      <c r="BD303" s="7">
        <v>10.751899999999999</v>
      </c>
      <c r="BF303" s="7">
        <f>20.001-BD303</f>
        <v>9.2491000000000021</v>
      </c>
      <c r="BG303" s="7" t="s">
        <v>2285</v>
      </c>
      <c r="BH303" s="7">
        <v>21.505600000000001</v>
      </c>
      <c r="BJ303" s="7">
        <f>29.8927-BH303</f>
        <v>8.3871000000000002</v>
      </c>
    </row>
    <row r="304" spans="1:62" x14ac:dyDescent="0.2">
      <c r="A304" s="7">
        <v>76</v>
      </c>
      <c r="B304" s="7" t="s">
        <v>1114</v>
      </c>
      <c r="C304" s="7" t="s">
        <v>1113</v>
      </c>
      <c r="D304" s="7" t="s">
        <v>1112</v>
      </c>
      <c r="E304" s="7" t="s">
        <v>1111</v>
      </c>
      <c r="F304" s="7" t="s">
        <v>1110</v>
      </c>
      <c r="G304" s="7">
        <v>2015</v>
      </c>
      <c r="H304" s="7">
        <v>42063</v>
      </c>
      <c r="I304" s="7" t="s">
        <v>32</v>
      </c>
      <c r="J304" s="7" t="s">
        <v>32</v>
      </c>
      <c r="K304" s="7" t="s">
        <v>1109</v>
      </c>
      <c r="L304" s="7">
        <v>2</v>
      </c>
      <c r="M304" s="7" t="s">
        <v>1108</v>
      </c>
      <c r="N304" s="7" t="s">
        <v>1107</v>
      </c>
      <c r="O304" s="7" t="s">
        <v>34</v>
      </c>
      <c r="P304" s="7" t="s">
        <v>34</v>
      </c>
      <c r="Q304" s="7" t="s">
        <v>34</v>
      </c>
      <c r="R304" s="7" t="s">
        <v>34</v>
      </c>
      <c r="S304" s="7" t="s">
        <v>34</v>
      </c>
      <c r="T304" s="7" t="s">
        <v>34</v>
      </c>
      <c r="U304" s="7" t="s">
        <v>34</v>
      </c>
      <c r="V304" s="7">
        <v>1</v>
      </c>
      <c r="W304" s="7" t="s">
        <v>178</v>
      </c>
      <c r="X304" s="7">
        <v>1</v>
      </c>
      <c r="Y304" s="7" t="s">
        <v>206</v>
      </c>
      <c r="Z304" s="7" t="s">
        <v>1106</v>
      </c>
      <c r="AA304" s="7">
        <v>25720329</v>
      </c>
      <c r="AB304" s="7">
        <v>1</v>
      </c>
      <c r="AD304" s="7">
        <v>5</v>
      </c>
      <c r="AE304" s="24">
        <v>32</v>
      </c>
      <c r="AF304" s="7">
        <v>16</v>
      </c>
      <c r="AG304" s="7">
        <v>16</v>
      </c>
      <c r="AH304" s="7" t="s">
        <v>1642</v>
      </c>
      <c r="AI304" s="7" t="s">
        <v>1642</v>
      </c>
      <c r="AJ304" s="7" t="s">
        <v>2161</v>
      </c>
      <c r="AM304" s="7" t="s">
        <v>2161</v>
      </c>
      <c r="AP304" s="7">
        <v>2</v>
      </c>
      <c r="AQ304" s="7" t="s">
        <v>1787</v>
      </c>
      <c r="AR304" s="7" t="s">
        <v>1814</v>
      </c>
      <c r="AS304" s="7" t="s">
        <v>1638</v>
      </c>
      <c r="AT304" s="7" t="s">
        <v>2167</v>
      </c>
      <c r="AU304" s="7" t="s">
        <v>178</v>
      </c>
      <c r="AV304" s="7" t="s">
        <v>2041</v>
      </c>
      <c r="AW304" s="7" t="s">
        <v>1678</v>
      </c>
      <c r="AX304" s="7" t="s">
        <v>2292</v>
      </c>
      <c r="AY304" s="36" t="s">
        <v>1966</v>
      </c>
      <c r="AZ304" s="7" t="s">
        <v>1650</v>
      </c>
      <c r="BA304" s="7">
        <v>285</v>
      </c>
      <c r="BB304" s="7">
        <v>280</v>
      </c>
      <c r="BC304" s="7" t="s">
        <v>2293</v>
      </c>
      <c r="BD304" s="7">
        <v>31.914000000000001</v>
      </c>
      <c r="BF304" s="7">
        <f>35.871-BD304</f>
        <v>3.9570000000000007</v>
      </c>
      <c r="BG304" s="7" t="s">
        <v>2294</v>
      </c>
      <c r="BH304" s="7">
        <v>13.849500000000001</v>
      </c>
      <c r="BJ304" s="7">
        <f>18.2366-BH304</f>
        <v>4.3870999999999984</v>
      </c>
    </row>
    <row r="305" spans="1:63" x14ac:dyDescent="0.2">
      <c r="A305" s="7">
        <v>77</v>
      </c>
      <c r="B305" s="7" t="s">
        <v>1105</v>
      </c>
      <c r="C305" s="7" t="s">
        <v>1104</v>
      </c>
      <c r="D305" s="7" t="s">
        <v>1103</v>
      </c>
      <c r="E305" s="7" t="s">
        <v>1102</v>
      </c>
      <c r="F305" s="7" t="s">
        <v>924</v>
      </c>
      <c r="G305" s="7">
        <v>2015</v>
      </c>
      <c r="H305" s="7">
        <v>42052</v>
      </c>
      <c r="I305" s="7" t="s">
        <v>32</v>
      </c>
      <c r="J305" s="7" t="s">
        <v>32</v>
      </c>
      <c r="K305" s="7" t="s">
        <v>1101</v>
      </c>
      <c r="L305" s="7">
        <v>2</v>
      </c>
      <c r="M305" s="7" t="s">
        <v>32</v>
      </c>
      <c r="N305" s="7" t="s">
        <v>34</v>
      </c>
      <c r="O305" s="7" t="s">
        <v>190</v>
      </c>
      <c r="P305" s="7" t="s">
        <v>34</v>
      </c>
      <c r="Q305" s="7" t="s">
        <v>34</v>
      </c>
      <c r="R305" s="7" t="s">
        <v>34</v>
      </c>
      <c r="S305" s="7" t="s">
        <v>34</v>
      </c>
      <c r="T305" s="7" t="s">
        <v>34</v>
      </c>
      <c r="U305" s="7" t="s">
        <v>32</v>
      </c>
      <c r="V305" s="7">
        <v>1</v>
      </c>
      <c r="W305" s="7" t="s">
        <v>32</v>
      </c>
      <c r="X305" s="7" t="s">
        <v>32</v>
      </c>
      <c r="Y305" s="7" t="s">
        <v>32</v>
      </c>
      <c r="Z305" s="7" t="s">
        <v>32</v>
      </c>
      <c r="AA305" s="7">
        <v>25683290</v>
      </c>
      <c r="AB305" s="7">
        <v>1</v>
      </c>
      <c r="AD305" s="7">
        <v>5</v>
      </c>
      <c r="AE305" s="24">
        <v>20</v>
      </c>
      <c r="AF305" s="7">
        <v>10</v>
      </c>
      <c r="AG305" s="7">
        <v>10</v>
      </c>
      <c r="AH305" s="7" t="s">
        <v>1642</v>
      </c>
      <c r="AI305" s="7" t="s">
        <v>1642</v>
      </c>
      <c r="AJ305" s="7" t="s">
        <v>1940</v>
      </c>
      <c r="AM305" s="7" t="s">
        <v>1940</v>
      </c>
      <c r="AP305" s="7">
        <v>1</v>
      </c>
      <c r="AQ305" s="7" t="s">
        <v>2303</v>
      </c>
      <c r="AR305" s="7" t="s">
        <v>1814</v>
      </c>
      <c r="AS305" s="7" t="s">
        <v>1667</v>
      </c>
      <c r="AT305" s="7" t="s">
        <v>2296</v>
      </c>
      <c r="AU305" s="7" t="s">
        <v>178</v>
      </c>
      <c r="AV305" s="7" t="s">
        <v>1641</v>
      </c>
      <c r="AW305" s="7" t="s">
        <v>1639</v>
      </c>
      <c r="AX305" s="7" t="s">
        <v>2295</v>
      </c>
      <c r="AY305" s="36" t="s">
        <v>1679</v>
      </c>
      <c r="AZ305" s="7" t="s">
        <v>1650</v>
      </c>
      <c r="BA305" s="7">
        <v>286</v>
      </c>
      <c r="BB305" s="7">
        <v>281</v>
      </c>
      <c r="BC305" s="7" t="s">
        <v>2298</v>
      </c>
      <c r="BD305" s="7">
        <v>58.498399999999997</v>
      </c>
      <c r="BF305" s="7">
        <f>61.8211-BD305</f>
        <v>3.3227000000000046</v>
      </c>
      <c r="BG305" s="7" t="s">
        <v>2299</v>
      </c>
      <c r="BH305" s="7">
        <v>33.578299999999999</v>
      </c>
      <c r="BJ305" s="7">
        <f>37.2843-BH305</f>
        <v>3.7060000000000031</v>
      </c>
      <c r="BK305" s="9" t="s">
        <v>2302</v>
      </c>
    </row>
    <row r="306" spans="1:63" x14ac:dyDescent="0.2">
      <c r="A306" s="7">
        <v>77</v>
      </c>
      <c r="B306" s="7" t="s">
        <v>1105</v>
      </c>
      <c r="C306" s="7" t="s">
        <v>1104</v>
      </c>
      <c r="D306" s="7" t="s">
        <v>1103</v>
      </c>
      <c r="E306" s="7" t="s">
        <v>1102</v>
      </c>
      <c r="F306" s="7" t="s">
        <v>924</v>
      </c>
      <c r="G306" s="7">
        <v>2015</v>
      </c>
      <c r="H306" s="7">
        <v>42052</v>
      </c>
      <c r="I306" s="7" t="s">
        <v>32</v>
      </c>
      <c r="J306" s="7" t="s">
        <v>32</v>
      </c>
      <c r="K306" s="7" t="s">
        <v>1101</v>
      </c>
      <c r="L306" s="7">
        <v>2</v>
      </c>
      <c r="M306" s="7" t="s">
        <v>32</v>
      </c>
      <c r="N306" s="7" t="s">
        <v>34</v>
      </c>
      <c r="O306" s="7" t="s">
        <v>190</v>
      </c>
      <c r="P306" s="7" t="s">
        <v>34</v>
      </c>
      <c r="Q306" s="7" t="s">
        <v>34</v>
      </c>
      <c r="R306" s="7" t="s">
        <v>34</v>
      </c>
      <c r="S306" s="7" t="s">
        <v>34</v>
      </c>
      <c r="T306" s="7" t="s">
        <v>34</v>
      </c>
      <c r="U306" s="7" t="s">
        <v>32</v>
      </c>
      <c r="V306" s="7">
        <v>1</v>
      </c>
      <c r="W306" s="7" t="s">
        <v>32</v>
      </c>
      <c r="X306" s="7" t="s">
        <v>32</v>
      </c>
      <c r="Y306" s="7" t="s">
        <v>32</v>
      </c>
      <c r="Z306" s="7" t="s">
        <v>32</v>
      </c>
      <c r="AA306" s="7">
        <v>25683290</v>
      </c>
      <c r="AB306" s="7">
        <v>1</v>
      </c>
      <c r="AD306" s="7">
        <v>5</v>
      </c>
      <c r="AE306" s="24">
        <v>20</v>
      </c>
      <c r="AF306" s="7">
        <v>10</v>
      </c>
      <c r="AG306" s="7">
        <v>10</v>
      </c>
      <c r="AH306" s="7" t="s">
        <v>1642</v>
      </c>
      <c r="AI306" s="7" t="s">
        <v>1642</v>
      </c>
      <c r="AJ306" s="7" t="s">
        <v>1940</v>
      </c>
      <c r="AM306" s="7" t="s">
        <v>1940</v>
      </c>
      <c r="AP306" s="7">
        <v>1</v>
      </c>
      <c r="AQ306" s="7" t="s">
        <v>2303</v>
      </c>
      <c r="AR306" s="7" t="s">
        <v>1814</v>
      </c>
      <c r="AS306" s="7" t="s">
        <v>1667</v>
      </c>
      <c r="AT306" s="7" t="s">
        <v>2296</v>
      </c>
      <c r="AU306" s="7" t="s">
        <v>178</v>
      </c>
      <c r="AV306" s="7" t="s">
        <v>1641</v>
      </c>
      <c r="AW306" s="7" t="s">
        <v>1639</v>
      </c>
      <c r="AX306" s="7" t="s">
        <v>2295</v>
      </c>
      <c r="AY306" s="36" t="s">
        <v>1881</v>
      </c>
      <c r="AZ306" s="7" t="s">
        <v>1650</v>
      </c>
      <c r="BA306" s="7">
        <v>286</v>
      </c>
      <c r="BB306" s="7">
        <v>281</v>
      </c>
      <c r="BC306" s="7" t="s">
        <v>2300</v>
      </c>
      <c r="BD306" s="7">
        <v>62.444200000000002</v>
      </c>
      <c r="BF306" s="7">
        <f>68.7182-BD306</f>
        <v>6.2739999999999938</v>
      </c>
      <c r="BG306" s="7" t="s">
        <v>2301</v>
      </c>
      <c r="BH306" s="7">
        <v>39.997599999999998</v>
      </c>
      <c r="BJ306" s="7">
        <f>46.0148-BH306</f>
        <v>6.0172000000000025</v>
      </c>
    </row>
    <row r="307" spans="1:63" x14ac:dyDescent="0.2">
      <c r="A307" s="7">
        <v>78</v>
      </c>
      <c r="B307" s="7" t="s">
        <v>1100</v>
      </c>
      <c r="C307" s="7" t="s">
        <v>1099</v>
      </c>
      <c r="D307" s="7" t="s">
        <v>1098</v>
      </c>
      <c r="E307" s="7" t="s">
        <v>1097</v>
      </c>
      <c r="F307" s="7" t="s">
        <v>824</v>
      </c>
      <c r="G307" s="7">
        <v>2015</v>
      </c>
      <c r="H307" s="7">
        <v>41983</v>
      </c>
      <c r="I307" s="7" t="s">
        <v>32</v>
      </c>
      <c r="J307" s="7" t="s">
        <v>32</v>
      </c>
      <c r="K307" s="7" t="s">
        <v>1096</v>
      </c>
      <c r="L307" s="7">
        <v>2</v>
      </c>
      <c r="M307" s="7" t="s">
        <v>32</v>
      </c>
      <c r="N307" s="7" t="s">
        <v>34</v>
      </c>
      <c r="O307" s="7" t="s">
        <v>190</v>
      </c>
      <c r="P307" s="7" t="s">
        <v>34</v>
      </c>
      <c r="Q307" s="7" t="s">
        <v>34</v>
      </c>
      <c r="R307" s="7" t="s">
        <v>739</v>
      </c>
      <c r="S307" s="7" t="s">
        <v>34</v>
      </c>
      <c r="T307" s="7" t="s">
        <v>34</v>
      </c>
      <c r="U307" s="7" t="s">
        <v>32</v>
      </c>
      <c r="V307" s="7">
        <v>1</v>
      </c>
      <c r="W307" s="7" t="s">
        <v>67</v>
      </c>
      <c r="X307" s="7" t="s">
        <v>32</v>
      </c>
      <c r="Y307" s="7" t="s">
        <v>32</v>
      </c>
      <c r="Z307" s="7" t="s">
        <v>32</v>
      </c>
      <c r="AA307" s="7">
        <v>25487770</v>
      </c>
      <c r="AB307" s="7">
        <v>1</v>
      </c>
      <c r="AD307" s="7">
        <v>4</v>
      </c>
      <c r="AE307" s="24">
        <v>48</v>
      </c>
      <c r="AF307" s="7">
        <v>24</v>
      </c>
      <c r="AG307" s="7">
        <v>24</v>
      </c>
      <c r="AH307" s="7" t="s">
        <v>1642</v>
      </c>
      <c r="AI307" s="7" t="s">
        <v>1642</v>
      </c>
      <c r="AK307" s="7">
        <v>225</v>
      </c>
      <c r="AN307" s="7">
        <v>225</v>
      </c>
      <c r="AR307" s="7" t="s">
        <v>1675</v>
      </c>
      <c r="AS307" s="7" t="s">
        <v>1667</v>
      </c>
      <c r="AT307" s="7" t="s">
        <v>1640</v>
      </c>
      <c r="AU307" s="7" t="s">
        <v>178</v>
      </c>
      <c r="AV307" s="7" t="s">
        <v>1641</v>
      </c>
      <c r="AW307" s="7" t="s">
        <v>1678</v>
      </c>
      <c r="AX307" s="7" t="s">
        <v>2304</v>
      </c>
      <c r="AY307" s="36" t="s">
        <v>1684</v>
      </c>
      <c r="AZ307" s="7" t="s">
        <v>1650</v>
      </c>
      <c r="BA307" s="7">
        <v>287</v>
      </c>
      <c r="BB307" s="7">
        <v>282</v>
      </c>
      <c r="BC307" s="7" t="s">
        <v>2163</v>
      </c>
      <c r="BD307" s="7">
        <v>40.828600000000002</v>
      </c>
      <c r="BF307" s="7">
        <f>43.2015-BD307</f>
        <v>2.3729000000000013</v>
      </c>
      <c r="BG307" s="7" t="s">
        <v>2305</v>
      </c>
      <c r="BH307" s="7">
        <v>22.862500000000001</v>
      </c>
      <c r="BJ307" s="7">
        <f>24.7834-BH307</f>
        <v>1.9208999999999996</v>
      </c>
      <c r="BK307" s="9" t="s">
        <v>2329</v>
      </c>
    </row>
    <row r="308" spans="1:63" x14ac:dyDescent="0.2">
      <c r="A308" s="7">
        <v>79</v>
      </c>
      <c r="B308" s="7" t="s">
        <v>1095</v>
      </c>
      <c r="C308" s="7" t="s">
        <v>1094</v>
      </c>
      <c r="D308" s="7" t="s">
        <v>1093</v>
      </c>
      <c r="E308" s="7" t="s">
        <v>1092</v>
      </c>
      <c r="F308" s="7" t="s">
        <v>1051</v>
      </c>
      <c r="G308" s="7">
        <v>2015</v>
      </c>
      <c r="H308" s="7">
        <v>41963</v>
      </c>
      <c r="I308" s="7" t="s">
        <v>32</v>
      </c>
      <c r="J308" s="7" t="s">
        <v>32</v>
      </c>
      <c r="K308" s="7" t="s">
        <v>1091</v>
      </c>
      <c r="L308" s="7">
        <v>2</v>
      </c>
      <c r="M308" s="7" t="s">
        <v>32</v>
      </c>
      <c r="N308" s="7" t="s">
        <v>34</v>
      </c>
      <c r="O308" s="7" t="s">
        <v>190</v>
      </c>
      <c r="P308" s="7" t="s">
        <v>34</v>
      </c>
      <c r="Q308" s="7" t="s">
        <v>34</v>
      </c>
      <c r="R308" s="7" t="s">
        <v>34</v>
      </c>
      <c r="S308" s="7" t="s">
        <v>34</v>
      </c>
      <c r="T308" s="7" t="s">
        <v>34</v>
      </c>
      <c r="U308" s="7" t="s">
        <v>32</v>
      </c>
      <c r="V308" s="7">
        <v>1</v>
      </c>
      <c r="W308" s="7" t="s">
        <v>32</v>
      </c>
      <c r="X308" s="7" t="s">
        <v>32</v>
      </c>
      <c r="Y308" s="7" t="s">
        <v>32</v>
      </c>
      <c r="Z308" s="7" t="s">
        <v>32</v>
      </c>
      <c r="AA308" s="7">
        <v>25407822</v>
      </c>
      <c r="AB308" s="7">
        <v>1</v>
      </c>
      <c r="AD308" s="7">
        <v>4</v>
      </c>
      <c r="AE308" s="24">
        <v>12</v>
      </c>
      <c r="AF308" s="7">
        <v>6</v>
      </c>
      <c r="AG308" s="7">
        <v>6</v>
      </c>
      <c r="AH308" s="7" t="s">
        <v>1642</v>
      </c>
      <c r="AI308" s="7" t="s">
        <v>1642</v>
      </c>
      <c r="AK308" s="7">
        <v>190</v>
      </c>
      <c r="AN308" s="7">
        <v>190</v>
      </c>
      <c r="AR308" s="7" t="s">
        <v>1637</v>
      </c>
      <c r="AS308" s="7" t="s">
        <v>1638</v>
      </c>
      <c r="AT308" s="7" t="s">
        <v>1729</v>
      </c>
      <c r="AU308" s="7" t="s">
        <v>178</v>
      </c>
      <c r="AV308" s="7" t="s">
        <v>1641</v>
      </c>
      <c r="AW308" s="7" t="s">
        <v>1687</v>
      </c>
      <c r="AX308" s="7" t="s">
        <v>2306</v>
      </c>
      <c r="AY308" s="36" t="s">
        <v>1925</v>
      </c>
      <c r="AZ308" s="7" t="s">
        <v>1650</v>
      </c>
      <c r="BA308" s="7">
        <v>288</v>
      </c>
      <c r="BB308" s="7">
        <v>283</v>
      </c>
      <c r="BC308" s="7" t="s">
        <v>2308</v>
      </c>
      <c r="BD308" s="7">
        <v>29.405100000000001</v>
      </c>
      <c r="BF308" s="7">
        <f>30.1713-BD308</f>
        <v>0.76619999999999777</v>
      </c>
      <c r="BG308" s="7" t="s">
        <v>2307</v>
      </c>
      <c r="BH308" s="7">
        <v>52.509300000000003</v>
      </c>
      <c r="BJ308" s="7">
        <f>54.1951-BH308</f>
        <v>1.6857999999999933</v>
      </c>
    </row>
    <row r="309" spans="1:63" x14ac:dyDescent="0.2">
      <c r="A309" s="7">
        <v>80</v>
      </c>
      <c r="B309" s="7" t="s">
        <v>1090</v>
      </c>
      <c r="C309" s="7" t="s">
        <v>1089</v>
      </c>
      <c r="D309" s="7" t="s">
        <v>1088</v>
      </c>
      <c r="E309" s="7" t="s">
        <v>1087</v>
      </c>
      <c r="F309" s="7" t="s">
        <v>1086</v>
      </c>
      <c r="G309" s="7">
        <v>2013</v>
      </c>
      <c r="H309" s="7">
        <v>41935</v>
      </c>
      <c r="I309" s="7" t="s">
        <v>1085</v>
      </c>
      <c r="J309" s="7" t="s">
        <v>32</v>
      </c>
      <c r="K309" s="7" t="s">
        <v>32</v>
      </c>
      <c r="L309" s="7">
        <v>2</v>
      </c>
      <c r="M309" s="7" t="s">
        <v>32</v>
      </c>
      <c r="N309" s="7" t="s">
        <v>34</v>
      </c>
      <c r="O309" s="7" t="s">
        <v>34</v>
      </c>
      <c r="P309" s="7" t="s">
        <v>34</v>
      </c>
      <c r="Q309" s="7" t="s">
        <v>34</v>
      </c>
      <c r="R309" s="7" t="s">
        <v>34</v>
      </c>
      <c r="S309" s="7" t="s">
        <v>34</v>
      </c>
      <c r="T309" s="7" t="s">
        <v>34</v>
      </c>
      <c r="U309" s="7" t="s">
        <v>32</v>
      </c>
      <c r="V309" s="7">
        <v>1</v>
      </c>
      <c r="W309" s="7" t="s">
        <v>32</v>
      </c>
      <c r="X309" s="7" t="s">
        <v>32</v>
      </c>
      <c r="Y309" s="7" t="s">
        <v>32</v>
      </c>
      <c r="Z309" s="7" t="s">
        <v>32</v>
      </c>
      <c r="AA309" s="7">
        <v>25337363</v>
      </c>
      <c r="AB309" s="7">
        <v>1</v>
      </c>
      <c r="AD309" s="7">
        <v>4</v>
      </c>
      <c r="AE309" s="24">
        <v>18</v>
      </c>
      <c r="AF309" s="7">
        <v>9</v>
      </c>
      <c r="AG309" s="7">
        <v>9</v>
      </c>
      <c r="AH309" s="7" t="s">
        <v>1642</v>
      </c>
      <c r="AI309" s="7" t="s">
        <v>1642</v>
      </c>
      <c r="AK309" s="7">
        <v>250</v>
      </c>
      <c r="AN309" s="7">
        <v>250</v>
      </c>
      <c r="AP309" s="7">
        <v>2</v>
      </c>
      <c r="AQ309" s="7" t="s">
        <v>1790</v>
      </c>
      <c r="AR309" s="7" t="s">
        <v>1637</v>
      </c>
      <c r="AS309" s="7" t="s">
        <v>1638</v>
      </c>
      <c r="AT309" s="7" t="s">
        <v>1729</v>
      </c>
      <c r="AU309" s="7" t="s">
        <v>178</v>
      </c>
      <c r="AV309" s="7" t="s">
        <v>1641</v>
      </c>
      <c r="AW309" s="7" t="s">
        <v>1639</v>
      </c>
      <c r="AX309" s="7" t="s">
        <v>2254</v>
      </c>
      <c r="AY309" s="36" t="s">
        <v>1881</v>
      </c>
      <c r="AZ309" s="7" t="s">
        <v>1650</v>
      </c>
      <c r="BA309" s="7">
        <v>289</v>
      </c>
      <c r="BB309" s="7">
        <v>284</v>
      </c>
      <c r="BC309" s="7" t="s">
        <v>2309</v>
      </c>
      <c r="BD309" s="7">
        <v>52.8673</v>
      </c>
      <c r="BF309" s="7">
        <f>55.3355-BD309</f>
        <v>2.4682000000000031</v>
      </c>
      <c r="BG309" s="7" t="s">
        <v>2313</v>
      </c>
      <c r="BH309" s="7">
        <v>48.8797</v>
      </c>
      <c r="BJ309" s="7">
        <f>54.5759-BH309</f>
        <v>5.6961999999999975</v>
      </c>
    </row>
    <row r="310" spans="1:63" x14ac:dyDescent="0.2">
      <c r="A310" s="7">
        <v>80</v>
      </c>
      <c r="B310" s="7" t="s">
        <v>1090</v>
      </c>
      <c r="C310" s="7" t="s">
        <v>1089</v>
      </c>
      <c r="D310" s="7" t="s">
        <v>1088</v>
      </c>
      <c r="E310" s="7" t="s">
        <v>1087</v>
      </c>
      <c r="F310" s="7" t="s">
        <v>1086</v>
      </c>
      <c r="G310" s="7">
        <v>2013</v>
      </c>
      <c r="H310" s="7">
        <v>41935</v>
      </c>
      <c r="I310" s="7" t="s">
        <v>1085</v>
      </c>
      <c r="J310" s="7" t="s">
        <v>32</v>
      </c>
      <c r="K310" s="7" t="s">
        <v>32</v>
      </c>
      <c r="L310" s="7">
        <v>2</v>
      </c>
      <c r="M310" s="7" t="s">
        <v>32</v>
      </c>
      <c r="N310" s="7" t="s">
        <v>34</v>
      </c>
      <c r="O310" s="7" t="s">
        <v>34</v>
      </c>
      <c r="P310" s="7" t="s">
        <v>34</v>
      </c>
      <c r="Q310" s="7" t="s">
        <v>34</v>
      </c>
      <c r="R310" s="7" t="s">
        <v>34</v>
      </c>
      <c r="S310" s="7" t="s">
        <v>34</v>
      </c>
      <c r="T310" s="7" t="s">
        <v>34</v>
      </c>
      <c r="U310" s="7" t="s">
        <v>32</v>
      </c>
      <c r="V310" s="7">
        <v>1</v>
      </c>
      <c r="W310" s="7" t="s">
        <v>32</v>
      </c>
      <c r="X310" s="7" t="s">
        <v>32</v>
      </c>
      <c r="Y310" s="7" t="s">
        <v>32</v>
      </c>
      <c r="Z310" s="7" t="s">
        <v>32</v>
      </c>
      <c r="AA310" s="7">
        <v>25337363</v>
      </c>
      <c r="AB310" s="7">
        <v>1</v>
      </c>
      <c r="AD310" s="7">
        <v>4</v>
      </c>
      <c r="AE310" s="24">
        <v>18</v>
      </c>
      <c r="AF310" s="7">
        <v>9</v>
      </c>
      <c r="AG310" s="7">
        <v>9</v>
      </c>
      <c r="AH310" s="7" t="s">
        <v>1642</v>
      </c>
      <c r="AI310" s="7" t="s">
        <v>1642</v>
      </c>
      <c r="AK310" s="7">
        <v>250</v>
      </c>
      <c r="AN310" s="7">
        <v>250</v>
      </c>
      <c r="AP310" s="7">
        <v>2</v>
      </c>
      <c r="AQ310" s="7" t="s">
        <v>1790</v>
      </c>
      <c r="AR310" s="7" t="s">
        <v>1637</v>
      </c>
      <c r="AS310" s="7" t="s">
        <v>1638</v>
      </c>
      <c r="AT310" s="7" t="s">
        <v>1729</v>
      </c>
      <c r="AU310" s="7" t="s">
        <v>178</v>
      </c>
      <c r="AV310" s="7" t="s">
        <v>1641</v>
      </c>
      <c r="AW310" s="7" t="s">
        <v>1639</v>
      </c>
      <c r="AX310" s="7" t="s">
        <v>2254</v>
      </c>
      <c r="AY310" s="38" t="s">
        <v>1955</v>
      </c>
      <c r="AZ310" s="7" t="s">
        <v>1650</v>
      </c>
      <c r="BA310" s="7">
        <v>289</v>
      </c>
      <c r="BB310" s="7">
        <v>284</v>
      </c>
      <c r="BC310" s="7" t="s">
        <v>2310</v>
      </c>
      <c r="BD310" s="7">
        <v>51.607399999999998</v>
      </c>
      <c r="BF310" s="7">
        <f>58.1582-BD310</f>
        <v>6.5508000000000024</v>
      </c>
      <c r="BG310" s="7" t="s">
        <v>2314</v>
      </c>
      <c r="BH310" s="7">
        <v>39.075800000000001</v>
      </c>
      <c r="BJ310" s="7">
        <f>43.3479-BH310</f>
        <v>4.2721000000000018</v>
      </c>
    </row>
    <row r="311" spans="1:63" x14ac:dyDescent="0.2">
      <c r="A311" s="7">
        <v>80</v>
      </c>
      <c r="B311" s="7" t="s">
        <v>1090</v>
      </c>
      <c r="C311" s="7" t="s">
        <v>1089</v>
      </c>
      <c r="D311" s="7" t="s">
        <v>1088</v>
      </c>
      <c r="E311" s="7" t="s">
        <v>1087</v>
      </c>
      <c r="F311" s="7" t="s">
        <v>1086</v>
      </c>
      <c r="G311" s="7">
        <v>2013</v>
      </c>
      <c r="H311" s="7">
        <v>41935</v>
      </c>
      <c r="I311" s="7" t="s">
        <v>1085</v>
      </c>
      <c r="J311" s="7" t="s">
        <v>32</v>
      </c>
      <c r="K311" s="7" t="s">
        <v>32</v>
      </c>
      <c r="L311" s="7">
        <v>2</v>
      </c>
      <c r="M311" s="7" t="s">
        <v>32</v>
      </c>
      <c r="N311" s="7" t="s">
        <v>34</v>
      </c>
      <c r="O311" s="7" t="s">
        <v>34</v>
      </c>
      <c r="P311" s="7" t="s">
        <v>34</v>
      </c>
      <c r="Q311" s="7" t="s">
        <v>34</v>
      </c>
      <c r="R311" s="7" t="s">
        <v>34</v>
      </c>
      <c r="S311" s="7" t="s">
        <v>34</v>
      </c>
      <c r="T311" s="7" t="s">
        <v>34</v>
      </c>
      <c r="U311" s="7" t="s">
        <v>32</v>
      </c>
      <c r="V311" s="7">
        <v>1</v>
      </c>
      <c r="W311" s="7" t="s">
        <v>32</v>
      </c>
      <c r="X311" s="7" t="s">
        <v>32</v>
      </c>
      <c r="Y311" s="7" t="s">
        <v>32</v>
      </c>
      <c r="Z311" s="7" t="s">
        <v>32</v>
      </c>
      <c r="AA311" s="7">
        <v>25337363</v>
      </c>
      <c r="AB311" s="7">
        <v>1</v>
      </c>
      <c r="AD311" s="7">
        <v>4</v>
      </c>
      <c r="AE311" s="24">
        <v>18</v>
      </c>
      <c r="AF311" s="7">
        <v>9</v>
      </c>
      <c r="AG311" s="7">
        <v>9</v>
      </c>
      <c r="AH311" s="7" t="s">
        <v>1642</v>
      </c>
      <c r="AI311" s="7" t="s">
        <v>1642</v>
      </c>
      <c r="AK311" s="7">
        <v>250</v>
      </c>
      <c r="AN311" s="7">
        <v>250</v>
      </c>
      <c r="AP311" s="7">
        <v>2</v>
      </c>
      <c r="AQ311" s="7" t="s">
        <v>1790</v>
      </c>
      <c r="AR311" s="7" t="s">
        <v>1637</v>
      </c>
      <c r="AS311" s="7" t="s">
        <v>1638</v>
      </c>
      <c r="AT311" s="7" t="s">
        <v>1729</v>
      </c>
      <c r="AU311" s="7" t="s">
        <v>178</v>
      </c>
      <c r="AV311" s="7" t="s">
        <v>1641</v>
      </c>
      <c r="AW311" s="7" t="s">
        <v>1639</v>
      </c>
      <c r="AX311" s="7" t="s">
        <v>2254</v>
      </c>
      <c r="AY311" s="38" t="s">
        <v>1955</v>
      </c>
      <c r="AZ311" s="7" t="s">
        <v>1650</v>
      </c>
      <c r="BA311" s="7">
        <v>289</v>
      </c>
      <c r="BB311" s="7">
        <v>284</v>
      </c>
      <c r="BC311" s="7" t="s">
        <v>2311</v>
      </c>
      <c r="BD311" s="7">
        <v>44.461799999999997</v>
      </c>
      <c r="BF311" s="7">
        <f>51.2024-BD311</f>
        <v>6.7406000000000006</v>
      </c>
      <c r="BG311" s="7" t="s">
        <v>2315</v>
      </c>
      <c r="BH311" s="7">
        <v>31.740300000000001</v>
      </c>
      <c r="BJ311" s="7">
        <f>38.4809-BH311</f>
        <v>6.740599999999997</v>
      </c>
    </row>
    <row r="312" spans="1:63" x14ac:dyDescent="0.2">
      <c r="A312" s="7">
        <v>80</v>
      </c>
      <c r="B312" s="7" t="s">
        <v>1090</v>
      </c>
      <c r="C312" s="7" t="s">
        <v>1089</v>
      </c>
      <c r="D312" s="7" t="s">
        <v>1088</v>
      </c>
      <c r="E312" s="7" t="s">
        <v>1087</v>
      </c>
      <c r="F312" s="7" t="s">
        <v>1086</v>
      </c>
      <c r="G312" s="7">
        <v>2013</v>
      </c>
      <c r="H312" s="7">
        <v>41935</v>
      </c>
      <c r="I312" s="7" t="s">
        <v>1085</v>
      </c>
      <c r="J312" s="7" t="s">
        <v>32</v>
      </c>
      <c r="K312" s="7" t="s">
        <v>32</v>
      </c>
      <c r="L312" s="7">
        <v>2</v>
      </c>
      <c r="M312" s="7" t="s">
        <v>32</v>
      </c>
      <c r="N312" s="7" t="s">
        <v>34</v>
      </c>
      <c r="O312" s="7" t="s">
        <v>34</v>
      </c>
      <c r="P312" s="7" t="s">
        <v>34</v>
      </c>
      <c r="Q312" s="7" t="s">
        <v>34</v>
      </c>
      <c r="R312" s="7" t="s">
        <v>34</v>
      </c>
      <c r="S312" s="7" t="s">
        <v>34</v>
      </c>
      <c r="T312" s="7" t="s">
        <v>34</v>
      </c>
      <c r="U312" s="7" t="s">
        <v>32</v>
      </c>
      <c r="V312" s="7">
        <v>1</v>
      </c>
      <c r="W312" s="7" t="s">
        <v>32</v>
      </c>
      <c r="X312" s="7" t="s">
        <v>32</v>
      </c>
      <c r="Y312" s="7" t="s">
        <v>32</v>
      </c>
      <c r="Z312" s="7" t="s">
        <v>32</v>
      </c>
      <c r="AA312" s="7">
        <v>25337363</v>
      </c>
      <c r="AB312" s="7">
        <v>1</v>
      </c>
      <c r="AD312" s="7">
        <v>4</v>
      </c>
      <c r="AE312" s="24">
        <v>18</v>
      </c>
      <c r="AF312" s="7">
        <v>9</v>
      </c>
      <c r="AG312" s="7">
        <v>9</v>
      </c>
      <c r="AH312" s="7" t="s">
        <v>1642</v>
      </c>
      <c r="AI312" s="7" t="s">
        <v>1642</v>
      </c>
      <c r="AK312" s="7">
        <v>250</v>
      </c>
      <c r="AN312" s="7">
        <v>250</v>
      </c>
      <c r="AP312" s="7">
        <v>2</v>
      </c>
      <c r="AQ312" s="7" t="s">
        <v>1790</v>
      </c>
      <c r="AR312" s="7" t="s">
        <v>1637</v>
      </c>
      <c r="AS312" s="7" t="s">
        <v>1638</v>
      </c>
      <c r="AT312" s="7" t="s">
        <v>1729</v>
      </c>
      <c r="AU312" s="7" t="s">
        <v>178</v>
      </c>
      <c r="AV312" s="7" t="s">
        <v>1641</v>
      </c>
      <c r="AW312" s="7" t="s">
        <v>1639</v>
      </c>
      <c r="AX312" s="7" t="s">
        <v>2254</v>
      </c>
      <c r="AY312" s="38" t="s">
        <v>1955</v>
      </c>
      <c r="AZ312" s="7" t="s">
        <v>1650</v>
      </c>
      <c r="BA312" s="7">
        <v>289</v>
      </c>
      <c r="BB312" s="7">
        <v>284</v>
      </c>
      <c r="BC312" s="7" t="s">
        <v>2312</v>
      </c>
      <c r="BD312" s="7">
        <v>44.3416</v>
      </c>
      <c r="BF312" s="7">
        <f>48.3291-BD312</f>
        <v>3.9874999999999972</v>
      </c>
      <c r="BG312" s="7" t="s">
        <v>2316</v>
      </c>
      <c r="BH312" s="7">
        <v>24.974499999999999</v>
      </c>
      <c r="BJ312" s="7">
        <f>30.1012-BH312</f>
        <v>5.1266999999999996</v>
      </c>
    </row>
    <row r="313" spans="1:63" x14ac:dyDescent="0.2">
      <c r="A313" s="7">
        <v>80</v>
      </c>
      <c r="B313" s="7" t="s">
        <v>1090</v>
      </c>
      <c r="C313" s="7" t="s">
        <v>1089</v>
      </c>
      <c r="D313" s="7" t="s">
        <v>1088</v>
      </c>
      <c r="E313" s="7" t="s">
        <v>1087</v>
      </c>
      <c r="F313" s="7" t="s">
        <v>1086</v>
      </c>
      <c r="G313" s="7">
        <v>2013</v>
      </c>
      <c r="H313" s="7">
        <v>41935</v>
      </c>
      <c r="I313" s="7" t="s">
        <v>1085</v>
      </c>
      <c r="J313" s="7" t="s">
        <v>32</v>
      </c>
      <c r="K313" s="7" t="s">
        <v>32</v>
      </c>
      <c r="L313" s="7">
        <v>2</v>
      </c>
      <c r="M313" s="7" t="s">
        <v>32</v>
      </c>
      <c r="N313" s="7" t="s">
        <v>34</v>
      </c>
      <c r="O313" s="7" t="s">
        <v>34</v>
      </c>
      <c r="P313" s="7" t="s">
        <v>34</v>
      </c>
      <c r="Q313" s="7" t="s">
        <v>34</v>
      </c>
      <c r="R313" s="7" t="s">
        <v>34</v>
      </c>
      <c r="S313" s="7" t="s">
        <v>34</v>
      </c>
      <c r="T313" s="7" t="s">
        <v>34</v>
      </c>
      <c r="U313" s="7" t="s">
        <v>32</v>
      </c>
      <c r="V313" s="7">
        <v>1</v>
      </c>
      <c r="W313" s="7" t="s">
        <v>32</v>
      </c>
      <c r="X313" s="7" t="s">
        <v>32</v>
      </c>
      <c r="Y313" s="7" t="s">
        <v>32</v>
      </c>
      <c r="Z313" s="7" t="s">
        <v>32</v>
      </c>
      <c r="AA313" s="7">
        <v>25337363</v>
      </c>
      <c r="AB313" s="7">
        <v>1</v>
      </c>
      <c r="AD313" s="7">
        <v>4</v>
      </c>
      <c r="AE313" s="24">
        <v>18</v>
      </c>
      <c r="AF313" s="7">
        <v>9</v>
      </c>
      <c r="AG313" s="7">
        <v>9</v>
      </c>
      <c r="AH313" s="7" t="s">
        <v>1642</v>
      </c>
      <c r="AI313" s="7" t="s">
        <v>1642</v>
      </c>
      <c r="AK313" s="7">
        <v>250</v>
      </c>
      <c r="AN313" s="7">
        <v>250</v>
      </c>
      <c r="AP313" s="7">
        <v>2</v>
      </c>
      <c r="AQ313" s="7" t="s">
        <v>1790</v>
      </c>
      <c r="AR313" s="7" t="s">
        <v>1637</v>
      </c>
      <c r="AS313" s="7" t="s">
        <v>1638</v>
      </c>
      <c r="AT313" s="7" t="s">
        <v>1729</v>
      </c>
      <c r="AU313" s="7" t="s">
        <v>178</v>
      </c>
      <c r="AV313" s="7" t="s">
        <v>1641</v>
      </c>
      <c r="AW313" s="7" t="s">
        <v>1639</v>
      </c>
      <c r="AX313" s="7" t="s">
        <v>2254</v>
      </c>
      <c r="AY313" s="36" t="s">
        <v>1881</v>
      </c>
      <c r="AZ313" s="7" t="s">
        <v>1650</v>
      </c>
      <c r="BA313" s="7">
        <v>289</v>
      </c>
      <c r="BB313" s="7">
        <v>284</v>
      </c>
      <c r="BC313" s="7" t="s">
        <v>2317</v>
      </c>
      <c r="BD313" s="7">
        <v>34.157899999999998</v>
      </c>
      <c r="BF313" s="7">
        <f>38.4302-BD313</f>
        <v>4.2723000000000013</v>
      </c>
      <c r="BG313" s="7" t="s">
        <v>2318</v>
      </c>
      <c r="BH313" s="7">
        <v>15.3605</v>
      </c>
      <c r="BJ313" s="7">
        <f>18.3037-BH313</f>
        <v>2.9431999999999992</v>
      </c>
    </row>
    <row r="314" spans="1:63" s="20" customFormat="1" x14ac:dyDescent="0.2">
      <c r="A314" s="20">
        <v>81</v>
      </c>
      <c r="B314" s="20" t="s">
        <v>1084</v>
      </c>
      <c r="C314" s="20" t="s">
        <v>1083</v>
      </c>
      <c r="D314" s="20" t="s">
        <v>1082</v>
      </c>
      <c r="E314" s="20" t="s">
        <v>1081</v>
      </c>
      <c r="F314" s="20" t="s">
        <v>1080</v>
      </c>
      <c r="G314" s="20">
        <v>2015</v>
      </c>
      <c r="H314" s="20">
        <v>41926</v>
      </c>
      <c r="I314" s="20" t="s">
        <v>32</v>
      </c>
      <c r="J314" s="20" t="s">
        <v>32</v>
      </c>
      <c r="K314" s="20" t="s">
        <v>1079</v>
      </c>
      <c r="L314" s="20">
        <v>2</v>
      </c>
      <c r="M314" s="20" t="s">
        <v>32</v>
      </c>
      <c r="N314" s="20" t="s">
        <v>34</v>
      </c>
      <c r="O314" s="20" t="s">
        <v>190</v>
      </c>
      <c r="P314" s="20" t="s">
        <v>34</v>
      </c>
      <c r="Q314" s="20" t="s">
        <v>34</v>
      </c>
      <c r="R314" s="20" t="s">
        <v>34</v>
      </c>
      <c r="S314" s="20" t="s">
        <v>34</v>
      </c>
      <c r="T314" s="20" t="s">
        <v>34</v>
      </c>
      <c r="U314" s="20" t="s">
        <v>32</v>
      </c>
      <c r="V314" s="20">
        <v>1</v>
      </c>
      <c r="W314" s="20" t="s">
        <v>32</v>
      </c>
      <c r="X314" s="20" t="s">
        <v>32</v>
      </c>
      <c r="Y314" s="20" t="s">
        <v>32</v>
      </c>
      <c r="Z314" s="20" t="s">
        <v>32</v>
      </c>
      <c r="AA314" s="20">
        <v>25310249</v>
      </c>
      <c r="AC314" s="20" t="s">
        <v>2319</v>
      </c>
      <c r="AE314" s="26"/>
      <c r="BK314" s="49" t="s">
        <v>2320</v>
      </c>
    </row>
    <row r="315" spans="1:63" s="21" customFormat="1" x14ac:dyDescent="0.2">
      <c r="A315" s="21">
        <v>82</v>
      </c>
      <c r="B315" s="21" t="s">
        <v>1078</v>
      </c>
      <c r="C315" s="21" t="s">
        <v>1077</v>
      </c>
      <c r="D315" s="21" t="s">
        <v>1076</v>
      </c>
      <c r="E315" s="21" t="s">
        <v>1075</v>
      </c>
      <c r="F315" s="21" t="s">
        <v>1074</v>
      </c>
      <c r="G315" s="21">
        <v>2014</v>
      </c>
      <c r="H315" s="21">
        <v>41839</v>
      </c>
      <c r="I315" s="21" t="s">
        <v>32</v>
      </c>
      <c r="J315" s="21" t="s">
        <v>32</v>
      </c>
      <c r="K315" s="21" t="s">
        <v>1073</v>
      </c>
      <c r="L315" s="21">
        <v>2</v>
      </c>
      <c r="M315" s="21" t="s">
        <v>32</v>
      </c>
      <c r="N315" s="21" t="s">
        <v>34</v>
      </c>
      <c r="O315" s="21" t="s">
        <v>34</v>
      </c>
      <c r="P315" s="21" t="s">
        <v>34</v>
      </c>
      <c r="Q315" s="21" t="s">
        <v>34</v>
      </c>
      <c r="R315" s="21" t="s">
        <v>739</v>
      </c>
      <c r="S315" s="21" t="s">
        <v>34</v>
      </c>
      <c r="T315" s="21" t="s">
        <v>34</v>
      </c>
      <c r="U315" s="21" t="s">
        <v>34</v>
      </c>
      <c r="V315" s="21">
        <v>1</v>
      </c>
      <c r="W315" s="21" t="s">
        <v>178</v>
      </c>
      <c r="X315" s="21">
        <v>1</v>
      </c>
      <c r="Y315" s="21" t="s">
        <v>909</v>
      </c>
      <c r="Z315" s="21" t="s">
        <v>1072</v>
      </c>
      <c r="AA315" s="21">
        <v>25037003</v>
      </c>
      <c r="AB315" s="21">
        <v>1</v>
      </c>
      <c r="AD315" s="21">
        <v>4</v>
      </c>
      <c r="AE315" s="60">
        <v>60</v>
      </c>
      <c r="AF315" s="39">
        <v>30</v>
      </c>
      <c r="AG315" s="39">
        <v>30</v>
      </c>
      <c r="AH315" s="21" t="s">
        <v>1642</v>
      </c>
      <c r="AI315" s="21" t="s">
        <v>1642</v>
      </c>
      <c r="AK315" s="21">
        <v>225</v>
      </c>
      <c r="AN315" s="21">
        <v>225</v>
      </c>
      <c r="AP315" s="21">
        <v>20</v>
      </c>
      <c r="AQ315" s="21" t="s">
        <v>2322</v>
      </c>
      <c r="AR315" s="21" t="s">
        <v>1814</v>
      </c>
      <c r="AS315" s="21" t="s">
        <v>1667</v>
      </c>
      <c r="AT315" s="21" t="s">
        <v>1640</v>
      </c>
      <c r="AU315" s="21" t="s">
        <v>178</v>
      </c>
      <c r="AV315" s="21" t="s">
        <v>1641</v>
      </c>
      <c r="AW315" s="21" t="s">
        <v>1678</v>
      </c>
      <c r="AX315" s="21" t="s">
        <v>2321</v>
      </c>
      <c r="AY315" s="21" t="s">
        <v>1966</v>
      </c>
      <c r="AZ315" s="21" t="s">
        <v>1650</v>
      </c>
      <c r="BA315" s="21">
        <v>290</v>
      </c>
      <c r="BB315" s="21">
        <v>285</v>
      </c>
      <c r="BC315" s="21" t="s">
        <v>2323</v>
      </c>
      <c r="BD315" s="21">
        <v>88.743200000000002</v>
      </c>
      <c r="BF315" s="21">
        <f>96.8306-BD315</f>
        <v>8.0874000000000024</v>
      </c>
      <c r="BG315" s="21" t="s">
        <v>2326</v>
      </c>
      <c r="BH315" s="21">
        <v>20.3279</v>
      </c>
      <c r="BJ315" s="21">
        <f>30.3825-BH315</f>
        <v>10.054600000000001</v>
      </c>
      <c r="BK315" s="40" t="s">
        <v>2830</v>
      </c>
    </row>
    <row r="316" spans="1:63" s="21" customFormat="1" x14ac:dyDescent="0.2">
      <c r="A316" s="21">
        <v>82</v>
      </c>
      <c r="B316" s="21" t="s">
        <v>1078</v>
      </c>
      <c r="C316" s="21" t="s">
        <v>1077</v>
      </c>
      <c r="D316" s="21" t="s">
        <v>1076</v>
      </c>
      <c r="E316" s="21" t="s">
        <v>1075</v>
      </c>
      <c r="F316" s="21" t="s">
        <v>1074</v>
      </c>
      <c r="G316" s="21">
        <v>2014</v>
      </c>
      <c r="H316" s="21">
        <v>41839</v>
      </c>
      <c r="I316" s="21" t="s">
        <v>32</v>
      </c>
      <c r="J316" s="21" t="s">
        <v>32</v>
      </c>
      <c r="K316" s="21" t="s">
        <v>1073</v>
      </c>
      <c r="L316" s="21">
        <v>2</v>
      </c>
      <c r="M316" s="21" t="s">
        <v>32</v>
      </c>
      <c r="N316" s="21" t="s">
        <v>34</v>
      </c>
      <c r="O316" s="21" t="s">
        <v>34</v>
      </c>
      <c r="P316" s="21" t="s">
        <v>34</v>
      </c>
      <c r="Q316" s="21" t="s">
        <v>34</v>
      </c>
      <c r="R316" s="21" t="s">
        <v>739</v>
      </c>
      <c r="S316" s="21" t="s">
        <v>34</v>
      </c>
      <c r="T316" s="21" t="s">
        <v>34</v>
      </c>
      <c r="U316" s="21" t="s">
        <v>34</v>
      </c>
      <c r="V316" s="21">
        <v>1</v>
      </c>
      <c r="W316" s="21" t="s">
        <v>178</v>
      </c>
      <c r="X316" s="21">
        <v>1</v>
      </c>
      <c r="Y316" s="21" t="s">
        <v>909</v>
      </c>
      <c r="Z316" s="21" t="s">
        <v>1072</v>
      </c>
      <c r="AA316" s="21">
        <v>25037003</v>
      </c>
      <c r="AB316" s="21">
        <v>1</v>
      </c>
      <c r="AD316" s="21">
        <v>4</v>
      </c>
      <c r="AE316" s="60">
        <v>60</v>
      </c>
      <c r="AF316" s="39">
        <v>30</v>
      </c>
      <c r="AG316" s="39">
        <v>30</v>
      </c>
      <c r="AH316" s="21" t="s">
        <v>1642</v>
      </c>
      <c r="AI316" s="21" t="s">
        <v>1642</v>
      </c>
      <c r="AK316" s="21">
        <v>225</v>
      </c>
      <c r="AN316" s="21">
        <v>225</v>
      </c>
      <c r="AP316" s="21">
        <v>20</v>
      </c>
      <c r="AQ316" s="21" t="s">
        <v>2322</v>
      </c>
      <c r="AR316" s="21" t="s">
        <v>1814</v>
      </c>
      <c r="AS316" s="21" t="s">
        <v>1667</v>
      </c>
      <c r="AT316" s="21" t="s">
        <v>1640</v>
      </c>
      <c r="AU316" s="21" t="s">
        <v>178</v>
      </c>
      <c r="AV316" s="21" t="s">
        <v>1689</v>
      </c>
      <c r="AW316" s="21" t="s">
        <v>1678</v>
      </c>
      <c r="AX316" s="21" t="s">
        <v>2321</v>
      </c>
      <c r="AY316" s="21" t="s">
        <v>1966</v>
      </c>
      <c r="AZ316" s="21" t="s">
        <v>1650</v>
      </c>
      <c r="BA316" s="21">
        <v>291</v>
      </c>
      <c r="BB316" s="21">
        <v>285</v>
      </c>
      <c r="BC316" s="21" t="s">
        <v>2324</v>
      </c>
      <c r="BD316" s="21">
        <v>89.398899999999998</v>
      </c>
      <c r="BF316" s="21">
        <f>98.7978-BD316</f>
        <v>9.3988999999999976</v>
      </c>
      <c r="BG316" s="21" t="s">
        <v>2327</v>
      </c>
      <c r="BH316" s="21">
        <v>20.3279</v>
      </c>
      <c r="BJ316" s="21">
        <f>30.3825-BH316</f>
        <v>10.054600000000001</v>
      </c>
      <c r="BK316" s="40" t="s">
        <v>2830</v>
      </c>
    </row>
    <row r="317" spans="1:63" s="21" customFormat="1" x14ac:dyDescent="0.2">
      <c r="A317" s="21">
        <v>82</v>
      </c>
      <c r="B317" s="21" t="s">
        <v>1078</v>
      </c>
      <c r="C317" s="21" t="s">
        <v>1077</v>
      </c>
      <c r="D317" s="21" t="s">
        <v>1076</v>
      </c>
      <c r="E317" s="21" t="s">
        <v>1075</v>
      </c>
      <c r="F317" s="21" t="s">
        <v>1074</v>
      </c>
      <c r="G317" s="21">
        <v>2014</v>
      </c>
      <c r="H317" s="21">
        <v>41839</v>
      </c>
      <c r="I317" s="21" t="s">
        <v>32</v>
      </c>
      <c r="J317" s="21" t="s">
        <v>32</v>
      </c>
      <c r="K317" s="21" t="s">
        <v>1073</v>
      </c>
      <c r="L317" s="21">
        <v>2</v>
      </c>
      <c r="M317" s="21" t="s">
        <v>32</v>
      </c>
      <c r="N317" s="21" t="s">
        <v>34</v>
      </c>
      <c r="O317" s="21" t="s">
        <v>34</v>
      </c>
      <c r="P317" s="21" t="s">
        <v>34</v>
      </c>
      <c r="Q317" s="21" t="s">
        <v>34</v>
      </c>
      <c r="R317" s="21" t="s">
        <v>739</v>
      </c>
      <c r="S317" s="21" t="s">
        <v>34</v>
      </c>
      <c r="T317" s="21" t="s">
        <v>34</v>
      </c>
      <c r="U317" s="21" t="s">
        <v>34</v>
      </c>
      <c r="V317" s="21">
        <v>1</v>
      </c>
      <c r="W317" s="21" t="s">
        <v>178</v>
      </c>
      <c r="X317" s="21">
        <v>1</v>
      </c>
      <c r="Y317" s="21" t="s">
        <v>909</v>
      </c>
      <c r="Z317" s="21" t="s">
        <v>1072</v>
      </c>
      <c r="AA317" s="21">
        <v>25037003</v>
      </c>
      <c r="AB317" s="21">
        <v>1</v>
      </c>
      <c r="AD317" s="21">
        <v>4</v>
      </c>
      <c r="AE317" s="60">
        <v>60</v>
      </c>
      <c r="AF317" s="39">
        <v>30</v>
      </c>
      <c r="AG317" s="39">
        <v>30</v>
      </c>
      <c r="AH317" s="21" t="s">
        <v>1642</v>
      </c>
      <c r="AI317" s="21" t="s">
        <v>1642</v>
      </c>
      <c r="AK317" s="21">
        <v>225</v>
      </c>
      <c r="AN317" s="21">
        <v>225</v>
      </c>
      <c r="AP317" s="21">
        <v>20</v>
      </c>
      <c r="AQ317" s="21" t="s">
        <v>2322</v>
      </c>
      <c r="AR317" s="21" t="s">
        <v>1814</v>
      </c>
      <c r="AS317" s="21" t="s">
        <v>1667</v>
      </c>
      <c r="AT317" s="21" t="s">
        <v>1640</v>
      </c>
      <c r="AU317" s="21" t="s">
        <v>178</v>
      </c>
      <c r="AV317" s="21" t="s">
        <v>1870</v>
      </c>
      <c r="AW317" s="21" t="s">
        <v>1678</v>
      </c>
      <c r="AX317" s="21" t="s">
        <v>2321</v>
      </c>
      <c r="AY317" s="21" t="s">
        <v>1966</v>
      </c>
      <c r="AZ317" s="21" t="s">
        <v>1650</v>
      </c>
      <c r="BA317" s="21">
        <v>292</v>
      </c>
      <c r="BB317" s="21">
        <v>285</v>
      </c>
      <c r="BC317" s="21" t="s">
        <v>2325</v>
      </c>
      <c r="BD317" s="21">
        <v>89.508200000000002</v>
      </c>
      <c r="BF317" s="21">
        <f>98.8525-BD317</f>
        <v>9.344300000000004</v>
      </c>
      <c r="BG317" s="21" t="s">
        <v>2328</v>
      </c>
      <c r="BH317" s="21">
        <v>20.3279</v>
      </c>
      <c r="BJ317" s="21">
        <f>30.3825-BH317</f>
        <v>10.054600000000001</v>
      </c>
      <c r="BK317" s="40" t="s">
        <v>2830</v>
      </c>
    </row>
    <row r="318" spans="1:63" x14ac:dyDescent="0.2">
      <c r="A318" s="7">
        <v>83</v>
      </c>
      <c r="B318" s="7" t="s">
        <v>1071</v>
      </c>
      <c r="C318" s="7" t="s">
        <v>1070</v>
      </c>
      <c r="D318" s="7" t="s">
        <v>1069</v>
      </c>
      <c r="E318" s="7" t="s">
        <v>1068</v>
      </c>
      <c r="F318" s="7" t="s">
        <v>153</v>
      </c>
      <c r="G318" s="7">
        <v>2014</v>
      </c>
      <c r="H318" s="7">
        <v>41829</v>
      </c>
      <c r="I318" s="7" t="s">
        <v>32</v>
      </c>
      <c r="J318" s="7" t="s">
        <v>32</v>
      </c>
      <c r="K318" s="7" t="s">
        <v>1067</v>
      </c>
      <c r="L318" s="7">
        <v>2</v>
      </c>
      <c r="M318" s="7" t="s">
        <v>32</v>
      </c>
      <c r="N318" s="7" t="s">
        <v>34</v>
      </c>
      <c r="O318" s="7" t="s">
        <v>190</v>
      </c>
      <c r="P318" s="7" t="s">
        <v>34</v>
      </c>
      <c r="Q318" s="7" t="s">
        <v>34</v>
      </c>
      <c r="R318" s="7" t="s">
        <v>739</v>
      </c>
      <c r="S318" s="7" t="s">
        <v>34</v>
      </c>
      <c r="T318" s="7" t="s">
        <v>34</v>
      </c>
      <c r="U318" s="7" t="s">
        <v>32</v>
      </c>
      <c r="V318" s="7">
        <v>1</v>
      </c>
      <c r="W318" s="7" t="s">
        <v>32</v>
      </c>
      <c r="X318" s="7" t="s">
        <v>32</v>
      </c>
      <c r="Y318" s="7" t="s">
        <v>32</v>
      </c>
      <c r="Z318" s="7" t="s">
        <v>32</v>
      </c>
      <c r="AA318" s="7">
        <v>25004167</v>
      </c>
      <c r="AB318" s="7">
        <v>1</v>
      </c>
      <c r="AD318" s="7">
        <v>4</v>
      </c>
      <c r="AE318" s="24">
        <v>20</v>
      </c>
      <c r="AF318" s="7">
        <v>10</v>
      </c>
      <c r="AG318" s="7">
        <v>10</v>
      </c>
      <c r="AH318" s="7" t="s">
        <v>1642</v>
      </c>
      <c r="AI318" s="7" t="s">
        <v>1642</v>
      </c>
      <c r="AJ318" s="7" t="s">
        <v>1896</v>
      </c>
      <c r="AK318" s="7">
        <v>302.5</v>
      </c>
      <c r="AN318" s="7">
        <v>302.5</v>
      </c>
      <c r="AP318" s="7">
        <v>5</v>
      </c>
      <c r="AQ318" s="7" t="s">
        <v>2330</v>
      </c>
      <c r="AR318" s="7" t="s">
        <v>1814</v>
      </c>
      <c r="AS318" s="7" t="s">
        <v>1667</v>
      </c>
      <c r="AT318" s="7" t="s">
        <v>1640</v>
      </c>
      <c r="AU318" s="7" t="s">
        <v>178</v>
      </c>
      <c r="AV318" s="7" t="s">
        <v>1641</v>
      </c>
      <c r="AW318" s="7" t="s">
        <v>1678</v>
      </c>
      <c r="AX318" s="7" t="s">
        <v>2223</v>
      </c>
      <c r="AY318" s="7" t="s">
        <v>1966</v>
      </c>
      <c r="AZ318" s="7" t="s">
        <v>1650</v>
      </c>
      <c r="BA318" s="7">
        <v>293</v>
      </c>
      <c r="BB318" s="7">
        <v>286</v>
      </c>
      <c r="BC318" s="7" t="s">
        <v>2331</v>
      </c>
      <c r="BD318" s="7">
        <v>66.630099999999999</v>
      </c>
      <c r="BF318" s="7">
        <f>73.79-BD318</f>
        <v>7.1599000000000075</v>
      </c>
      <c r="BG318" s="7" t="s">
        <v>2332</v>
      </c>
      <c r="BH318" s="7">
        <v>30.684899999999999</v>
      </c>
      <c r="BJ318" s="7">
        <f>35.0685-BH318</f>
        <v>4.3836000000000013</v>
      </c>
    </row>
    <row r="319" spans="1:63" x14ac:dyDescent="0.2">
      <c r="A319" s="7">
        <v>83</v>
      </c>
      <c r="B319" s="7" t="s">
        <v>1071</v>
      </c>
      <c r="C319" s="7" t="s">
        <v>1070</v>
      </c>
      <c r="D319" s="7" t="s">
        <v>1069</v>
      </c>
      <c r="E319" s="7" t="s">
        <v>1068</v>
      </c>
      <c r="F319" s="7" t="s">
        <v>153</v>
      </c>
      <c r="G319" s="7">
        <v>2014</v>
      </c>
      <c r="H319" s="7">
        <v>41829</v>
      </c>
      <c r="I319" s="7" t="s">
        <v>32</v>
      </c>
      <c r="J319" s="7" t="s">
        <v>32</v>
      </c>
      <c r="K319" s="7" t="s">
        <v>1067</v>
      </c>
      <c r="L319" s="7">
        <v>2</v>
      </c>
      <c r="M319" s="7" t="s">
        <v>32</v>
      </c>
      <c r="N319" s="7" t="s">
        <v>34</v>
      </c>
      <c r="O319" s="7" t="s">
        <v>190</v>
      </c>
      <c r="P319" s="7" t="s">
        <v>34</v>
      </c>
      <c r="Q319" s="7" t="s">
        <v>34</v>
      </c>
      <c r="R319" s="7" t="s">
        <v>739</v>
      </c>
      <c r="S319" s="7" t="s">
        <v>34</v>
      </c>
      <c r="T319" s="7" t="s">
        <v>34</v>
      </c>
      <c r="U319" s="7" t="s">
        <v>32</v>
      </c>
      <c r="V319" s="7">
        <v>1</v>
      </c>
      <c r="W319" s="7" t="s">
        <v>32</v>
      </c>
      <c r="X319" s="7" t="s">
        <v>32</v>
      </c>
      <c r="Y319" s="7" t="s">
        <v>32</v>
      </c>
      <c r="Z319" s="7" t="s">
        <v>32</v>
      </c>
      <c r="AA319" s="7">
        <v>25004167</v>
      </c>
      <c r="AB319" s="7">
        <v>1</v>
      </c>
      <c r="AD319" s="7">
        <v>4</v>
      </c>
      <c r="AE319" s="24">
        <v>20</v>
      </c>
      <c r="AF319" s="7">
        <v>10</v>
      </c>
      <c r="AG319" s="7">
        <v>10</v>
      </c>
      <c r="AH319" s="7" t="s">
        <v>1642</v>
      </c>
      <c r="AI319" s="7" t="s">
        <v>1642</v>
      </c>
      <c r="AJ319" s="7" t="s">
        <v>1896</v>
      </c>
      <c r="AK319" s="7">
        <v>302.5</v>
      </c>
      <c r="AN319" s="7">
        <v>302.5</v>
      </c>
      <c r="AP319" s="7">
        <v>5</v>
      </c>
      <c r="AQ319" s="7" t="s">
        <v>2330</v>
      </c>
      <c r="AR319" s="7" t="s">
        <v>1814</v>
      </c>
      <c r="AS319" s="7" t="s">
        <v>1667</v>
      </c>
      <c r="AT319" s="7" t="s">
        <v>1640</v>
      </c>
      <c r="AU319" s="7" t="s">
        <v>178</v>
      </c>
      <c r="AV319" s="7" t="s">
        <v>1689</v>
      </c>
      <c r="AW319" s="7" t="s">
        <v>1678</v>
      </c>
      <c r="AX319" s="7" t="s">
        <v>2223</v>
      </c>
      <c r="AY319" s="7" t="s">
        <v>1966</v>
      </c>
      <c r="AZ319" s="7" t="s">
        <v>1650</v>
      </c>
      <c r="BA319" s="7">
        <v>293</v>
      </c>
      <c r="BB319" s="7">
        <v>286</v>
      </c>
      <c r="BC319" s="7" t="s">
        <v>2335</v>
      </c>
      <c r="BD319" s="7">
        <v>54.405799999999999</v>
      </c>
      <c r="BF319" s="7">
        <f>58.6472-BD319</f>
        <v>4.2413999999999987</v>
      </c>
      <c r="BG319" s="7" t="s">
        <v>2333</v>
      </c>
      <c r="BH319" s="7">
        <v>26.471699999999998</v>
      </c>
      <c r="BJ319" s="7">
        <f>29.2505-BH319</f>
        <v>2.7788000000000004</v>
      </c>
    </row>
    <row r="320" spans="1:63" x14ac:dyDescent="0.2">
      <c r="A320" s="7">
        <v>83</v>
      </c>
      <c r="B320" s="7" t="s">
        <v>1071</v>
      </c>
      <c r="C320" s="7" t="s">
        <v>1070</v>
      </c>
      <c r="D320" s="7" t="s">
        <v>1069</v>
      </c>
      <c r="E320" s="7" t="s">
        <v>1068</v>
      </c>
      <c r="F320" s="7" t="s">
        <v>153</v>
      </c>
      <c r="G320" s="7">
        <v>2014</v>
      </c>
      <c r="H320" s="7">
        <v>41829</v>
      </c>
      <c r="I320" s="7" t="s">
        <v>32</v>
      </c>
      <c r="J320" s="7" t="s">
        <v>32</v>
      </c>
      <c r="K320" s="7" t="s">
        <v>1067</v>
      </c>
      <c r="L320" s="7">
        <v>2</v>
      </c>
      <c r="M320" s="7" t="s">
        <v>32</v>
      </c>
      <c r="N320" s="7" t="s">
        <v>34</v>
      </c>
      <c r="O320" s="7" t="s">
        <v>190</v>
      </c>
      <c r="P320" s="7" t="s">
        <v>34</v>
      </c>
      <c r="Q320" s="7" t="s">
        <v>34</v>
      </c>
      <c r="R320" s="7" t="s">
        <v>739</v>
      </c>
      <c r="S320" s="7" t="s">
        <v>34</v>
      </c>
      <c r="T320" s="7" t="s">
        <v>34</v>
      </c>
      <c r="U320" s="7" t="s">
        <v>32</v>
      </c>
      <c r="V320" s="7">
        <v>1</v>
      </c>
      <c r="W320" s="7" t="s">
        <v>32</v>
      </c>
      <c r="X320" s="7" t="s">
        <v>32</v>
      </c>
      <c r="Y320" s="7" t="s">
        <v>32</v>
      </c>
      <c r="Z320" s="7" t="s">
        <v>32</v>
      </c>
      <c r="AA320" s="7">
        <v>25004167</v>
      </c>
      <c r="AB320" s="7">
        <v>1</v>
      </c>
      <c r="AD320" s="7">
        <v>4</v>
      </c>
      <c r="AE320" s="24">
        <v>20</v>
      </c>
      <c r="AF320" s="7">
        <v>10</v>
      </c>
      <c r="AG320" s="7">
        <v>10</v>
      </c>
      <c r="AH320" s="7" t="s">
        <v>1642</v>
      </c>
      <c r="AI320" s="7" t="s">
        <v>1642</v>
      </c>
      <c r="AJ320" s="7" t="s">
        <v>1896</v>
      </c>
      <c r="AK320" s="7">
        <v>302.5</v>
      </c>
      <c r="AN320" s="7">
        <v>302.5</v>
      </c>
      <c r="AP320" s="7">
        <v>5</v>
      </c>
      <c r="AQ320" s="7" t="s">
        <v>2330</v>
      </c>
      <c r="AR320" s="7" t="s">
        <v>1814</v>
      </c>
      <c r="AS320" s="7" t="s">
        <v>1667</v>
      </c>
      <c r="AT320" s="7" t="s">
        <v>1640</v>
      </c>
      <c r="AU320" s="7" t="s">
        <v>178</v>
      </c>
      <c r="AV320" s="7" t="s">
        <v>1898</v>
      </c>
      <c r="AW320" s="7" t="s">
        <v>1678</v>
      </c>
      <c r="AX320" s="7" t="s">
        <v>2223</v>
      </c>
      <c r="AY320" s="7" t="s">
        <v>1966</v>
      </c>
      <c r="AZ320" s="7" t="s">
        <v>1650</v>
      </c>
      <c r="BA320" s="7">
        <v>293</v>
      </c>
      <c r="BB320" s="7">
        <v>286</v>
      </c>
      <c r="BC320" s="7" t="s">
        <v>2336</v>
      </c>
      <c r="BD320" s="7">
        <v>40.712600000000002</v>
      </c>
      <c r="BF320" s="7">
        <f>45.3373-BD320</f>
        <v>4.6246999999999971</v>
      </c>
      <c r="BG320" s="7" t="s">
        <v>2334</v>
      </c>
      <c r="BH320" s="7">
        <v>23.391100000000002</v>
      </c>
      <c r="BJ320" s="7">
        <f>25.7471-BH320</f>
        <v>2.3559999999999981</v>
      </c>
    </row>
    <row r="321" spans="1:63" x14ac:dyDescent="0.2">
      <c r="A321" s="7">
        <v>83</v>
      </c>
      <c r="B321" s="7" t="s">
        <v>1071</v>
      </c>
      <c r="C321" s="7" t="s">
        <v>1070</v>
      </c>
      <c r="D321" s="7" t="s">
        <v>1069</v>
      </c>
      <c r="E321" s="7" t="s">
        <v>1068</v>
      </c>
      <c r="F321" s="7" t="s">
        <v>153</v>
      </c>
      <c r="G321" s="7">
        <v>2014</v>
      </c>
      <c r="H321" s="7">
        <v>41829</v>
      </c>
      <c r="I321" s="7" t="s">
        <v>32</v>
      </c>
      <c r="J321" s="7" t="s">
        <v>32</v>
      </c>
      <c r="K321" s="7" t="s">
        <v>1067</v>
      </c>
      <c r="L321" s="7">
        <v>2</v>
      </c>
      <c r="M321" s="7" t="s">
        <v>32</v>
      </c>
      <c r="N321" s="7" t="s">
        <v>34</v>
      </c>
      <c r="O321" s="7" t="s">
        <v>190</v>
      </c>
      <c r="P321" s="7" t="s">
        <v>34</v>
      </c>
      <c r="Q321" s="7" t="s">
        <v>34</v>
      </c>
      <c r="R321" s="7" t="s">
        <v>739</v>
      </c>
      <c r="S321" s="7" t="s">
        <v>34</v>
      </c>
      <c r="T321" s="7" t="s">
        <v>34</v>
      </c>
      <c r="U321" s="7" t="s">
        <v>32</v>
      </c>
      <c r="V321" s="7">
        <v>1</v>
      </c>
      <c r="W321" s="7" t="s">
        <v>32</v>
      </c>
      <c r="X321" s="7" t="s">
        <v>32</v>
      </c>
      <c r="Y321" s="7" t="s">
        <v>32</v>
      </c>
      <c r="Z321" s="7" t="s">
        <v>32</v>
      </c>
      <c r="AA321" s="7">
        <v>25004167</v>
      </c>
      <c r="AB321" s="7">
        <v>1</v>
      </c>
      <c r="AD321" s="7">
        <v>4</v>
      </c>
      <c r="AE321" s="24">
        <v>20</v>
      </c>
      <c r="AF321" s="7">
        <v>10</v>
      </c>
      <c r="AG321" s="7">
        <v>10</v>
      </c>
      <c r="AH321" s="7" t="s">
        <v>1642</v>
      </c>
      <c r="AI321" s="7" t="s">
        <v>1642</v>
      </c>
      <c r="AJ321" s="7" t="s">
        <v>1896</v>
      </c>
      <c r="AK321" s="7">
        <v>302.5</v>
      </c>
      <c r="AN321" s="7">
        <v>302.5</v>
      </c>
      <c r="AP321" s="7">
        <v>5</v>
      </c>
      <c r="AQ321" s="7" t="s">
        <v>2330</v>
      </c>
      <c r="AR321" s="7" t="s">
        <v>1814</v>
      </c>
      <c r="AS321" s="7" t="s">
        <v>1667</v>
      </c>
      <c r="AT321" s="7" t="s">
        <v>1640</v>
      </c>
      <c r="AU321" s="7" t="s">
        <v>178</v>
      </c>
      <c r="AV321" s="7" t="s">
        <v>2337</v>
      </c>
      <c r="AW321" s="7" t="s">
        <v>1687</v>
      </c>
      <c r="AX321" s="7" t="s">
        <v>2223</v>
      </c>
      <c r="AY321" s="48" t="s">
        <v>1695</v>
      </c>
      <c r="AZ321" s="7" t="s">
        <v>1650</v>
      </c>
      <c r="BA321" s="7">
        <v>293</v>
      </c>
      <c r="BB321" s="7">
        <v>286</v>
      </c>
      <c r="BC321" s="7" t="s">
        <v>2338</v>
      </c>
      <c r="BD321" s="7">
        <v>49.7149</v>
      </c>
      <c r="BF321" s="7">
        <f>53.4051-BD321</f>
        <v>3.6901999999999973</v>
      </c>
      <c r="BG321" s="7" t="s">
        <v>2342</v>
      </c>
      <c r="BH321" s="7">
        <v>40.694499999999998</v>
      </c>
      <c r="BJ321" s="7">
        <f>43.2913-BH321</f>
        <v>2.5968000000000018</v>
      </c>
      <c r="BK321" s="9" t="s">
        <v>2346</v>
      </c>
    </row>
    <row r="322" spans="1:63" x14ac:dyDescent="0.2">
      <c r="A322" s="7">
        <v>83</v>
      </c>
      <c r="B322" s="7" t="s">
        <v>1071</v>
      </c>
      <c r="C322" s="7" t="s">
        <v>1070</v>
      </c>
      <c r="D322" s="7" t="s">
        <v>1069</v>
      </c>
      <c r="E322" s="7" t="s">
        <v>1068</v>
      </c>
      <c r="F322" s="7" t="s">
        <v>153</v>
      </c>
      <c r="G322" s="7">
        <v>2014</v>
      </c>
      <c r="H322" s="7">
        <v>41829</v>
      </c>
      <c r="I322" s="7" t="s">
        <v>32</v>
      </c>
      <c r="J322" s="7" t="s">
        <v>32</v>
      </c>
      <c r="K322" s="7" t="s">
        <v>1067</v>
      </c>
      <c r="L322" s="7">
        <v>2</v>
      </c>
      <c r="M322" s="7" t="s">
        <v>32</v>
      </c>
      <c r="N322" s="7" t="s">
        <v>34</v>
      </c>
      <c r="O322" s="7" t="s">
        <v>190</v>
      </c>
      <c r="P322" s="7" t="s">
        <v>34</v>
      </c>
      <c r="Q322" s="7" t="s">
        <v>34</v>
      </c>
      <c r="R322" s="7" t="s">
        <v>739</v>
      </c>
      <c r="S322" s="7" t="s">
        <v>34</v>
      </c>
      <c r="T322" s="7" t="s">
        <v>34</v>
      </c>
      <c r="U322" s="7" t="s">
        <v>32</v>
      </c>
      <c r="V322" s="7">
        <v>1</v>
      </c>
      <c r="W322" s="7" t="s">
        <v>32</v>
      </c>
      <c r="X322" s="7" t="s">
        <v>32</v>
      </c>
      <c r="Y322" s="7" t="s">
        <v>32</v>
      </c>
      <c r="Z322" s="7" t="s">
        <v>32</v>
      </c>
      <c r="AA322" s="7">
        <v>25004167</v>
      </c>
      <c r="AB322" s="7">
        <v>1</v>
      </c>
      <c r="AD322" s="7">
        <v>4</v>
      </c>
      <c r="AE322" s="24">
        <v>20</v>
      </c>
      <c r="AF322" s="7">
        <v>10</v>
      </c>
      <c r="AG322" s="7">
        <v>10</v>
      </c>
      <c r="AH322" s="7" t="s">
        <v>1642</v>
      </c>
      <c r="AI322" s="7" t="s">
        <v>1642</v>
      </c>
      <c r="AJ322" s="7" t="s">
        <v>1896</v>
      </c>
      <c r="AK322" s="7">
        <v>302.5</v>
      </c>
      <c r="AN322" s="7">
        <v>302.5</v>
      </c>
      <c r="AP322" s="7">
        <v>5</v>
      </c>
      <c r="AQ322" s="7" t="s">
        <v>2330</v>
      </c>
      <c r="AR322" s="7" t="s">
        <v>1814</v>
      </c>
      <c r="AS322" s="7" t="s">
        <v>1667</v>
      </c>
      <c r="AT322" s="7" t="s">
        <v>1640</v>
      </c>
      <c r="AU322" s="7" t="s">
        <v>178</v>
      </c>
      <c r="AV322" s="7" t="s">
        <v>2044</v>
      </c>
      <c r="AW322" s="7" t="s">
        <v>1687</v>
      </c>
      <c r="AX322" s="7" t="s">
        <v>2223</v>
      </c>
      <c r="AY322" s="48" t="s">
        <v>1695</v>
      </c>
      <c r="AZ322" s="7" t="s">
        <v>1650</v>
      </c>
      <c r="BA322" s="7">
        <v>293</v>
      </c>
      <c r="BB322" s="7">
        <v>286</v>
      </c>
      <c r="BC322" s="7" t="s">
        <v>2339</v>
      </c>
      <c r="BD322" s="7">
        <v>38.849299999999999</v>
      </c>
      <c r="BF322" s="7">
        <f>41.4461-BD322</f>
        <v>2.5968000000000018</v>
      </c>
      <c r="BG322" s="7" t="s">
        <v>2343</v>
      </c>
      <c r="BH322" s="7">
        <v>26.959099999999999</v>
      </c>
      <c r="BJ322" s="7">
        <f>29.0096-BH322</f>
        <v>2.0504999999999995</v>
      </c>
    </row>
    <row r="323" spans="1:63" x14ac:dyDescent="0.2">
      <c r="A323" s="7">
        <v>83</v>
      </c>
      <c r="B323" s="7" t="s">
        <v>1071</v>
      </c>
      <c r="C323" s="7" t="s">
        <v>1070</v>
      </c>
      <c r="D323" s="7" t="s">
        <v>1069</v>
      </c>
      <c r="E323" s="7" t="s">
        <v>1068</v>
      </c>
      <c r="F323" s="7" t="s">
        <v>153</v>
      </c>
      <c r="G323" s="7">
        <v>2014</v>
      </c>
      <c r="H323" s="7">
        <v>41829</v>
      </c>
      <c r="I323" s="7" t="s">
        <v>32</v>
      </c>
      <c r="J323" s="7" t="s">
        <v>32</v>
      </c>
      <c r="K323" s="7" t="s">
        <v>1067</v>
      </c>
      <c r="L323" s="7">
        <v>2</v>
      </c>
      <c r="M323" s="7" t="s">
        <v>32</v>
      </c>
      <c r="N323" s="7" t="s">
        <v>34</v>
      </c>
      <c r="O323" s="7" t="s">
        <v>190</v>
      </c>
      <c r="P323" s="7" t="s">
        <v>34</v>
      </c>
      <c r="Q323" s="7" t="s">
        <v>34</v>
      </c>
      <c r="R323" s="7" t="s">
        <v>739</v>
      </c>
      <c r="S323" s="7" t="s">
        <v>34</v>
      </c>
      <c r="T323" s="7" t="s">
        <v>34</v>
      </c>
      <c r="U323" s="7" t="s">
        <v>32</v>
      </c>
      <c r="V323" s="7">
        <v>1</v>
      </c>
      <c r="W323" s="7" t="s">
        <v>32</v>
      </c>
      <c r="X323" s="7" t="s">
        <v>32</v>
      </c>
      <c r="Y323" s="7" t="s">
        <v>32</v>
      </c>
      <c r="Z323" s="7" t="s">
        <v>32</v>
      </c>
      <c r="AA323" s="7">
        <v>25004167</v>
      </c>
      <c r="AB323" s="7">
        <v>1</v>
      </c>
      <c r="AD323" s="7">
        <v>4</v>
      </c>
      <c r="AE323" s="24">
        <v>20</v>
      </c>
      <c r="AF323" s="7">
        <v>10</v>
      </c>
      <c r="AG323" s="7">
        <v>10</v>
      </c>
      <c r="AH323" s="7" t="s">
        <v>1642</v>
      </c>
      <c r="AI323" s="7" t="s">
        <v>1642</v>
      </c>
      <c r="AJ323" s="7" t="s">
        <v>1896</v>
      </c>
      <c r="AK323" s="7">
        <v>302.5</v>
      </c>
      <c r="AN323" s="7">
        <v>302.5</v>
      </c>
      <c r="AP323" s="7">
        <v>5</v>
      </c>
      <c r="AQ323" s="7" t="s">
        <v>2330</v>
      </c>
      <c r="AR323" s="7" t="s">
        <v>1814</v>
      </c>
      <c r="AS323" s="7" t="s">
        <v>1667</v>
      </c>
      <c r="AT323" s="7" t="s">
        <v>1640</v>
      </c>
      <c r="AU323" s="7" t="s">
        <v>178</v>
      </c>
      <c r="AV323" s="7" t="s">
        <v>2049</v>
      </c>
      <c r="AW323" s="7" t="s">
        <v>1687</v>
      </c>
      <c r="AX323" s="7" t="s">
        <v>2223</v>
      </c>
      <c r="AY323" s="48" t="s">
        <v>1695</v>
      </c>
      <c r="AZ323" s="7" t="s">
        <v>1650</v>
      </c>
      <c r="BA323" s="7">
        <v>293</v>
      </c>
      <c r="BB323" s="7">
        <v>286</v>
      </c>
      <c r="BC323" s="7" t="s">
        <v>2340</v>
      </c>
      <c r="BD323" s="7">
        <v>26.8903</v>
      </c>
      <c r="BF323" s="7">
        <f>28.9403-BD323</f>
        <v>2.0500000000000007</v>
      </c>
      <c r="BG323" s="7" t="s">
        <v>2344</v>
      </c>
      <c r="BH323" s="7">
        <v>15.1364</v>
      </c>
      <c r="BJ323" s="7">
        <f>16.9139-BH323</f>
        <v>1.7775000000000016</v>
      </c>
    </row>
    <row r="324" spans="1:63" x14ac:dyDescent="0.2">
      <c r="A324" s="7">
        <v>83</v>
      </c>
      <c r="B324" s="7" t="s">
        <v>1071</v>
      </c>
      <c r="C324" s="7" t="s">
        <v>1070</v>
      </c>
      <c r="D324" s="7" t="s">
        <v>1069</v>
      </c>
      <c r="E324" s="7" t="s">
        <v>1068</v>
      </c>
      <c r="F324" s="7" t="s">
        <v>153</v>
      </c>
      <c r="G324" s="7">
        <v>2014</v>
      </c>
      <c r="H324" s="7">
        <v>41829</v>
      </c>
      <c r="I324" s="7" t="s">
        <v>32</v>
      </c>
      <c r="J324" s="7" t="s">
        <v>32</v>
      </c>
      <c r="K324" s="7" t="s">
        <v>1067</v>
      </c>
      <c r="L324" s="7">
        <v>2</v>
      </c>
      <c r="M324" s="7" t="s">
        <v>32</v>
      </c>
      <c r="N324" s="7" t="s">
        <v>34</v>
      </c>
      <c r="O324" s="7" t="s">
        <v>190</v>
      </c>
      <c r="P324" s="7" t="s">
        <v>34</v>
      </c>
      <c r="Q324" s="7" t="s">
        <v>34</v>
      </c>
      <c r="R324" s="7" t="s">
        <v>739</v>
      </c>
      <c r="S324" s="7" t="s">
        <v>34</v>
      </c>
      <c r="T324" s="7" t="s">
        <v>34</v>
      </c>
      <c r="U324" s="7" t="s">
        <v>32</v>
      </c>
      <c r="V324" s="7">
        <v>1</v>
      </c>
      <c r="W324" s="7" t="s">
        <v>32</v>
      </c>
      <c r="X324" s="7" t="s">
        <v>32</v>
      </c>
      <c r="Y324" s="7" t="s">
        <v>32</v>
      </c>
      <c r="Z324" s="7" t="s">
        <v>32</v>
      </c>
      <c r="AA324" s="7">
        <v>25004167</v>
      </c>
      <c r="AB324" s="7">
        <v>1</v>
      </c>
      <c r="AD324" s="7">
        <v>4</v>
      </c>
      <c r="AE324" s="24">
        <v>20</v>
      </c>
      <c r="AF324" s="7">
        <v>10</v>
      </c>
      <c r="AG324" s="7">
        <v>10</v>
      </c>
      <c r="AH324" s="7" t="s">
        <v>1642</v>
      </c>
      <c r="AI324" s="7" t="s">
        <v>1642</v>
      </c>
      <c r="AJ324" s="7" t="s">
        <v>1896</v>
      </c>
      <c r="AK324" s="7">
        <v>302.5</v>
      </c>
      <c r="AN324" s="7">
        <v>302.5</v>
      </c>
      <c r="AP324" s="7">
        <v>5</v>
      </c>
      <c r="AQ324" s="7" t="s">
        <v>2330</v>
      </c>
      <c r="AR324" s="7" t="s">
        <v>1814</v>
      </c>
      <c r="AS324" s="7" t="s">
        <v>1667</v>
      </c>
      <c r="AT324" s="7" t="s">
        <v>1640</v>
      </c>
      <c r="AU324" s="7" t="s">
        <v>178</v>
      </c>
      <c r="AV324" s="7" t="s">
        <v>2050</v>
      </c>
      <c r="AW324" s="7" t="s">
        <v>1687</v>
      </c>
      <c r="AX324" s="7" t="s">
        <v>2223</v>
      </c>
      <c r="AY324" s="48" t="s">
        <v>1695</v>
      </c>
      <c r="AZ324" s="7" t="s">
        <v>1650</v>
      </c>
      <c r="BA324" s="7">
        <v>293</v>
      </c>
      <c r="BB324" s="7">
        <v>286</v>
      </c>
      <c r="BC324" s="7" t="s">
        <v>2341</v>
      </c>
      <c r="BD324" s="7">
        <v>14.657500000000001</v>
      </c>
      <c r="BF324" s="7">
        <f>16.5716-BD324</f>
        <v>1.9140999999999995</v>
      </c>
      <c r="BG324" s="7" t="s">
        <v>2345</v>
      </c>
      <c r="BH324" s="7">
        <v>5.0907900000000001</v>
      </c>
      <c r="BJ324" s="7">
        <f>7.5509-BH324</f>
        <v>2.4601100000000002</v>
      </c>
    </row>
    <row r="325" spans="1:63" x14ac:dyDescent="0.2">
      <c r="A325" s="7">
        <v>83</v>
      </c>
      <c r="B325" s="7" t="s">
        <v>1071</v>
      </c>
      <c r="C325" s="7" t="s">
        <v>1070</v>
      </c>
      <c r="D325" s="7" t="s">
        <v>1069</v>
      </c>
      <c r="E325" s="7" t="s">
        <v>1068</v>
      </c>
      <c r="F325" s="7" t="s">
        <v>153</v>
      </c>
      <c r="G325" s="7">
        <v>2014</v>
      </c>
      <c r="H325" s="7">
        <v>41829</v>
      </c>
      <c r="I325" s="7" t="s">
        <v>32</v>
      </c>
      <c r="J325" s="7" t="s">
        <v>32</v>
      </c>
      <c r="K325" s="7" t="s">
        <v>1067</v>
      </c>
      <c r="L325" s="7">
        <v>2</v>
      </c>
      <c r="M325" s="7" t="s">
        <v>32</v>
      </c>
      <c r="N325" s="7" t="s">
        <v>34</v>
      </c>
      <c r="O325" s="7" t="s">
        <v>190</v>
      </c>
      <c r="P325" s="7" t="s">
        <v>34</v>
      </c>
      <c r="Q325" s="7" t="s">
        <v>34</v>
      </c>
      <c r="R325" s="7" t="s">
        <v>739</v>
      </c>
      <c r="S325" s="7" t="s">
        <v>34</v>
      </c>
      <c r="T325" s="7" t="s">
        <v>34</v>
      </c>
      <c r="U325" s="7" t="s">
        <v>32</v>
      </c>
      <c r="V325" s="7">
        <v>1</v>
      </c>
      <c r="W325" s="7" t="s">
        <v>32</v>
      </c>
      <c r="X325" s="7" t="s">
        <v>32</v>
      </c>
      <c r="Y325" s="7" t="s">
        <v>32</v>
      </c>
      <c r="Z325" s="7" t="s">
        <v>32</v>
      </c>
      <c r="AA325" s="7">
        <v>25004167</v>
      </c>
      <c r="AB325" s="7">
        <v>1</v>
      </c>
      <c r="AD325" s="7">
        <v>4</v>
      </c>
      <c r="AE325" s="24">
        <v>20</v>
      </c>
      <c r="AF325" s="7">
        <v>10</v>
      </c>
      <c r="AG325" s="7">
        <v>10</v>
      </c>
      <c r="AH325" s="7" t="s">
        <v>1642</v>
      </c>
      <c r="AI325" s="7" t="s">
        <v>1642</v>
      </c>
      <c r="AJ325" s="7" t="s">
        <v>1896</v>
      </c>
      <c r="AK325" s="7">
        <v>302.5</v>
      </c>
      <c r="AN325" s="7">
        <v>302.5</v>
      </c>
      <c r="AP325" s="7">
        <v>5</v>
      </c>
      <c r="AQ325" s="7" t="s">
        <v>2330</v>
      </c>
      <c r="AR325" s="7" t="s">
        <v>1814</v>
      </c>
      <c r="AS325" s="7" t="s">
        <v>1667</v>
      </c>
      <c r="AT325" s="7" t="s">
        <v>1640</v>
      </c>
      <c r="AU325" s="7" t="s">
        <v>178</v>
      </c>
      <c r="AV325" s="7" t="s">
        <v>1870</v>
      </c>
      <c r="AW325" s="7" t="s">
        <v>1687</v>
      </c>
      <c r="AX325" s="7" t="s">
        <v>2223</v>
      </c>
      <c r="AY325" s="48" t="s">
        <v>2010</v>
      </c>
      <c r="AZ325" s="7" t="s">
        <v>1650</v>
      </c>
      <c r="BA325" s="7">
        <v>293</v>
      </c>
      <c r="BB325" s="7">
        <v>286</v>
      </c>
      <c r="BC325" s="7" t="s">
        <v>2347</v>
      </c>
      <c r="BD325" s="7">
        <v>32.793700000000001</v>
      </c>
      <c r="BF325" s="7">
        <f>35.4868-BD325</f>
        <v>2.6931000000000012</v>
      </c>
      <c r="BG325" s="7" t="s">
        <v>2348</v>
      </c>
      <c r="BH325" s="7">
        <v>46.744</v>
      </c>
      <c r="BJ325" s="7">
        <f>49.3294-BH325</f>
        <v>2.5853999999999999</v>
      </c>
    </row>
    <row r="326" spans="1:63" s="21" customFormat="1" x14ac:dyDescent="0.2">
      <c r="A326" s="21">
        <v>84</v>
      </c>
      <c r="B326" s="21" t="s">
        <v>1066</v>
      </c>
      <c r="C326" s="21" t="s">
        <v>1065</v>
      </c>
      <c r="D326" s="21" t="s">
        <v>1064</v>
      </c>
      <c r="E326" s="21" t="s">
        <v>1063</v>
      </c>
      <c r="F326" s="21" t="s">
        <v>967</v>
      </c>
      <c r="G326" s="21">
        <v>2015</v>
      </c>
      <c r="H326" s="21">
        <v>41791</v>
      </c>
      <c r="I326" s="21" t="s">
        <v>32</v>
      </c>
      <c r="J326" s="21" t="s">
        <v>32</v>
      </c>
      <c r="K326" s="21" t="s">
        <v>1062</v>
      </c>
      <c r="L326" s="21">
        <v>2</v>
      </c>
      <c r="M326" s="21" t="s">
        <v>32</v>
      </c>
      <c r="N326" s="21" t="s">
        <v>34</v>
      </c>
      <c r="O326" s="21" t="s">
        <v>34</v>
      </c>
      <c r="P326" s="21" t="s">
        <v>34</v>
      </c>
      <c r="Q326" s="21" t="s">
        <v>34</v>
      </c>
      <c r="R326" s="21" t="s">
        <v>34</v>
      </c>
      <c r="S326" s="21" t="s">
        <v>34</v>
      </c>
      <c r="T326" s="21" t="s">
        <v>34</v>
      </c>
      <c r="U326" s="21" t="s">
        <v>32</v>
      </c>
      <c r="V326" s="21">
        <v>1</v>
      </c>
      <c r="W326" s="21" t="s">
        <v>32</v>
      </c>
      <c r="X326" s="21" t="s">
        <v>32</v>
      </c>
      <c r="Y326" s="21" t="s">
        <v>32</v>
      </c>
      <c r="Z326" s="21" t="s">
        <v>32</v>
      </c>
      <c r="AA326" s="21">
        <v>24879497</v>
      </c>
      <c r="AB326" s="21">
        <v>1</v>
      </c>
      <c r="AD326" s="21">
        <v>4</v>
      </c>
      <c r="AE326" s="23">
        <v>16</v>
      </c>
      <c r="AF326" s="21">
        <v>8</v>
      </c>
      <c r="AG326" s="21">
        <v>8</v>
      </c>
      <c r="AH326" s="21" t="s">
        <v>1642</v>
      </c>
      <c r="AI326" s="21" t="s">
        <v>1642</v>
      </c>
      <c r="AJ326" s="21" t="s">
        <v>1685</v>
      </c>
      <c r="AK326" s="21">
        <v>163</v>
      </c>
      <c r="AM326" s="21" t="s">
        <v>1685</v>
      </c>
      <c r="AN326" s="21">
        <v>163</v>
      </c>
      <c r="AP326" s="21">
        <v>5</v>
      </c>
      <c r="AQ326" s="21" t="s">
        <v>1942</v>
      </c>
      <c r="AR326" s="21" t="s">
        <v>1637</v>
      </c>
      <c r="AS326" s="21" t="s">
        <v>1638</v>
      </c>
      <c r="AT326" s="21" t="s">
        <v>1640</v>
      </c>
      <c r="AU326" s="21" t="s">
        <v>178</v>
      </c>
      <c r="AV326" s="21" t="s">
        <v>1641</v>
      </c>
      <c r="AW326" s="21" t="s">
        <v>1639</v>
      </c>
      <c r="AX326" s="21" t="s">
        <v>2349</v>
      </c>
      <c r="AY326" s="38" t="s">
        <v>1662</v>
      </c>
      <c r="AZ326" s="21" t="s">
        <v>1650</v>
      </c>
      <c r="BA326" s="21">
        <v>294</v>
      </c>
      <c r="BB326" s="21">
        <v>287</v>
      </c>
      <c r="BC326" s="21" t="s">
        <v>2350</v>
      </c>
      <c r="BD326" s="21">
        <v>75.573099999999997</v>
      </c>
      <c r="BF326" s="21">
        <f>79.2195-BD326</f>
        <v>3.6463999999999999</v>
      </c>
      <c r="BG326" s="21" t="s">
        <v>2351</v>
      </c>
      <c r="BH326" s="21">
        <v>72.970600000000005</v>
      </c>
      <c r="BJ326" s="21">
        <f>79.8428-BH326</f>
        <v>6.8721999999999923</v>
      </c>
      <c r="BK326" s="40" t="s">
        <v>2365</v>
      </c>
    </row>
    <row r="327" spans="1:63" s="21" customFormat="1" x14ac:dyDescent="0.2">
      <c r="A327" s="21">
        <v>84</v>
      </c>
      <c r="B327" s="21" t="s">
        <v>1066</v>
      </c>
      <c r="C327" s="21" t="s">
        <v>1065</v>
      </c>
      <c r="D327" s="21" t="s">
        <v>1064</v>
      </c>
      <c r="E327" s="21" t="s">
        <v>1063</v>
      </c>
      <c r="F327" s="21" t="s">
        <v>967</v>
      </c>
      <c r="G327" s="21">
        <v>2015</v>
      </c>
      <c r="H327" s="21">
        <v>41791</v>
      </c>
      <c r="I327" s="21" t="s">
        <v>32</v>
      </c>
      <c r="J327" s="21" t="s">
        <v>32</v>
      </c>
      <c r="K327" s="21" t="s">
        <v>1062</v>
      </c>
      <c r="L327" s="21">
        <v>2</v>
      </c>
      <c r="M327" s="21" t="s">
        <v>32</v>
      </c>
      <c r="N327" s="21" t="s">
        <v>34</v>
      </c>
      <c r="O327" s="21" t="s">
        <v>34</v>
      </c>
      <c r="P327" s="21" t="s">
        <v>34</v>
      </c>
      <c r="Q327" s="21" t="s">
        <v>34</v>
      </c>
      <c r="R327" s="21" t="s">
        <v>34</v>
      </c>
      <c r="S327" s="21" t="s">
        <v>34</v>
      </c>
      <c r="T327" s="21" t="s">
        <v>34</v>
      </c>
      <c r="U327" s="21" t="s">
        <v>32</v>
      </c>
      <c r="V327" s="21">
        <v>1</v>
      </c>
      <c r="W327" s="21" t="s">
        <v>32</v>
      </c>
      <c r="X327" s="21" t="s">
        <v>32</v>
      </c>
      <c r="Y327" s="21" t="s">
        <v>32</v>
      </c>
      <c r="Z327" s="21" t="s">
        <v>32</v>
      </c>
      <c r="AA327" s="21">
        <v>24879497</v>
      </c>
      <c r="AB327" s="21">
        <v>1</v>
      </c>
      <c r="AD327" s="21">
        <v>4</v>
      </c>
      <c r="AE327" s="23">
        <v>16</v>
      </c>
      <c r="AF327" s="21">
        <v>8</v>
      </c>
      <c r="AG327" s="21">
        <v>8</v>
      </c>
      <c r="AH327" s="21" t="s">
        <v>1642</v>
      </c>
      <c r="AI327" s="21" t="s">
        <v>1642</v>
      </c>
      <c r="AJ327" s="21" t="s">
        <v>1685</v>
      </c>
      <c r="AK327" s="21">
        <v>163</v>
      </c>
      <c r="AM327" s="21" t="s">
        <v>1685</v>
      </c>
      <c r="AN327" s="21">
        <v>163</v>
      </c>
      <c r="AP327" s="21">
        <v>5</v>
      </c>
      <c r="AQ327" s="21" t="s">
        <v>1942</v>
      </c>
      <c r="AR327" s="21" t="s">
        <v>1637</v>
      </c>
      <c r="AS327" s="21" t="s">
        <v>1638</v>
      </c>
      <c r="AT327" s="21" t="s">
        <v>1640</v>
      </c>
      <c r="AU327" s="21" t="s">
        <v>178</v>
      </c>
      <c r="AV327" s="21" t="s">
        <v>1641</v>
      </c>
      <c r="AW327" s="21" t="s">
        <v>1639</v>
      </c>
      <c r="AX327" s="21" t="s">
        <v>2349</v>
      </c>
      <c r="AY327" s="38" t="s">
        <v>1662</v>
      </c>
      <c r="AZ327" s="21" t="s">
        <v>1650</v>
      </c>
      <c r="BA327" s="21">
        <v>294</v>
      </c>
      <c r="BB327" s="21">
        <v>287</v>
      </c>
      <c r="BC327" s="21" t="s">
        <v>2352</v>
      </c>
      <c r="BD327" s="21">
        <v>85.411199999999994</v>
      </c>
      <c r="BF327" s="21">
        <f>89.4785-BD327</f>
        <v>4.067300000000003</v>
      </c>
      <c r="BG327" s="21" t="s">
        <v>2353</v>
      </c>
      <c r="BH327" s="21">
        <v>80.002899999999997</v>
      </c>
      <c r="BJ327" s="21">
        <f>84.631-BH327</f>
        <v>4.6281000000000034</v>
      </c>
      <c r="BK327" s="40" t="s">
        <v>2365</v>
      </c>
    </row>
    <row r="328" spans="1:63" s="21" customFormat="1" x14ac:dyDescent="0.2">
      <c r="A328" s="21">
        <v>84</v>
      </c>
      <c r="B328" s="21" t="s">
        <v>1066</v>
      </c>
      <c r="C328" s="21" t="s">
        <v>1065</v>
      </c>
      <c r="D328" s="21" t="s">
        <v>1064</v>
      </c>
      <c r="E328" s="21" t="s">
        <v>1063</v>
      </c>
      <c r="F328" s="21" t="s">
        <v>967</v>
      </c>
      <c r="G328" s="21">
        <v>2015</v>
      </c>
      <c r="H328" s="21">
        <v>41791</v>
      </c>
      <c r="I328" s="21" t="s">
        <v>32</v>
      </c>
      <c r="J328" s="21" t="s">
        <v>32</v>
      </c>
      <c r="K328" s="21" t="s">
        <v>1062</v>
      </c>
      <c r="L328" s="21">
        <v>2</v>
      </c>
      <c r="M328" s="21" t="s">
        <v>32</v>
      </c>
      <c r="N328" s="21" t="s">
        <v>34</v>
      </c>
      <c r="O328" s="21" t="s">
        <v>34</v>
      </c>
      <c r="P328" s="21" t="s">
        <v>34</v>
      </c>
      <c r="Q328" s="21" t="s">
        <v>34</v>
      </c>
      <c r="R328" s="21" t="s">
        <v>34</v>
      </c>
      <c r="S328" s="21" t="s">
        <v>34</v>
      </c>
      <c r="T328" s="21" t="s">
        <v>34</v>
      </c>
      <c r="U328" s="21" t="s">
        <v>32</v>
      </c>
      <c r="V328" s="21">
        <v>1</v>
      </c>
      <c r="W328" s="21" t="s">
        <v>32</v>
      </c>
      <c r="X328" s="21" t="s">
        <v>32</v>
      </c>
      <c r="Y328" s="21" t="s">
        <v>32</v>
      </c>
      <c r="Z328" s="21" t="s">
        <v>32</v>
      </c>
      <c r="AA328" s="21">
        <v>24879497</v>
      </c>
      <c r="AB328" s="21">
        <v>1</v>
      </c>
      <c r="AD328" s="21">
        <v>4</v>
      </c>
      <c r="AE328" s="23">
        <v>16</v>
      </c>
      <c r="AF328" s="21">
        <v>8</v>
      </c>
      <c r="AG328" s="21">
        <v>8</v>
      </c>
      <c r="AH328" s="21" t="s">
        <v>1642</v>
      </c>
      <c r="AI328" s="21" t="s">
        <v>1642</v>
      </c>
      <c r="AJ328" s="21" t="s">
        <v>1685</v>
      </c>
      <c r="AK328" s="21">
        <v>163</v>
      </c>
      <c r="AM328" s="21" t="s">
        <v>1685</v>
      </c>
      <c r="AN328" s="21">
        <v>163</v>
      </c>
      <c r="AP328" s="21">
        <v>5</v>
      </c>
      <c r="AQ328" s="21" t="s">
        <v>1942</v>
      </c>
      <c r="AR328" s="21" t="s">
        <v>1637</v>
      </c>
      <c r="AS328" s="21" t="s">
        <v>1638</v>
      </c>
      <c r="AT328" s="21" t="s">
        <v>1640</v>
      </c>
      <c r="AU328" s="21" t="s">
        <v>178</v>
      </c>
      <c r="AV328" s="21" t="s">
        <v>1653</v>
      </c>
      <c r="AW328" s="21" t="s">
        <v>1639</v>
      </c>
      <c r="AX328" s="21" t="s">
        <v>2349</v>
      </c>
      <c r="AY328" s="38" t="s">
        <v>1663</v>
      </c>
      <c r="AZ328" s="21" t="s">
        <v>1650</v>
      </c>
      <c r="BA328" s="21">
        <v>294</v>
      </c>
      <c r="BB328" s="21">
        <v>287</v>
      </c>
      <c r="BC328" s="21" t="s">
        <v>2354</v>
      </c>
      <c r="BD328" s="21">
        <v>93.982600000000005</v>
      </c>
      <c r="BF328" s="21">
        <f>96.4689-BD328</f>
        <v>2.4863</v>
      </c>
      <c r="BG328" s="21" t="s">
        <v>1756</v>
      </c>
      <c r="BH328" s="21">
        <v>81.897000000000006</v>
      </c>
      <c r="BJ328" s="21">
        <f>90.0459-BH328</f>
        <v>8.1488999999999976</v>
      </c>
      <c r="BK328" s="40" t="s">
        <v>2365</v>
      </c>
    </row>
    <row r="329" spans="1:63" s="21" customFormat="1" x14ac:dyDescent="0.2">
      <c r="A329" s="21">
        <v>84</v>
      </c>
      <c r="B329" s="21" t="s">
        <v>1066</v>
      </c>
      <c r="C329" s="21" t="s">
        <v>1065</v>
      </c>
      <c r="D329" s="21" t="s">
        <v>1064</v>
      </c>
      <c r="E329" s="21" t="s">
        <v>1063</v>
      </c>
      <c r="F329" s="21" t="s">
        <v>967</v>
      </c>
      <c r="G329" s="21">
        <v>2015</v>
      </c>
      <c r="H329" s="21">
        <v>41791</v>
      </c>
      <c r="I329" s="21" t="s">
        <v>32</v>
      </c>
      <c r="J329" s="21" t="s">
        <v>32</v>
      </c>
      <c r="K329" s="21" t="s">
        <v>1062</v>
      </c>
      <c r="L329" s="21">
        <v>2</v>
      </c>
      <c r="M329" s="21" t="s">
        <v>32</v>
      </c>
      <c r="N329" s="21" t="s">
        <v>34</v>
      </c>
      <c r="O329" s="21" t="s">
        <v>34</v>
      </c>
      <c r="P329" s="21" t="s">
        <v>34</v>
      </c>
      <c r="Q329" s="21" t="s">
        <v>34</v>
      </c>
      <c r="R329" s="21" t="s">
        <v>34</v>
      </c>
      <c r="S329" s="21" t="s">
        <v>34</v>
      </c>
      <c r="T329" s="21" t="s">
        <v>34</v>
      </c>
      <c r="U329" s="21" t="s">
        <v>32</v>
      </c>
      <c r="V329" s="21">
        <v>1</v>
      </c>
      <c r="W329" s="21" t="s">
        <v>32</v>
      </c>
      <c r="X329" s="21" t="s">
        <v>32</v>
      </c>
      <c r="Y329" s="21" t="s">
        <v>32</v>
      </c>
      <c r="Z329" s="21" t="s">
        <v>32</v>
      </c>
      <c r="AA329" s="21">
        <v>24879497</v>
      </c>
      <c r="AB329" s="21">
        <v>1</v>
      </c>
      <c r="AD329" s="21">
        <v>4</v>
      </c>
      <c r="AE329" s="23">
        <v>16</v>
      </c>
      <c r="AF329" s="21">
        <v>8</v>
      </c>
      <c r="AG329" s="21">
        <v>8</v>
      </c>
      <c r="AH329" s="21" t="s">
        <v>1642</v>
      </c>
      <c r="AI329" s="21" t="s">
        <v>1642</v>
      </c>
      <c r="AJ329" s="21" t="s">
        <v>1685</v>
      </c>
      <c r="AK329" s="21">
        <v>163</v>
      </c>
      <c r="AM329" s="21" t="s">
        <v>1685</v>
      </c>
      <c r="AN329" s="21">
        <v>163</v>
      </c>
      <c r="AP329" s="21">
        <v>5</v>
      </c>
      <c r="AQ329" s="21" t="s">
        <v>1942</v>
      </c>
      <c r="AR329" s="21" t="s">
        <v>1637</v>
      </c>
      <c r="AS329" s="21" t="s">
        <v>1638</v>
      </c>
      <c r="AT329" s="21" t="s">
        <v>1640</v>
      </c>
      <c r="AU329" s="21" t="s">
        <v>178</v>
      </c>
      <c r="AV329" s="21" t="s">
        <v>1653</v>
      </c>
      <c r="AW329" s="21" t="s">
        <v>1639</v>
      </c>
      <c r="AX329" s="21" t="s">
        <v>2349</v>
      </c>
      <c r="AY329" s="38" t="s">
        <v>1664</v>
      </c>
      <c r="AZ329" s="21" t="s">
        <v>1650</v>
      </c>
      <c r="BA329" s="21">
        <v>294</v>
      </c>
      <c r="BB329" s="21">
        <v>287</v>
      </c>
      <c r="BC329" s="21" t="s">
        <v>2357</v>
      </c>
      <c r="BD329" s="21">
        <v>79.599500000000006</v>
      </c>
      <c r="BF329" s="21">
        <f>85.1242-BD329</f>
        <v>5.5246999999999957</v>
      </c>
      <c r="BG329" s="21" t="s">
        <v>2355</v>
      </c>
      <c r="BH329" s="21">
        <v>62.9557</v>
      </c>
      <c r="BJ329" s="21">
        <f>BH329-51.2155</f>
        <v>11.740200000000002</v>
      </c>
      <c r="BK329" s="40" t="s">
        <v>2365</v>
      </c>
    </row>
    <row r="330" spans="1:63" s="21" customFormat="1" x14ac:dyDescent="0.2">
      <c r="A330" s="21">
        <v>84</v>
      </c>
      <c r="B330" s="21" t="s">
        <v>1066</v>
      </c>
      <c r="C330" s="21" t="s">
        <v>1065</v>
      </c>
      <c r="D330" s="21" t="s">
        <v>1064</v>
      </c>
      <c r="E330" s="21" t="s">
        <v>1063</v>
      </c>
      <c r="F330" s="21" t="s">
        <v>967</v>
      </c>
      <c r="G330" s="21">
        <v>2015</v>
      </c>
      <c r="H330" s="21">
        <v>41791</v>
      </c>
      <c r="I330" s="21" t="s">
        <v>32</v>
      </c>
      <c r="J330" s="21" t="s">
        <v>32</v>
      </c>
      <c r="K330" s="21" t="s">
        <v>1062</v>
      </c>
      <c r="L330" s="21">
        <v>2</v>
      </c>
      <c r="M330" s="21" t="s">
        <v>32</v>
      </c>
      <c r="N330" s="21" t="s">
        <v>34</v>
      </c>
      <c r="O330" s="21" t="s">
        <v>34</v>
      </c>
      <c r="P330" s="21" t="s">
        <v>34</v>
      </c>
      <c r="Q330" s="21" t="s">
        <v>34</v>
      </c>
      <c r="R330" s="21" t="s">
        <v>34</v>
      </c>
      <c r="S330" s="21" t="s">
        <v>34</v>
      </c>
      <c r="T330" s="21" t="s">
        <v>34</v>
      </c>
      <c r="U330" s="21" t="s">
        <v>32</v>
      </c>
      <c r="V330" s="21">
        <v>1</v>
      </c>
      <c r="W330" s="21" t="s">
        <v>32</v>
      </c>
      <c r="X330" s="21" t="s">
        <v>32</v>
      </c>
      <c r="Y330" s="21" t="s">
        <v>32</v>
      </c>
      <c r="Z330" s="21" t="s">
        <v>32</v>
      </c>
      <c r="AA330" s="21">
        <v>24879497</v>
      </c>
      <c r="AB330" s="21">
        <v>1</v>
      </c>
      <c r="AD330" s="21">
        <v>4</v>
      </c>
      <c r="AE330" s="23">
        <v>16</v>
      </c>
      <c r="AF330" s="21">
        <v>8</v>
      </c>
      <c r="AG330" s="21">
        <v>8</v>
      </c>
      <c r="AH330" s="21" t="s">
        <v>1642</v>
      </c>
      <c r="AI330" s="21" t="s">
        <v>1642</v>
      </c>
      <c r="AJ330" s="21" t="s">
        <v>1685</v>
      </c>
      <c r="AK330" s="21">
        <v>163</v>
      </c>
      <c r="AM330" s="21" t="s">
        <v>1685</v>
      </c>
      <c r="AN330" s="21">
        <v>163</v>
      </c>
      <c r="AP330" s="21">
        <v>5</v>
      </c>
      <c r="AQ330" s="21" t="s">
        <v>1942</v>
      </c>
      <c r="AR330" s="21" t="s">
        <v>1637</v>
      </c>
      <c r="AS330" s="21" t="s">
        <v>1638</v>
      </c>
      <c r="AT330" s="21" t="s">
        <v>1640</v>
      </c>
      <c r="AU330" s="21" t="s">
        <v>178</v>
      </c>
      <c r="AV330" s="21" t="s">
        <v>1653</v>
      </c>
      <c r="AW330" s="21" t="s">
        <v>1639</v>
      </c>
      <c r="AX330" s="21" t="s">
        <v>2349</v>
      </c>
      <c r="AY330" s="38" t="s">
        <v>1664</v>
      </c>
      <c r="AZ330" s="21" t="s">
        <v>1650</v>
      </c>
      <c r="BA330" s="21">
        <v>294</v>
      </c>
      <c r="BB330" s="21">
        <v>287</v>
      </c>
      <c r="BC330" s="21" t="s">
        <v>2358</v>
      </c>
      <c r="BD330" s="21">
        <v>69.7697</v>
      </c>
      <c r="BF330" s="21">
        <f>79.7147-BD330</f>
        <v>9.9449999999999932</v>
      </c>
      <c r="BG330" s="21" t="s">
        <v>2356</v>
      </c>
      <c r="BH330" s="21">
        <v>47.877200000000002</v>
      </c>
      <c r="BJ330" s="21">
        <f>52.7116-BH330</f>
        <v>4.8343999999999951</v>
      </c>
      <c r="BK330" s="40" t="s">
        <v>2365</v>
      </c>
    </row>
    <row r="331" spans="1:63" s="21" customFormat="1" x14ac:dyDescent="0.2">
      <c r="A331" s="21">
        <v>84</v>
      </c>
      <c r="B331" s="21" t="s">
        <v>1066</v>
      </c>
      <c r="C331" s="21" t="s">
        <v>1065</v>
      </c>
      <c r="D331" s="21" t="s">
        <v>1064</v>
      </c>
      <c r="E331" s="21" t="s">
        <v>1063</v>
      </c>
      <c r="F331" s="21" t="s">
        <v>967</v>
      </c>
      <c r="G331" s="21">
        <v>2015</v>
      </c>
      <c r="H331" s="21">
        <v>41791</v>
      </c>
      <c r="I331" s="21" t="s">
        <v>32</v>
      </c>
      <c r="J331" s="21" t="s">
        <v>32</v>
      </c>
      <c r="K331" s="21" t="s">
        <v>1062</v>
      </c>
      <c r="L331" s="21">
        <v>2</v>
      </c>
      <c r="M331" s="21" t="s">
        <v>32</v>
      </c>
      <c r="N331" s="21" t="s">
        <v>34</v>
      </c>
      <c r="O331" s="21" t="s">
        <v>34</v>
      </c>
      <c r="P331" s="21" t="s">
        <v>34</v>
      </c>
      <c r="Q331" s="21" t="s">
        <v>34</v>
      </c>
      <c r="R331" s="21" t="s">
        <v>34</v>
      </c>
      <c r="S331" s="21" t="s">
        <v>34</v>
      </c>
      <c r="T331" s="21" t="s">
        <v>34</v>
      </c>
      <c r="U331" s="21" t="s">
        <v>32</v>
      </c>
      <c r="V331" s="21">
        <v>1</v>
      </c>
      <c r="W331" s="21" t="s">
        <v>32</v>
      </c>
      <c r="X331" s="21" t="s">
        <v>32</v>
      </c>
      <c r="Y331" s="21" t="s">
        <v>32</v>
      </c>
      <c r="Z331" s="21" t="s">
        <v>32</v>
      </c>
      <c r="AA331" s="21">
        <v>24879497</v>
      </c>
      <c r="AB331" s="21">
        <v>1</v>
      </c>
      <c r="AD331" s="21">
        <v>4</v>
      </c>
      <c r="AE331" s="23">
        <v>16</v>
      </c>
      <c r="AF331" s="21">
        <v>8</v>
      </c>
      <c r="AG331" s="21">
        <v>8</v>
      </c>
      <c r="AH331" s="21" t="s">
        <v>1642</v>
      </c>
      <c r="AI331" s="21" t="s">
        <v>1642</v>
      </c>
      <c r="AJ331" s="21" t="s">
        <v>1685</v>
      </c>
      <c r="AK331" s="21">
        <v>163</v>
      </c>
      <c r="AM331" s="21" t="s">
        <v>1685</v>
      </c>
      <c r="AN331" s="21">
        <v>163</v>
      </c>
      <c r="AP331" s="21">
        <v>5</v>
      </c>
      <c r="AQ331" s="21" t="s">
        <v>1942</v>
      </c>
      <c r="AR331" s="21" t="s">
        <v>1637</v>
      </c>
      <c r="AS331" s="21" t="s">
        <v>1638</v>
      </c>
      <c r="AT331" s="21" t="s">
        <v>1640</v>
      </c>
      <c r="AU331" s="21" t="s">
        <v>178</v>
      </c>
      <c r="AV331" s="21" t="s">
        <v>2095</v>
      </c>
      <c r="AW331" s="21" t="s">
        <v>1639</v>
      </c>
      <c r="AX331" s="21" t="s">
        <v>2349</v>
      </c>
      <c r="AY331" s="38" t="s">
        <v>1664</v>
      </c>
      <c r="AZ331" s="21" t="s">
        <v>1650</v>
      </c>
      <c r="BA331" s="21">
        <v>294</v>
      </c>
      <c r="BB331" s="21">
        <v>287</v>
      </c>
      <c r="BC331" s="21" t="s">
        <v>2361</v>
      </c>
      <c r="BD331" s="21">
        <v>89.49</v>
      </c>
      <c r="BE331" s="21">
        <v>13.2</v>
      </c>
      <c r="BG331" s="21" t="s">
        <v>2359</v>
      </c>
      <c r="BH331" s="21">
        <v>52.25</v>
      </c>
      <c r="BI331" s="21">
        <v>28.6</v>
      </c>
      <c r="BK331" s="40" t="s">
        <v>2364</v>
      </c>
    </row>
    <row r="332" spans="1:63" s="21" customFormat="1" x14ac:dyDescent="0.2">
      <c r="A332" s="21">
        <v>84</v>
      </c>
      <c r="B332" s="21" t="s">
        <v>1066</v>
      </c>
      <c r="C332" s="21" t="s">
        <v>1065</v>
      </c>
      <c r="D332" s="21" t="s">
        <v>1064</v>
      </c>
      <c r="E332" s="21" t="s">
        <v>1063</v>
      </c>
      <c r="F332" s="21" t="s">
        <v>967</v>
      </c>
      <c r="G332" s="21">
        <v>2015</v>
      </c>
      <c r="H332" s="21">
        <v>41791</v>
      </c>
      <c r="I332" s="21" t="s">
        <v>32</v>
      </c>
      <c r="J332" s="21" t="s">
        <v>32</v>
      </c>
      <c r="K332" s="21" t="s">
        <v>1062</v>
      </c>
      <c r="L332" s="21">
        <v>2</v>
      </c>
      <c r="M332" s="21" t="s">
        <v>32</v>
      </c>
      <c r="N332" s="21" t="s">
        <v>34</v>
      </c>
      <c r="O332" s="21" t="s">
        <v>34</v>
      </c>
      <c r="P332" s="21" t="s">
        <v>34</v>
      </c>
      <c r="Q332" s="21" t="s">
        <v>34</v>
      </c>
      <c r="R332" s="21" t="s">
        <v>34</v>
      </c>
      <c r="S332" s="21" t="s">
        <v>34</v>
      </c>
      <c r="T332" s="21" t="s">
        <v>34</v>
      </c>
      <c r="U332" s="21" t="s">
        <v>32</v>
      </c>
      <c r="V332" s="21">
        <v>1</v>
      </c>
      <c r="W332" s="21" t="s">
        <v>32</v>
      </c>
      <c r="X332" s="21" t="s">
        <v>32</v>
      </c>
      <c r="Y332" s="21" t="s">
        <v>32</v>
      </c>
      <c r="Z332" s="21" t="s">
        <v>32</v>
      </c>
      <c r="AA332" s="21">
        <v>24879497</v>
      </c>
      <c r="AB332" s="21">
        <v>1</v>
      </c>
      <c r="AD332" s="21">
        <v>4</v>
      </c>
      <c r="AE332" s="23">
        <v>16</v>
      </c>
      <c r="AF332" s="21">
        <v>8</v>
      </c>
      <c r="AG332" s="21">
        <v>8</v>
      </c>
      <c r="AH332" s="21" t="s">
        <v>1642</v>
      </c>
      <c r="AI332" s="21" t="s">
        <v>1642</v>
      </c>
      <c r="AJ332" s="21" t="s">
        <v>1685</v>
      </c>
      <c r="AK332" s="21">
        <v>163</v>
      </c>
      <c r="AM332" s="21" t="s">
        <v>1685</v>
      </c>
      <c r="AN332" s="21">
        <v>163</v>
      </c>
      <c r="AP332" s="21">
        <v>5</v>
      </c>
      <c r="AQ332" s="21" t="s">
        <v>1942</v>
      </c>
      <c r="AR332" s="21" t="s">
        <v>1637</v>
      </c>
      <c r="AS332" s="21" t="s">
        <v>1638</v>
      </c>
      <c r="AT332" s="21" t="s">
        <v>1640</v>
      </c>
      <c r="AU332" s="21" t="s">
        <v>178</v>
      </c>
      <c r="AV332" s="21" t="s">
        <v>2095</v>
      </c>
      <c r="AW332" s="21" t="s">
        <v>1639</v>
      </c>
      <c r="AX332" s="21" t="s">
        <v>2349</v>
      </c>
      <c r="AY332" s="38" t="s">
        <v>1664</v>
      </c>
      <c r="AZ332" s="21" t="s">
        <v>1650</v>
      </c>
      <c r="BA332" s="21">
        <v>294</v>
      </c>
      <c r="BB332" s="21">
        <v>287</v>
      </c>
      <c r="BC332" s="21" t="s">
        <v>2362</v>
      </c>
      <c r="BD332" s="21">
        <v>73.599999999999994</v>
      </c>
      <c r="BE332" s="21">
        <v>21.66</v>
      </c>
      <c r="BG332" s="21" t="s">
        <v>2360</v>
      </c>
      <c r="BH332" s="21">
        <v>49.58</v>
      </c>
      <c r="BI332" s="21">
        <v>30.91</v>
      </c>
      <c r="BK332" s="40" t="s">
        <v>2363</v>
      </c>
    </row>
    <row r="333" spans="1:63" x14ac:dyDescent="0.2">
      <c r="A333" s="7">
        <v>85</v>
      </c>
      <c r="B333" s="7" t="s">
        <v>1061</v>
      </c>
      <c r="C333" s="7" t="s">
        <v>1060</v>
      </c>
      <c r="D333" s="7" t="s">
        <v>1059</v>
      </c>
      <c r="E333" s="7" t="s">
        <v>1058</v>
      </c>
      <c r="F333" s="7" t="s">
        <v>755</v>
      </c>
      <c r="G333" s="7">
        <v>2014</v>
      </c>
      <c r="H333" s="7">
        <v>41772</v>
      </c>
      <c r="I333" s="7" t="s">
        <v>32</v>
      </c>
      <c r="J333" s="7" t="s">
        <v>32</v>
      </c>
      <c r="K333" s="7" t="s">
        <v>1057</v>
      </c>
      <c r="L333" s="7">
        <v>2</v>
      </c>
      <c r="M333" s="7" t="s">
        <v>1056</v>
      </c>
      <c r="N333" s="7" t="s">
        <v>34</v>
      </c>
      <c r="O333" s="7" t="s">
        <v>190</v>
      </c>
      <c r="P333" s="7" t="s">
        <v>34</v>
      </c>
      <c r="Q333" s="7" t="s">
        <v>34</v>
      </c>
      <c r="R333" s="7" t="s">
        <v>34</v>
      </c>
      <c r="S333" s="7" t="s">
        <v>34</v>
      </c>
      <c r="T333" s="7" t="s">
        <v>34</v>
      </c>
      <c r="U333" s="7" t="s">
        <v>32</v>
      </c>
      <c r="V333" s="7">
        <v>1</v>
      </c>
      <c r="W333" s="7" t="s">
        <v>34</v>
      </c>
      <c r="X333" s="7" t="s">
        <v>32</v>
      </c>
      <c r="Y333" s="7" t="s">
        <v>32</v>
      </c>
      <c r="Z333" s="7" t="s">
        <v>32</v>
      </c>
      <c r="AA333" s="7">
        <v>24814135</v>
      </c>
      <c r="AB333" s="7">
        <v>1</v>
      </c>
      <c r="AD333" s="7">
        <v>4</v>
      </c>
      <c r="AE333" s="24">
        <v>14</v>
      </c>
      <c r="AF333" s="7">
        <v>7</v>
      </c>
      <c r="AG333" s="7">
        <v>7</v>
      </c>
      <c r="AH333" s="7" t="s">
        <v>1642</v>
      </c>
      <c r="AI333" s="7" t="s">
        <v>1642</v>
      </c>
      <c r="AK333" s="7">
        <v>175</v>
      </c>
      <c r="AN333" s="7">
        <v>175</v>
      </c>
      <c r="AR333" s="7" t="s">
        <v>1675</v>
      </c>
      <c r="AS333" s="7" t="s">
        <v>1667</v>
      </c>
      <c r="AT333" s="7" t="s">
        <v>1640</v>
      </c>
      <c r="AU333" s="7" t="s">
        <v>178</v>
      </c>
      <c r="AV333" s="7" t="s">
        <v>1641</v>
      </c>
      <c r="AW333" s="7" t="s">
        <v>1678</v>
      </c>
      <c r="AX333" s="7" t="s">
        <v>2366</v>
      </c>
      <c r="AY333" s="7" t="s">
        <v>1684</v>
      </c>
      <c r="AZ333" s="7" t="s">
        <v>1650</v>
      </c>
      <c r="BA333" s="7">
        <v>295</v>
      </c>
      <c r="BB333" s="7">
        <v>288</v>
      </c>
      <c r="BC333" s="7" t="s">
        <v>2163</v>
      </c>
      <c r="BD333" s="7">
        <v>45.262500000000003</v>
      </c>
      <c r="BF333" s="7">
        <f>50.616-BD333</f>
        <v>5.3534999999999968</v>
      </c>
      <c r="BG333" s="7" t="s">
        <v>2305</v>
      </c>
      <c r="BH333" s="7">
        <v>18.0244</v>
      </c>
      <c r="BJ333" s="7">
        <f>22.1652-BH333</f>
        <v>4.1407999999999987</v>
      </c>
    </row>
    <row r="334" spans="1:63" x14ac:dyDescent="0.2">
      <c r="A334" s="7">
        <v>85</v>
      </c>
      <c r="B334" s="7" t="s">
        <v>1061</v>
      </c>
      <c r="C334" s="7" t="s">
        <v>1060</v>
      </c>
      <c r="D334" s="7" t="s">
        <v>1059</v>
      </c>
      <c r="E334" s="7" t="s">
        <v>1058</v>
      </c>
      <c r="F334" s="7" t="s">
        <v>755</v>
      </c>
      <c r="G334" s="7">
        <v>2014</v>
      </c>
      <c r="H334" s="7">
        <v>41772</v>
      </c>
      <c r="I334" s="7" t="s">
        <v>32</v>
      </c>
      <c r="J334" s="7" t="s">
        <v>32</v>
      </c>
      <c r="K334" s="7" t="s">
        <v>1057</v>
      </c>
      <c r="L334" s="7">
        <v>2</v>
      </c>
      <c r="M334" s="7" t="s">
        <v>1056</v>
      </c>
      <c r="N334" s="7" t="s">
        <v>34</v>
      </c>
      <c r="O334" s="7" t="s">
        <v>190</v>
      </c>
      <c r="P334" s="7" t="s">
        <v>34</v>
      </c>
      <c r="Q334" s="7" t="s">
        <v>34</v>
      </c>
      <c r="R334" s="7" t="s">
        <v>34</v>
      </c>
      <c r="S334" s="7" t="s">
        <v>34</v>
      </c>
      <c r="T334" s="7" t="s">
        <v>34</v>
      </c>
      <c r="U334" s="7" t="s">
        <v>32</v>
      </c>
      <c r="V334" s="7">
        <v>1</v>
      </c>
      <c r="W334" s="7" t="s">
        <v>34</v>
      </c>
      <c r="X334" s="7" t="s">
        <v>32</v>
      </c>
      <c r="Y334" s="7" t="s">
        <v>32</v>
      </c>
      <c r="Z334" s="7" t="s">
        <v>32</v>
      </c>
      <c r="AA334" s="7">
        <v>24814135</v>
      </c>
      <c r="AB334" s="7">
        <v>1</v>
      </c>
      <c r="AD334" s="7">
        <v>4</v>
      </c>
      <c r="AE334" s="24">
        <v>12</v>
      </c>
      <c r="AF334" s="7">
        <v>6</v>
      </c>
      <c r="AG334" s="7">
        <v>6</v>
      </c>
      <c r="AH334" s="7" t="s">
        <v>1642</v>
      </c>
      <c r="AI334" s="7" t="s">
        <v>1642</v>
      </c>
      <c r="AK334" s="7">
        <v>175</v>
      </c>
      <c r="AN334" s="7">
        <v>175</v>
      </c>
      <c r="AR334" s="7" t="s">
        <v>1675</v>
      </c>
      <c r="AS334" s="7" t="s">
        <v>1667</v>
      </c>
      <c r="AT334" s="7" t="s">
        <v>1640</v>
      </c>
      <c r="AU334" s="7" t="s">
        <v>178</v>
      </c>
      <c r="AV334" s="7" t="s">
        <v>1641</v>
      </c>
      <c r="AW334" s="7" t="s">
        <v>1678</v>
      </c>
      <c r="AX334" s="7" t="s">
        <v>2366</v>
      </c>
      <c r="AY334" t="s">
        <v>1684</v>
      </c>
      <c r="AZ334" s="7" t="s">
        <v>1650</v>
      </c>
      <c r="BA334" s="7">
        <v>296</v>
      </c>
      <c r="BB334" s="7">
        <v>289</v>
      </c>
      <c r="BC334" s="7" t="s">
        <v>2163</v>
      </c>
      <c r="BD334" s="7">
        <v>25.042100000000001</v>
      </c>
      <c r="BF334" s="7">
        <f>28.6356-BD334</f>
        <v>3.5934999999999988</v>
      </c>
      <c r="BG334" s="7" t="s">
        <v>2305</v>
      </c>
      <c r="BH334" s="7">
        <v>14.4476</v>
      </c>
      <c r="BJ334" s="7">
        <f>17.5726-BH334</f>
        <v>3.1250000000000018</v>
      </c>
    </row>
    <row r="335" spans="1:63" x14ac:dyDescent="0.2">
      <c r="A335" s="7">
        <v>86</v>
      </c>
      <c r="B335" s="7" t="s">
        <v>1055</v>
      </c>
      <c r="C335" s="7" t="s">
        <v>1054</v>
      </c>
      <c r="D335" s="7" t="s">
        <v>1053</v>
      </c>
      <c r="E335" s="7" t="s">
        <v>1052</v>
      </c>
      <c r="F335" s="7" t="s">
        <v>1051</v>
      </c>
      <c r="G335" s="7">
        <v>2014</v>
      </c>
      <c r="H335" s="7">
        <v>41709</v>
      </c>
      <c r="I335" s="7" t="s">
        <v>32</v>
      </c>
      <c r="J335" s="7" t="s">
        <v>32</v>
      </c>
      <c r="K335" s="7" t="s">
        <v>1050</v>
      </c>
      <c r="L335" s="7">
        <v>2</v>
      </c>
      <c r="M335" s="7" t="s">
        <v>32</v>
      </c>
      <c r="N335" s="7" t="s">
        <v>34</v>
      </c>
      <c r="O335" s="7" t="s">
        <v>34</v>
      </c>
      <c r="P335" s="7" t="s">
        <v>34</v>
      </c>
      <c r="Q335" s="7" t="s">
        <v>34</v>
      </c>
      <c r="R335" s="7" t="s">
        <v>34</v>
      </c>
      <c r="S335" s="7" t="s">
        <v>34</v>
      </c>
      <c r="T335" s="7" t="s">
        <v>34</v>
      </c>
      <c r="U335" s="7" t="s">
        <v>32</v>
      </c>
      <c r="V335" s="7">
        <v>1</v>
      </c>
      <c r="W335" s="7" t="s">
        <v>32</v>
      </c>
      <c r="X335" s="7" t="s">
        <v>32</v>
      </c>
      <c r="Y335" s="7" t="s">
        <v>32</v>
      </c>
      <c r="Z335" s="7" t="s">
        <v>32</v>
      </c>
      <c r="AA335" s="7">
        <v>24610447</v>
      </c>
      <c r="AB335" s="7">
        <v>1</v>
      </c>
      <c r="AD335" s="7">
        <v>4</v>
      </c>
      <c r="AE335" s="24">
        <v>10</v>
      </c>
      <c r="AF335" s="7">
        <v>5</v>
      </c>
      <c r="AG335" s="7">
        <v>5</v>
      </c>
      <c r="AH335" s="7" t="s">
        <v>1642</v>
      </c>
      <c r="AI335" s="7" t="s">
        <v>1642</v>
      </c>
      <c r="AJ335" s="7" t="s">
        <v>2161</v>
      </c>
      <c r="AK335" s="7">
        <v>180</v>
      </c>
      <c r="AM335" s="7" t="s">
        <v>2161</v>
      </c>
      <c r="AN335" s="7">
        <v>180</v>
      </c>
      <c r="AR335" s="7" t="s">
        <v>1637</v>
      </c>
      <c r="AS335" s="7" t="s">
        <v>1638</v>
      </c>
      <c r="AT335" s="7" t="s">
        <v>1729</v>
      </c>
      <c r="AU335" s="7" t="s">
        <v>178</v>
      </c>
      <c r="AV335" s="7" t="s">
        <v>1641</v>
      </c>
      <c r="AW335" s="7" t="s">
        <v>1687</v>
      </c>
      <c r="AX335" s="7" t="s">
        <v>2367</v>
      </c>
      <c r="AY335" t="s">
        <v>1695</v>
      </c>
      <c r="AZ335" s="7" t="s">
        <v>1650</v>
      </c>
      <c r="BA335" s="7">
        <v>297</v>
      </c>
      <c r="BB335" s="7">
        <v>290</v>
      </c>
      <c r="BC335" s="7" t="s">
        <v>2244</v>
      </c>
      <c r="BD335" s="7">
        <v>54.323700000000002</v>
      </c>
      <c r="BE335" s="7">
        <f>59.9882-BD335</f>
        <v>5.6644999999999968</v>
      </c>
      <c r="BG335" s="7" t="s">
        <v>2368</v>
      </c>
      <c r="BH335" s="7">
        <v>43.082099999999997</v>
      </c>
      <c r="BI335" s="7">
        <f>48.5723-BH335</f>
        <v>5.4902000000000015</v>
      </c>
    </row>
    <row r="336" spans="1:63" x14ac:dyDescent="0.2">
      <c r="A336" s="7">
        <v>86</v>
      </c>
      <c r="B336" s="7" t="s">
        <v>1055</v>
      </c>
      <c r="C336" s="7" t="s">
        <v>1054</v>
      </c>
      <c r="D336" s="7" t="s">
        <v>1053</v>
      </c>
      <c r="E336" s="7" t="s">
        <v>1052</v>
      </c>
      <c r="F336" s="7" t="s">
        <v>1051</v>
      </c>
      <c r="G336" s="7">
        <v>2014</v>
      </c>
      <c r="H336" s="7">
        <v>41709</v>
      </c>
      <c r="I336" s="7" t="s">
        <v>32</v>
      </c>
      <c r="J336" s="7" t="s">
        <v>32</v>
      </c>
      <c r="K336" s="7" t="s">
        <v>1050</v>
      </c>
      <c r="L336" s="7">
        <v>2</v>
      </c>
      <c r="M336" s="7" t="s">
        <v>32</v>
      </c>
      <c r="N336" s="7" t="s">
        <v>34</v>
      </c>
      <c r="O336" s="7" t="s">
        <v>34</v>
      </c>
      <c r="P336" s="7" t="s">
        <v>34</v>
      </c>
      <c r="Q336" s="7" t="s">
        <v>34</v>
      </c>
      <c r="R336" s="7" t="s">
        <v>34</v>
      </c>
      <c r="S336" s="7" t="s">
        <v>34</v>
      </c>
      <c r="T336" s="7" t="s">
        <v>34</v>
      </c>
      <c r="U336" s="7" t="s">
        <v>32</v>
      </c>
      <c r="V336" s="7">
        <v>1</v>
      </c>
      <c r="W336" s="7" t="s">
        <v>32</v>
      </c>
      <c r="X336" s="7" t="s">
        <v>32</v>
      </c>
      <c r="Y336" s="7" t="s">
        <v>32</v>
      </c>
      <c r="Z336" s="7" t="s">
        <v>32</v>
      </c>
      <c r="AA336" s="7">
        <v>24610447</v>
      </c>
      <c r="AB336" s="7">
        <v>1</v>
      </c>
      <c r="AD336" s="7">
        <v>4</v>
      </c>
      <c r="AE336" s="24">
        <v>10</v>
      </c>
      <c r="AF336" s="7">
        <v>5</v>
      </c>
      <c r="AG336" s="7">
        <v>5</v>
      </c>
      <c r="AH336" s="7" t="s">
        <v>1642</v>
      </c>
      <c r="AI336" s="7" t="s">
        <v>1642</v>
      </c>
      <c r="AJ336" s="7" t="s">
        <v>2161</v>
      </c>
      <c r="AK336" s="7">
        <v>180</v>
      </c>
      <c r="AM336" s="7" t="s">
        <v>2161</v>
      </c>
      <c r="AN336" s="7">
        <v>180</v>
      </c>
      <c r="AR336" s="7" t="s">
        <v>1637</v>
      </c>
      <c r="AS336" s="7" t="s">
        <v>1638</v>
      </c>
      <c r="AT336" s="7" t="s">
        <v>1729</v>
      </c>
      <c r="AU336" s="7" t="s">
        <v>178</v>
      </c>
      <c r="AV336" s="7" t="s">
        <v>1641</v>
      </c>
      <c r="AW336" s="7" t="s">
        <v>1687</v>
      </c>
      <c r="AX336" s="7" t="s">
        <v>2367</v>
      </c>
      <c r="AY336" t="s">
        <v>1695</v>
      </c>
      <c r="AZ336" s="7" t="s">
        <v>1650</v>
      </c>
      <c r="BA336" s="7">
        <v>297</v>
      </c>
      <c r="BB336" s="7">
        <v>290</v>
      </c>
      <c r="BC336" s="7" t="s">
        <v>2245</v>
      </c>
      <c r="BD336" s="7">
        <v>53.079700000000003</v>
      </c>
      <c r="BE336" s="7">
        <f>60.0515-BD336</f>
        <v>6.9717999999999947</v>
      </c>
      <c r="BG336" s="7" t="s">
        <v>2369</v>
      </c>
      <c r="BH336" s="7">
        <v>27.633299999999998</v>
      </c>
      <c r="BI336" s="7">
        <f>35.912-BH336</f>
        <v>8.2787000000000006</v>
      </c>
    </row>
    <row r="337" spans="1:63" x14ac:dyDescent="0.2">
      <c r="A337" s="7">
        <v>86</v>
      </c>
      <c r="B337" s="7" t="s">
        <v>1055</v>
      </c>
      <c r="C337" s="7" t="s">
        <v>1054</v>
      </c>
      <c r="D337" s="7" t="s">
        <v>1053</v>
      </c>
      <c r="E337" s="7" t="s">
        <v>1052</v>
      </c>
      <c r="F337" s="7" t="s">
        <v>1051</v>
      </c>
      <c r="G337" s="7">
        <v>2014</v>
      </c>
      <c r="H337" s="7">
        <v>41709</v>
      </c>
      <c r="I337" s="7" t="s">
        <v>32</v>
      </c>
      <c r="J337" s="7" t="s">
        <v>32</v>
      </c>
      <c r="K337" s="7" t="s">
        <v>1050</v>
      </c>
      <c r="L337" s="7">
        <v>2</v>
      </c>
      <c r="M337" s="7" t="s">
        <v>32</v>
      </c>
      <c r="N337" s="7" t="s">
        <v>34</v>
      </c>
      <c r="O337" s="7" t="s">
        <v>34</v>
      </c>
      <c r="P337" s="7" t="s">
        <v>34</v>
      </c>
      <c r="Q337" s="7" t="s">
        <v>34</v>
      </c>
      <c r="R337" s="7" t="s">
        <v>34</v>
      </c>
      <c r="S337" s="7" t="s">
        <v>34</v>
      </c>
      <c r="T337" s="7" t="s">
        <v>34</v>
      </c>
      <c r="U337" s="7" t="s">
        <v>32</v>
      </c>
      <c r="V337" s="7">
        <v>1</v>
      </c>
      <c r="W337" s="7" t="s">
        <v>32</v>
      </c>
      <c r="X337" s="7" t="s">
        <v>32</v>
      </c>
      <c r="Y337" s="7" t="s">
        <v>32</v>
      </c>
      <c r="Z337" s="7" t="s">
        <v>32</v>
      </c>
      <c r="AA337" s="7">
        <v>24610447</v>
      </c>
      <c r="AB337" s="7">
        <v>1</v>
      </c>
      <c r="AD337" s="7">
        <v>4</v>
      </c>
      <c r="AE337" s="24">
        <v>10</v>
      </c>
      <c r="AF337" s="7">
        <v>5</v>
      </c>
      <c r="AG337" s="7">
        <v>5</v>
      </c>
      <c r="AH337" s="7" t="s">
        <v>1642</v>
      </c>
      <c r="AI337" s="7" t="s">
        <v>1642</v>
      </c>
      <c r="AJ337" s="7" t="s">
        <v>2161</v>
      </c>
      <c r="AK337" s="7">
        <v>180</v>
      </c>
      <c r="AM337" s="7" t="s">
        <v>2161</v>
      </c>
      <c r="AN337" s="7">
        <v>180</v>
      </c>
      <c r="AR337" s="7" t="s">
        <v>1637</v>
      </c>
      <c r="AS337" s="7" t="s">
        <v>1638</v>
      </c>
      <c r="AT337" s="7" t="s">
        <v>1729</v>
      </c>
      <c r="AU337" s="7" t="s">
        <v>178</v>
      </c>
      <c r="AV337" s="7" t="s">
        <v>1641</v>
      </c>
      <c r="AW337" s="7" t="s">
        <v>1687</v>
      </c>
      <c r="AX337" s="7" t="s">
        <v>2367</v>
      </c>
      <c r="AY337" t="s">
        <v>1695</v>
      </c>
      <c r="AZ337" s="7" t="s">
        <v>1650</v>
      </c>
      <c r="BA337" s="7">
        <v>297</v>
      </c>
      <c r="BB337" s="7">
        <v>290</v>
      </c>
      <c r="BC337" s="7" t="s">
        <v>2246</v>
      </c>
      <c r="BD337" s="7">
        <v>46.433</v>
      </c>
      <c r="BE337" s="7">
        <f>52.8818-BD337</f>
        <v>6.4487999999999985</v>
      </c>
      <c r="BG337" s="7" t="s">
        <v>2370</v>
      </c>
      <c r="BH337" s="7">
        <v>24.1235</v>
      </c>
      <c r="BI337" s="7">
        <f>29.3523-BH337</f>
        <v>5.2287999999999997</v>
      </c>
    </row>
    <row r="338" spans="1:63" x14ac:dyDescent="0.2">
      <c r="A338" s="7">
        <v>86</v>
      </c>
      <c r="B338" s="7" t="s">
        <v>1055</v>
      </c>
      <c r="C338" s="7" t="s">
        <v>1054</v>
      </c>
      <c r="D338" s="7" t="s">
        <v>1053</v>
      </c>
      <c r="E338" s="7" t="s">
        <v>1052</v>
      </c>
      <c r="F338" s="7" t="s">
        <v>1051</v>
      </c>
      <c r="G338" s="7">
        <v>2014</v>
      </c>
      <c r="H338" s="7">
        <v>41709</v>
      </c>
      <c r="I338" s="7" t="s">
        <v>32</v>
      </c>
      <c r="J338" s="7" t="s">
        <v>32</v>
      </c>
      <c r="K338" s="7" t="s">
        <v>1050</v>
      </c>
      <c r="L338" s="7">
        <v>2</v>
      </c>
      <c r="M338" s="7" t="s">
        <v>32</v>
      </c>
      <c r="N338" s="7" t="s">
        <v>34</v>
      </c>
      <c r="O338" s="7" t="s">
        <v>34</v>
      </c>
      <c r="P338" s="7" t="s">
        <v>34</v>
      </c>
      <c r="Q338" s="7" t="s">
        <v>34</v>
      </c>
      <c r="R338" s="7" t="s">
        <v>34</v>
      </c>
      <c r="S338" s="7" t="s">
        <v>34</v>
      </c>
      <c r="T338" s="7" t="s">
        <v>34</v>
      </c>
      <c r="U338" s="7" t="s">
        <v>32</v>
      </c>
      <c r="V338" s="7">
        <v>1</v>
      </c>
      <c r="W338" s="7" t="s">
        <v>32</v>
      </c>
      <c r="X338" s="7" t="s">
        <v>32</v>
      </c>
      <c r="Y338" s="7" t="s">
        <v>32</v>
      </c>
      <c r="Z338" s="7" t="s">
        <v>32</v>
      </c>
      <c r="AA338" s="7">
        <v>24610447</v>
      </c>
      <c r="AB338" s="7">
        <v>1</v>
      </c>
      <c r="AD338" s="7">
        <v>4</v>
      </c>
      <c r="AE338" s="24">
        <v>10</v>
      </c>
      <c r="AF338" s="7">
        <v>5</v>
      </c>
      <c r="AG338" s="7">
        <v>5</v>
      </c>
      <c r="AH338" s="7" t="s">
        <v>1642</v>
      </c>
      <c r="AI338" s="7" t="s">
        <v>1642</v>
      </c>
      <c r="AJ338" s="7" t="s">
        <v>2161</v>
      </c>
      <c r="AK338" s="7">
        <v>180</v>
      </c>
      <c r="AM338" s="7" t="s">
        <v>2161</v>
      </c>
      <c r="AN338" s="7">
        <v>180</v>
      </c>
      <c r="AR338" s="7" t="s">
        <v>1637</v>
      </c>
      <c r="AS338" s="7" t="s">
        <v>1638</v>
      </c>
      <c r="AT338" s="7" t="s">
        <v>1729</v>
      </c>
      <c r="AU338" s="7" t="s">
        <v>178</v>
      </c>
      <c r="AV338" s="7" t="s">
        <v>1641</v>
      </c>
      <c r="AW338" s="7" t="s">
        <v>1687</v>
      </c>
      <c r="AX338" s="7" t="s">
        <v>2367</v>
      </c>
      <c r="AY338" t="s">
        <v>1695</v>
      </c>
      <c r="AZ338" s="7" t="s">
        <v>1650</v>
      </c>
      <c r="BA338" s="7">
        <v>297</v>
      </c>
      <c r="BB338" s="7">
        <v>290</v>
      </c>
      <c r="BC338" s="7" t="s">
        <v>2247</v>
      </c>
      <c r="BD338" s="7">
        <v>41.616300000000003</v>
      </c>
      <c r="BE338" s="7">
        <f>47.1065-BD338</f>
        <v>5.4901999999999944</v>
      </c>
      <c r="BG338" s="7" t="s">
        <v>2371</v>
      </c>
      <c r="BH338" s="7">
        <v>14.601000000000001</v>
      </c>
      <c r="BI338" s="7">
        <f>18.697-BH338</f>
        <v>4.0959999999999983</v>
      </c>
    </row>
    <row r="339" spans="1:63" x14ac:dyDescent="0.2">
      <c r="A339" s="7">
        <v>86</v>
      </c>
      <c r="B339" s="7" t="s">
        <v>1055</v>
      </c>
      <c r="C339" s="7" t="s">
        <v>1054</v>
      </c>
      <c r="D339" s="7" t="s">
        <v>1053</v>
      </c>
      <c r="E339" s="7" t="s">
        <v>1052</v>
      </c>
      <c r="F339" s="7" t="s">
        <v>1051</v>
      </c>
      <c r="G339" s="7">
        <v>2014</v>
      </c>
      <c r="H339" s="7">
        <v>41709</v>
      </c>
      <c r="I339" s="7" t="s">
        <v>32</v>
      </c>
      <c r="J339" s="7" t="s">
        <v>32</v>
      </c>
      <c r="K339" s="7" t="s">
        <v>1050</v>
      </c>
      <c r="L339" s="7">
        <v>2</v>
      </c>
      <c r="M339" s="7" t="s">
        <v>32</v>
      </c>
      <c r="N339" s="7" t="s">
        <v>34</v>
      </c>
      <c r="O339" s="7" t="s">
        <v>34</v>
      </c>
      <c r="P339" s="7" t="s">
        <v>34</v>
      </c>
      <c r="Q339" s="7" t="s">
        <v>34</v>
      </c>
      <c r="R339" s="7" t="s">
        <v>34</v>
      </c>
      <c r="S339" s="7" t="s">
        <v>34</v>
      </c>
      <c r="T339" s="7" t="s">
        <v>34</v>
      </c>
      <c r="U339" s="7" t="s">
        <v>32</v>
      </c>
      <c r="V339" s="7">
        <v>1</v>
      </c>
      <c r="W339" s="7" t="s">
        <v>32</v>
      </c>
      <c r="X339" s="7" t="s">
        <v>32</v>
      </c>
      <c r="Y339" s="7" t="s">
        <v>32</v>
      </c>
      <c r="Z339" s="7" t="s">
        <v>32</v>
      </c>
      <c r="AA339" s="7">
        <v>24610447</v>
      </c>
      <c r="AB339" s="7">
        <v>1</v>
      </c>
      <c r="AD339" s="7">
        <v>4</v>
      </c>
      <c r="AE339" s="24">
        <v>10</v>
      </c>
      <c r="AF339" s="7">
        <v>5</v>
      </c>
      <c r="AG339" s="7">
        <v>5</v>
      </c>
      <c r="AH339" s="7" t="s">
        <v>1642</v>
      </c>
      <c r="AI339" s="7" t="s">
        <v>1642</v>
      </c>
      <c r="AJ339" s="7" t="s">
        <v>2161</v>
      </c>
      <c r="AK339" s="7">
        <v>180</v>
      </c>
      <c r="AM339" s="7" t="s">
        <v>2161</v>
      </c>
      <c r="AN339" s="7">
        <v>180</v>
      </c>
      <c r="AR339" s="7" t="s">
        <v>1637</v>
      </c>
      <c r="AS339" s="7" t="s">
        <v>1638</v>
      </c>
      <c r="AT339" s="7" t="s">
        <v>1729</v>
      </c>
      <c r="AU339" s="7" t="s">
        <v>178</v>
      </c>
      <c r="AV339" s="7" t="s">
        <v>1641</v>
      </c>
      <c r="AW339" s="7" t="s">
        <v>1687</v>
      </c>
      <c r="AX339" s="7" t="s">
        <v>2367</v>
      </c>
      <c r="AY339" t="s">
        <v>1695</v>
      </c>
      <c r="AZ339" s="7" t="s">
        <v>1650</v>
      </c>
      <c r="BA339" s="7">
        <v>297</v>
      </c>
      <c r="BB339" s="7">
        <v>290</v>
      </c>
      <c r="BC339" s="7" t="s">
        <v>2248</v>
      </c>
      <c r="BD339" s="7">
        <v>47.082500000000003</v>
      </c>
      <c r="BE339" s="7">
        <f>54.4899-BD339</f>
        <v>7.4073999999999955</v>
      </c>
      <c r="BG339" s="7" t="s">
        <v>2372</v>
      </c>
      <c r="BH339" s="7">
        <v>12.4857</v>
      </c>
      <c r="BI339" s="7">
        <f>17.1916-BH339</f>
        <v>4.7059000000000015</v>
      </c>
    </row>
    <row r="340" spans="1:63" x14ac:dyDescent="0.2">
      <c r="A340" s="7">
        <v>86</v>
      </c>
      <c r="B340" s="7" t="s">
        <v>1055</v>
      </c>
      <c r="C340" s="7" t="s">
        <v>1054</v>
      </c>
      <c r="D340" s="7" t="s">
        <v>1053</v>
      </c>
      <c r="E340" s="7" t="s">
        <v>1052</v>
      </c>
      <c r="F340" s="7" t="s">
        <v>1051</v>
      </c>
      <c r="G340" s="7">
        <v>2014</v>
      </c>
      <c r="H340" s="7">
        <v>41709</v>
      </c>
      <c r="I340" s="7" t="s">
        <v>32</v>
      </c>
      <c r="J340" s="7" t="s">
        <v>32</v>
      </c>
      <c r="K340" s="7" t="s">
        <v>1050</v>
      </c>
      <c r="L340" s="7">
        <v>2</v>
      </c>
      <c r="M340" s="7" t="s">
        <v>32</v>
      </c>
      <c r="N340" s="7" t="s">
        <v>34</v>
      </c>
      <c r="O340" s="7" t="s">
        <v>34</v>
      </c>
      <c r="P340" s="7" t="s">
        <v>34</v>
      </c>
      <c r="Q340" s="7" t="s">
        <v>34</v>
      </c>
      <c r="R340" s="7" t="s">
        <v>34</v>
      </c>
      <c r="S340" s="7" t="s">
        <v>34</v>
      </c>
      <c r="T340" s="7" t="s">
        <v>34</v>
      </c>
      <c r="U340" s="7" t="s">
        <v>32</v>
      </c>
      <c r="V340" s="7">
        <v>1</v>
      </c>
      <c r="W340" s="7" t="s">
        <v>32</v>
      </c>
      <c r="X340" s="7" t="s">
        <v>32</v>
      </c>
      <c r="Y340" s="7" t="s">
        <v>32</v>
      </c>
      <c r="Z340" s="7" t="s">
        <v>32</v>
      </c>
      <c r="AA340" s="7">
        <v>24610447</v>
      </c>
      <c r="AB340" s="7">
        <v>1</v>
      </c>
      <c r="AD340" s="7">
        <v>4</v>
      </c>
      <c r="AE340" s="24">
        <v>10</v>
      </c>
      <c r="AF340" s="7">
        <v>5</v>
      </c>
      <c r="AG340" s="7">
        <v>5</v>
      </c>
      <c r="AH340" s="7" t="s">
        <v>1642</v>
      </c>
      <c r="AI340" s="7" t="s">
        <v>1642</v>
      </c>
      <c r="AJ340" s="7" t="s">
        <v>2161</v>
      </c>
      <c r="AK340" s="7">
        <v>180</v>
      </c>
      <c r="AM340" s="7" t="s">
        <v>2161</v>
      </c>
      <c r="AN340" s="7">
        <v>180</v>
      </c>
      <c r="AR340" s="7" t="s">
        <v>1637</v>
      </c>
      <c r="AS340" s="7" t="s">
        <v>1638</v>
      </c>
      <c r="AT340" s="7" t="s">
        <v>1729</v>
      </c>
      <c r="AU340" s="7" t="s">
        <v>178</v>
      </c>
      <c r="AV340" s="7" t="s">
        <v>1641</v>
      </c>
      <c r="AW340" s="7" t="s">
        <v>1687</v>
      </c>
      <c r="AX340" s="7" t="s">
        <v>2367</v>
      </c>
      <c r="AY340" t="s">
        <v>1695</v>
      </c>
      <c r="AZ340" s="7" t="s">
        <v>1650</v>
      </c>
      <c r="BA340" s="7">
        <v>297</v>
      </c>
      <c r="BB340" s="7">
        <v>290</v>
      </c>
      <c r="BC340" s="7" t="s">
        <v>2374</v>
      </c>
      <c r="BD340" s="7">
        <v>45.228700000000003</v>
      </c>
      <c r="BE340" s="7">
        <f>52.1132-BD340</f>
        <v>6.8844999999999956</v>
      </c>
      <c r="BG340" s="7" t="s">
        <v>2373</v>
      </c>
      <c r="BH340" s="7">
        <v>12.026199999999999</v>
      </c>
      <c r="BI340" s="7">
        <f>19.1723-BH340</f>
        <v>7.1461000000000006</v>
      </c>
    </row>
    <row r="341" spans="1:63" x14ac:dyDescent="0.2">
      <c r="A341" s="7">
        <v>86</v>
      </c>
      <c r="B341" s="7" t="s">
        <v>1055</v>
      </c>
      <c r="C341" s="7" t="s">
        <v>1054</v>
      </c>
      <c r="D341" s="7" t="s">
        <v>1053</v>
      </c>
      <c r="E341" s="7" t="s">
        <v>1052</v>
      </c>
      <c r="F341" s="7" t="s">
        <v>1051</v>
      </c>
      <c r="G341" s="7">
        <v>2014</v>
      </c>
      <c r="H341" s="7">
        <v>41709</v>
      </c>
      <c r="I341" s="7" t="s">
        <v>32</v>
      </c>
      <c r="J341" s="7" t="s">
        <v>32</v>
      </c>
      <c r="K341" s="7" t="s">
        <v>1050</v>
      </c>
      <c r="L341" s="7">
        <v>2</v>
      </c>
      <c r="M341" s="7" t="s">
        <v>32</v>
      </c>
      <c r="N341" s="7" t="s">
        <v>34</v>
      </c>
      <c r="O341" s="7" t="s">
        <v>34</v>
      </c>
      <c r="P341" s="7" t="s">
        <v>34</v>
      </c>
      <c r="Q341" s="7" t="s">
        <v>34</v>
      </c>
      <c r="R341" s="7" t="s">
        <v>34</v>
      </c>
      <c r="S341" s="7" t="s">
        <v>34</v>
      </c>
      <c r="T341" s="7" t="s">
        <v>34</v>
      </c>
      <c r="U341" s="7" t="s">
        <v>32</v>
      </c>
      <c r="V341" s="7">
        <v>1</v>
      </c>
      <c r="W341" s="7" t="s">
        <v>32</v>
      </c>
      <c r="X341" s="7" t="s">
        <v>32</v>
      </c>
      <c r="Y341" s="7" t="s">
        <v>32</v>
      </c>
      <c r="Z341" s="7" t="s">
        <v>32</v>
      </c>
      <c r="AA341" s="7">
        <v>24610447</v>
      </c>
      <c r="AB341" s="7">
        <v>1</v>
      </c>
      <c r="AD341" s="7">
        <v>4</v>
      </c>
      <c r="AE341" s="24">
        <v>10</v>
      </c>
      <c r="AF341" s="7">
        <v>5</v>
      </c>
      <c r="AG341" s="7">
        <v>5</v>
      </c>
      <c r="AH341" s="7" t="s">
        <v>1642</v>
      </c>
      <c r="AI341" s="7" t="s">
        <v>1642</v>
      </c>
      <c r="AJ341" s="7" t="s">
        <v>2161</v>
      </c>
      <c r="AK341" s="7">
        <v>180</v>
      </c>
      <c r="AM341" s="7" t="s">
        <v>2161</v>
      </c>
      <c r="AN341" s="7">
        <v>180</v>
      </c>
      <c r="AR341" s="7" t="s">
        <v>1637</v>
      </c>
      <c r="AS341" s="7" t="s">
        <v>1638</v>
      </c>
      <c r="AT341" s="7" t="s">
        <v>1729</v>
      </c>
      <c r="AU341" s="7" t="s">
        <v>178</v>
      </c>
      <c r="AV341" s="7" t="s">
        <v>1641</v>
      </c>
      <c r="AW341" s="7" t="s">
        <v>1687</v>
      </c>
      <c r="AX341" s="7" t="s">
        <v>2367</v>
      </c>
      <c r="AY341" t="s">
        <v>1925</v>
      </c>
      <c r="AZ341" s="7" t="s">
        <v>1650</v>
      </c>
      <c r="BA341" s="7">
        <v>297</v>
      </c>
      <c r="BB341" s="7">
        <v>290</v>
      </c>
      <c r="BC341" s="7" t="s">
        <v>2308</v>
      </c>
      <c r="BD341" s="7">
        <v>22.102900000000002</v>
      </c>
      <c r="BE341" s="7">
        <f>28.3474-BD341</f>
        <v>6.2444999999999986</v>
      </c>
      <c r="BG341" s="7" t="s">
        <v>2307</v>
      </c>
      <c r="BH341" s="7">
        <v>49.479199999999999</v>
      </c>
      <c r="BI341" s="7">
        <f>58.3481-BH341</f>
        <v>8.8689000000000036</v>
      </c>
    </row>
    <row r="342" spans="1:63" s="20" customFormat="1" x14ac:dyDescent="0.2">
      <c r="A342" s="20">
        <v>87</v>
      </c>
      <c r="B342" s="20" t="s">
        <v>1049</v>
      </c>
      <c r="C342" s="20" t="s">
        <v>1048</v>
      </c>
      <c r="D342" s="20" t="s">
        <v>1047</v>
      </c>
      <c r="E342" s="20" t="s">
        <v>1040</v>
      </c>
      <c r="F342" s="20" t="s">
        <v>336</v>
      </c>
      <c r="G342" s="20">
        <v>2014</v>
      </c>
      <c r="H342" s="20">
        <v>41684</v>
      </c>
      <c r="I342" s="20" t="s">
        <v>1046</v>
      </c>
      <c r="J342" s="20" t="s">
        <v>32</v>
      </c>
      <c r="K342" s="20" t="s">
        <v>1045</v>
      </c>
      <c r="L342" s="20">
        <v>2</v>
      </c>
      <c r="M342" s="20" t="s">
        <v>1044</v>
      </c>
      <c r="N342" s="20" t="s">
        <v>34</v>
      </c>
      <c r="O342" s="20" t="s">
        <v>190</v>
      </c>
      <c r="P342" s="20" t="s">
        <v>34</v>
      </c>
      <c r="Q342" s="20" t="s">
        <v>34</v>
      </c>
      <c r="R342" s="20" t="s">
        <v>34</v>
      </c>
      <c r="S342" s="20" t="s">
        <v>34</v>
      </c>
      <c r="T342" s="20" t="s">
        <v>34</v>
      </c>
      <c r="U342" s="20" t="s">
        <v>32</v>
      </c>
      <c r="V342" s="20">
        <v>1</v>
      </c>
      <c r="W342" s="20" t="s">
        <v>32</v>
      </c>
      <c r="X342" s="20" t="s">
        <v>32</v>
      </c>
      <c r="Y342" s="20" t="s">
        <v>32</v>
      </c>
      <c r="Z342" s="20" t="s">
        <v>32</v>
      </c>
      <c r="AA342" s="20">
        <v>24523683</v>
      </c>
      <c r="AB342" s="20">
        <v>0</v>
      </c>
      <c r="AC342" s="20" t="s">
        <v>2375</v>
      </c>
      <c r="AE342" s="26"/>
      <c r="BK342" s="41"/>
    </row>
    <row r="343" spans="1:63" s="21" customFormat="1" x14ac:dyDescent="0.2">
      <c r="A343" s="21">
        <v>88</v>
      </c>
      <c r="B343" s="21" t="s">
        <v>1043</v>
      </c>
      <c r="C343" s="21" t="s">
        <v>1042</v>
      </c>
      <c r="D343" s="21" t="s">
        <v>1041</v>
      </c>
      <c r="E343" s="21" t="s">
        <v>1040</v>
      </c>
      <c r="F343" s="21" t="s">
        <v>336</v>
      </c>
      <c r="G343" s="21">
        <v>2014</v>
      </c>
      <c r="H343" s="21">
        <v>41670</v>
      </c>
      <c r="I343" s="21" t="s">
        <v>1039</v>
      </c>
      <c r="J343" s="21" t="s">
        <v>32</v>
      </c>
      <c r="K343" s="21" t="s">
        <v>1038</v>
      </c>
      <c r="L343" s="21">
        <v>2</v>
      </c>
      <c r="M343" s="21" t="s">
        <v>1037</v>
      </c>
      <c r="N343" s="21" t="s">
        <v>34</v>
      </c>
      <c r="O343" s="21" t="s">
        <v>190</v>
      </c>
      <c r="P343" s="21" t="s">
        <v>34</v>
      </c>
      <c r="Q343" s="21" t="s">
        <v>34</v>
      </c>
      <c r="R343" s="21" t="s">
        <v>34</v>
      </c>
      <c r="S343" s="21" t="s">
        <v>34</v>
      </c>
      <c r="T343" s="21" t="s">
        <v>34</v>
      </c>
      <c r="U343" s="21" t="s">
        <v>32</v>
      </c>
      <c r="V343" s="21">
        <v>1</v>
      </c>
      <c r="W343" s="21" t="s">
        <v>32</v>
      </c>
      <c r="X343" s="21" t="s">
        <v>32</v>
      </c>
      <c r="Y343" s="21" t="s">
        <v>32</v>
      </c>
      <c r="Z343" s="21" t="s">
        <v>32</v>
      </c>
      <c r="AA343" s="21">
        <v>24478648</v>
      </c>
      <c r="AB343" s="21">
        <v>1</v>
      </c>
      <c r="AD343" s="21">
        <v>4</v>
      </c>
      <c r="AE343" s="23">
        <v>16</v>
      </c>
      <c r="AF343" s="21">
        <v>8</v>
      </c>
      <c r="AG343" s="21">
        <v>8</v>
      </c>
      <c r="AH343" s="21" t="s">
        <v>1642</v>
      </c>
      <c r="AI343" s="21" t="s">
        <v>1642</v>
      </c>
      <c r="AK343" s="21">
        <v>162.5</v>
      </c>
      <c r="AN343" s="21">
        <v>162.5</v>
      </c>
      <c r="AR343" s="21" t="s">
        <v>2377</v>
      </c>
      <c r="AS343" s="21" t="s">
        <v>1878</v>
      </c>
      <c r="AT343" s="21" t="s">
        <v>1640</v>
      </c>
      <c r="AU343" s="21" t="s">
        <v>178</v>
      </c>
      <c r="AV343" s="21" t="s">
        <v>2040</v>
      </c>
      <c r="AW343" s="21" t="s">
        <v>1678</v>
      </c>
      <c r="AX343" s="21" t="s">
        <v>2378</v>
      </c>
      <c r="AY343" s="21" t="s">
        <v>1684</v>
      </c>
      <c r="AZ343" s="21" t="s">
        <v>1650</v>
      </c>
      <c r="BA343" s="21">
        <v>298</v>
      </c>
      <c r="BB343" s="21">
        <v>291</v>
      </c>
      <c r="BC343" s="21" t="s">
        <v>2379</v>
      </c>
      <c r="BD343" s="21">
        <v>63.168399999999998</v>
      </c>
      <c r="BE343" s="21">
        <f>72.2705-BD343</f>
        <v>9.1021000000000001</v>
      </c>
      <c r="BG343" s="21" t="s">
        <v>2380</v>
      </c>
      <c r="BH343" s="21">
        <v>33.4681</v>
      </c>
      <c r="BJ343" s="21">
        <f>39.8553-BH343</f>
        <v>6.3872</v>
      </c>
      <c r="BK343" s="40" t="s">
        <v>2376</v>
      </c>
    </row>
    <row r="344" spans="1:63" s="20" customFormat="1" x14ac:dyDescent="0.2">
      <c r="A344" s="20">
        <v>89</v>
      </c>
      <c r="B344" s="20" t="s">
        <v>1036</v>
      </c>
      <c r="C344" s="20" t="s">
        <v>1035</v>
      </c>
      <c r="D344" s="20" t="s">
        <v>1034</v>
      </c>
      <c r="E344" s="20" t="s">
        <v>1033</v>
      </c>
      <c r="F344" s="20" t="s">
        <v>153</v>
      </c>
      <c r="G344" s="20">
        <v>2014</v>
      </c>
      <c r="H344" s="20">
        <v>41598</v>
      </c>
      <c r="I344" s="20" t="s">
        <v>1032</v>
      </c>
      <c r="J344" s="20" t="s">
        <v>1031</v>
      </c>
      <c r="K344" s="20" t="s">
        <v>1030</v>
      </c>
      <c r="L344" s="20">
        <v>2</v>
      </c>
      <c r="M344" s="20" t="s">
        <v>32</v>
      </c>
      <c r="N344" s="20" t="s">
        <v>1029</v>
      </c>
      <c r="O344" s="20" t="s">
        <v>190</v>
      </c>
      <c r="P344" s="20" t="s">
        <v>34</v>
      </c>
      <c r="Q344" s="20" t="s">
        <v>34</v>
      </c>
      <c r="R344" s="20" t="s">
        <v>34</v>
      </c>
      <c r="S344" s="20" t="s">
        <v>34</v>
      </c>
      <c r="T344" s="20" t="s">
        <v>190</v>
      </c>
      <c r="U344" s="20" t="s">
        <v>32</v>
      </c>
      <c r="V344" s="20">
        <v>1</v>
      </c>
      <c r="W344" s="20" t="s">
        <v>32</v>
      </c>
      <c r="X344" s="20" t="s">
        <v>32</v>
      </c>
      <c r="Y344" s="20" t="s">
        <v>1028</v>
      </c>
      <c r="Z344" s="20" t="s">
        <v>32</v>
      </c>
      <c r="AA344" s="20">
        <v>24246572</v>
      </c>
      <c r="AB344" s="20">
        <v>0</v>
      </c>
      <c r="AC344" s="20" t="s">
        <v>2383</v>
      </c>
      <c r="AE344" s="26"/>
      <c r="BK344" s="41"/>
    </row>
    <row r="345" spans="1:63" s="20" customFormat="1" x14ac:dyDescent="0.2">
      <c r="A345" s="20">
        <v>90</v>
      </c>
      <c r="B345" s="20" t="s">
        <v>1027</v>
      </c>
      <c r="C345" s="20" t="s">
        <v>1026</v>
      </c>
      <c r="D345" s="20" t="s">
        <v>1025</v>
      </c>
      <c r="E345" s="20" t="s">
        <v>1024</v>
      </c>
      <c r="F345" s="20" t="s">
        <v>1023</v>
      </c>
      <c r="G345" s="20">
        <v>2014</v>
      </c>
      <c r="H345" s="20">
        <v>41563</v>
      </c>
      <c r="I345" s="20" t="s">
        <v>1022</v>
      </c>
      <c r="J345" s="20" t="s">
        <v>1021</v>
      </c>
      <c r="K345" s="20" t="s">
        <v>1020</v>
      </c>
      <c r="L345" s="20">
        <v>2</v>
      </c>
      <c r="M345" s="20" t="s">
        <v>32</v>
      </c>
      <c r="N345" s="20" t="s">
        <v>34</v>
      </c>
      <c r="O345" s="20" t="s">
        <v>34</v>
      </c>
      <c r="P345" s="20" t="s">
        <v>34</v>
      </c>
      <c r="Q345" s="20" t="s">
        <v>34</v>
      </c>
      <c r="R345" s="20" t="s">
        <v>34</v>
      </c>
      <c r="S345" s="20" t="s">
        <v>34</v>
      </c>
      <c r="T345" s="20" t="s">
        <v>34</v>
      </c>
      <c r="U345" s="20" t="s">
        <v>34</v>
      </c>
      <c r="V345" s="20">
        <v>1</v>
      </c>
      <c r="W345" s="20" t="s">
        <v>178</v>
      </c>
      <c r="X345" s="20">
        <v>1</v>
      </c>
      <c r="Y345" s="20" t="s">
        <v>1019</v>
      </c>
      <c r="Z345" s="20" t="s">
        <v>1018</v>
      </c>
      <c r="AA345" s="20">
        <v>24126924</v>
      </c>
      <c r="AB345" s="20">
        <v>0</v>
      </c>
      <c r="AC345" s="20" t="s">
        <v>2384</v>
      </c>
      <c r="AE345" s="26"/>
      <c r="BK345" s="41"/>
    </row>
    <row r="346" spans="1:63" s="21" customFormat="1" x14ac:dyDescent="0.2">
      <c r="A346" s="21">
        <v>91</v>
      </c>
      <c r="B346" s="21" t="s">
        <v>1017</v>
      </c>
      <c r="C346" s="21" t="s">
        <v>1016</v>
      </c>
      <c r="D346" s="21" t="s">
        <v>1015</v>
      </c>
      <c r="E346" s="21" t="s">
        <v>1014</v>
      </c>
      <c r="F346" s="21" t="s">
        <v>336</v>
      </c>
      <c r="G346" s="21">
        <v>2013</v>
      </c>
      <c r="H346" s="21">
        <v>41557</v>
      </c>
      <c r="I346" s="21" t="s">
        <v>1013</v>
      </c>
      <c r="J346" s="21" t="s">
        <v>32</v>
      </c>
      <c r="K346" s="21" t="s">
        <v>1012</v>
      </c>
      <c r="L346" s="21">
        <v>2</v>
      </c>
      <c r="M346" s="21" t="s">
        <v>1011</v>
      </c>
      <c r="N346" s="21" t="s">
        <v>34</v>
      </c>
      <c r="O346" s="21" t="s">
        <v>190</v>
      </c>
      <c r="P346" s="21" t="s">
        <v>34</v>
      </c>
      <c r="Q346" s="21" t="s">
        <v>34</v>
      </c>
      <c r="R346" s="21" t="s">
        <v>34</v>
      </c>
      <c r="S346" s="21" t="s">
        <v>34</v>
      </c>
      <c r="T346" s="21" t="s">
        <v>34</v>
      </c>
      <c r="U346" s="21" t="s">
        <v>32</v>
      </c>
      <c r="V346" s="21">
        <v>1</v>
      </c>
      <c r="W346" s="21" t="s">
        <v>32</v>
      </c>
      <c r="X346" s="21" t="s">
        <v>32</v>
      </c>
      <c r="Y346" s="21" t="s">
        <v>32</v>
      </c>
      <c r="Z346" s="21" t="s">
        <v>32</v>
      </c>
      <c r="AA346" s="21">
        <v>24106466</v>
      </c>
      <c r="AB346" s="21">
        <v>1</v>
      </c>
      <c r="AD346" s="21">
        <v>4</v>
      </c>
      <c r="AE346" s="23">
        <v>20</v>
      </c>
      <c r="AF346" s="21">
        <v>10</v>
      </c>
      <c r="AG346" s="21">
        <v>10</v>
      </c>
      <c r="AH346" s="21" t="s">
        <v>1642</v>
      </c>
      <c r="AI346" s="21" t="s">
        <v>1642</v>
      </c>
      <c r="AJ346" s="21" t="s">
        <v>2385</v>
      </c>
      <c r="AM346" s="21" t="s">
        <v>2385</v>
      </c>
      <c r="AP346" s="21">
        <v>1</v>
      </c>
      <c r="AQ346" s="21" t="s">
        <v>2330</v>
      </c>
      <c r="AR346" s="21" t="s">
        <v>1814</v>
      </c>
      <c r="AS346" s="21" t="s">
        <v>1667</v>
      </c>
      <c r="AT346" s="21" t="s">
        <v>1729</v>
      </c>
      <c r="AU346" s="21" t="s">
        <v>178</v>
      </c>
      <c r="AV346" s="21" t="s">
        <v>1689</v>
      </c>
      <c r="AW346" s="21" t="s">
        <v>1678</v>
      </c>
      <c r="AX346" s="21" t="s">
        <v>2386</v>
      </c>
      <c r="AY346" s="21" t="s">
        <v>1750</v>
      </c>
      <c r="AZ346" s="21" t="s">
        <v>1650</v>
      </c>
      <c r="BA346" s="21">
        <v>299</v>
      </c>
      <c r="BB346" s="21">
        <v>292</v>
      </c>
      <c r="BC346" s="21" t="s">
        <v>2387</v>
      </c>
      <c r="BD346" s="21">
        <v>44.236499999999999</v>
      </c>
      <c r="BF346" s="21">
        <f>52.0837-BD346</f>
        <v>7.8472000000000008</v>
      </c>
      <c r="BG346" s="21" t="s">
        <v>2305</v>
      </c>
      <c r="BH346" s="21">
        <v>4.6932999999999998</v>
      </c>
      <c r="BJ346" s="21">
        <f>6.51871-BH346</f>
        <v>1.8254099999999998</v>
      </c>
      <c r="BK346" s="21" t="s">
        <v>2389</v>
      </c>
    </row>
    <row r="347" spans="1:63" s="21" customFormat="1" x14ac:dyDescent="0.2">
      <c r="A347" s="21">
        <v>91</v>
      </c>
      <c r="B347" s="21" t="s">
        <v>1017</v>
      </c>
      <c r="C347" s="21" t="s">
        <v>1016</v>
      </c>
      <c r="D347" s="21" t="s">
        <v>1015</v>
      </c>
      <c r="E347" s="21" t="s">
        <v>1014</v>
      </c>
      <c r="F347" s="21" t="s">
        <v>336</v>
      </c>
      <c r="G347" s="21">
        <v>2013</v>
      </c>
      <c r="H347" s="21">
        <v>41557</v>
      </c>
      <c r="I347" s="21" t="s">
        <v>1013</v>
      </c>
      <c r="J347" s="21" t="s">
        <v>32</v>
      </c>
      <c r="K347" s="21" t="s">
        <v>1012</v>
      </c>
      <c r="L347" s="21">
        <v>2</v>
      </c>
      <c r="M347" s="21" t="s">
        <v>1011</v>
      </c>
      <c r="N347" s="21" t="s">
        <v>34</v>
      </c>
      <c r="O347" s="21" t="s">
        <v>190</v>
      </c>
      <c r="P347" s="21" t="s">
        <v>34</v>
      </c>
      <c r="Q347" s="21" t="s">
        <v>34</v>
      </c>
      <c r="R347" s="21" t="s">
        <v>34</v>
      </c>
      <c r="S347" s="21" t="s">
        <v>34</v>
      </c>
      <c r="T347" s="21" t="s">
        <v>34</v>
      </c>
      <c r="U347" s="21" t="s">
        <v>32</v>
      </c>
      <c r="V347" s="21">
        <v>1</v>
      </c>
      <c r="W347" s="21" t="s">
        <v>32</v>
      </c>
      <c r="X347" s="21" t="s">
        <v>32</v>
      </c>
      <c r="Y347" s="21" t="s">
        <v>32</v>
      </c>
      <c r="Z347" s="21" t="s">
        <v>32</v>
      </c>
      <c r="AA347" s="21">
        <v>24106466</v>
      </c>
      <c r="AB347" s="21">
        <v>1</v>
      </c>
      <c r="AD347" s="21">
        <v>4</v>
      </c>
      <c r="AE347" s="23">
        <v>20</v>
      </c>
      <c r="AF347" s="21">
        <v>10</v>
      </c>
      <c r="AG347" s="21">
        <v>10</v>
      </c>
      <c r="AH347" s="21" t="s">
        <v>1642</v>
      </c>
      <c r="AI347" s="21" t="s">
        <v>1642</v>
      </c>
      <c r="AJ347" s="21" t="s">
        <v>2385</v>
      </c>
      <c r="AM347" s="21" t="s">
        <v>2385</v>
      </c>
      <c r="AP347" s="21">
        <v>1</v>
      </c>
      <c r="AQ347" s="21" t="s">
        <v>2330</v>
      </c>
      <c r="AR347" s="21" t="s">
        <v>1814</v>
      </c>
      <c r="AS347" s="21" t="s">
        <v>1667</v>
      </c>
      <c r="AT347" s="21" t="s">
        <v>1729</v>
      </c>
      <c r="AU347" s="21" t="s">
        <v>178</v>
      </c>
      <c r="AV347" s="21" t="s">
        <v>1689</v>
      </c>
      <c r="AW347" s="21" t="s">
        <v>1678</v>
      </c>
      <c r="AX347" s="21" t="s">
        <v>2386</v>
      </c>
      <c r="AY347" s="21" t="s">
        <v>1750</v>
      </c>
      <c r="AZ347" s="21" t="s">
        <v>1650</v>
      </c>
      <c r="BA347" s="38">
        <v>259</v>
      </c>
      <c r="BB347" s="21">
        <v>292</v>
      </c>
      <c r="BC347" s="21" t="s">
        <v>2388</v>
      </c>
      <c r="BD347" s="21">
        <v>87.610500000000002</v>
      </c>
      <c r="BF347" s="21">
        <f>89.8009-BD347</f>
        <v>2.1903999999999968</v>
      </c>
      <c r="BG347" s="21" t="s">
        <v>2305</v>
      </c>
      <c r="BH347" s="21">
        <v>4.6932999999999998</v>
      </c>
      <c r="BJ347" s="21">
        <f>6.51871-BH347</f>
        <v>1.8254099999999998</v>
      </c>
      <c r="BK347" s="21" t="s">
        <v>2389</v>
      </c>
    </row>
    <row r="348" spans="1:63" s="20" customFormat="1" x14ac:dyDescent="0.2">
      <c r="A348" s="20">
        <v>92</v>
      </c>
      <c r="B348" s="20" t="s">
        <v>1010</v>
      </c>
      <c r="C348" s="20" t="s">
        <v>1009</v>
      </c>
      <c r="D348" s="20" t="s">
        <v>1008</v>
      </c>
      <c r="E348" s="20" t="s">
        <v>1007</v>
      </c>
      <c r="F348" s="20" t="s">
        <v>468</v>
      </c>
      <c r="G348" s="20">
        <v>2014</v>
      </c>
      <c r="H348" s="20">
        <v>41555</v>
      </c>
      <c r="I348" s="20" t="s">
        <v>1006</v>
      </c>
      <c r="J348" s="20" t="s">
        <v>1005</v>
      </c>
      <c r="K348" s="20" t="s">
        <v>1004</v>
      </c>
      <c r="L348" s="20">
        <v>2</v>
      </c>
      <c r="M348" s="20" t="s">
        <v>32</v>
      </c>
      <c r="N348" s="20" t="s">
        <v>34</v>
      </c>
      <c r="O348" s="20" t="s">
        <v>190</v>
      </c>
      <c r="P348" s="20" t="s">
        <v>34</v>
      </c>
      <c r="Q348" s="20" t="s">
        <v>34</v>
      </c>
      <c r="R348" s="20" t="s">
        <v>34</v>
      </c>
      <c r="S348" s="20" t="s">
        <v>34</v>
      </c>
      <c r="T348" s="20" t="s">
        <v>190</v>
      </c>
      <c r="U348" s="20" t="s">
        <v>32</v>
      </c>
      <c r="V348" s="20">
        <v>1</v>
      </c>
      <c r="W348" s="20" t="s">
        <v>32</v>
      </c>
      <c r="X348" s="20" t="s">
        <v>32</v>
      </c>
      <c r="Y348" s="20" t="s">
        <v>1003</v>
      </c>
      <c r="Z348" s="20" t="s">
        <v>32</v>
      </c>
      <c r="AA348" s="20">
        <v>24094510</v>
      </c>
      <c r="AB348" s="20">
        <v>0</v>
      </c>
      <c r="AC348" s="20" t="s">
        <v>2390</v>
      </c>
      <c r="AE348" s="26"/>
      <c r="BA348" s="53"/>
      <c r="BK348" s="41"/>
    </row>
    <row r="349" spans="1:63" x14ac:dyDescent="0.2">
      <c r="A349" s="7">
        <v>93</v>
      </c>
      <c r="B349" s="7" t="s">
        <v>1002</v>
      </c>
      <c r="C349" s="7" t="s">
        <v>1001</v>
      </c>
      <c r="D349" s="7" t="s">
        <v>1000</v>
      </c>
      <c r="E349" s="7" t="s">
        <v>999</v>
      </c>
      <c r="F349" s="7" t="s">
        <v>167</v>
      </c>
      <c r="G349" s="7">
        <v>2013</v>
      </c>
      <c r="H349" s="7">
        <v>41527</v>
      </c>
      <c r="I349" s="7" t="s">
        <v>32</v>
      </c>
      <c r="J349" s="7" t="s">
        <v>32</v>
      </c>
      <c r="K349" s="7" t="s">
        <v>998</v>
      </c>
      <c r="L349" s="7">
        <v>2</v>
      </c>
      <c r="M349" s="7" t="s">
        <v>997</v>
      </c>
      <c r="N349" s="7" t="s">
        <v>34</v>
      </c>
      <c r="O349" s="7" t="s">
        <v>34</v>
      </c>
      <c r="P349" s="7" t="s">
        <v>34</v>
      </c>
      <c r="Q349" s="7" t="s">
        <v>34</v>
      </c>
      <c r="R349" s="7" t="s">
        <v>34</v>
      </c>
      <c r="S349" s="7" t="s">
        <v>34</v>
      </c>
      <c r="T349" s="7" t="s">
        <v>34</v>
      </c>
      <c r="U349" s="7" t="s">
        <v>34</v>
      </c>
      <c r="V349" s="7">
        <v>1</v>
      </c>
      <c r="W349" s="7" t="s">
        <v>178</v>
      </c>
      <c r="X349" s="7">
        <v>1</v>
      </c>
      <c r="Y349" s="7" t="s">
        <v>909</v>
      </c>
      <c r="Z349" s="7" t="s">
        <v>996</v>
      </c>
      <c r="AA349" s="7">
        <v>24013012</v>
      </c>
      <c r="AB349" s="7">
        <v>1</v>
      </c>
      <c r="AD349" s="7">
        <v>4</v>
      </c>
      <c r="AE349" s="24">
        <v>12</v>
      </c>
      <c r="AF349" s="7">
        <v>6</v>
      </c>
      <c r="AG349" s="7">
        <v>6</v>
      </c>
      <c r="AH349" s="7" t="s">
        <v>1642</v>
      </c>
      <c r="AI349" s="7" t="s">
        <v>1642</v>
      </c>
      <c r="AK349" s="7">
        <v>190</v>
      </c>
      <c r="AN349" s="7">
        <v>190</v>
      </c>
      <c r="AP349" s="7">
        <v>10</v>
      </c>
      <c r="AQ349" s="7" t="s">
        <v>2392</v>
      </c>
      <c r="AS349" s="7" t="s">
        <v>1638</v>
      </c>
      <c r="AT349" s="7" t="s">
        <v>1640</v>
      </c>
      <c r="AU349" s="7" t="s">
        <v>178</v>
      </c>
      <c r="AV349" s="7" t="s">
        <v>1641</v>
      </c>
      <c r="AW349" s="7" t="s">
        <v>1639</v>
      </c>
      <c r="AX349" s="7" t="s">
        <v>2391</v>
      </c>
      <c r="AY349" s="36" t="s">
        <v>1663</v>
      </c>
      <c r="AZ349" s="7" t="s">
        <v>1650</v>
      </c>
      <c r="BA349" s="36">
        <v>300</v>
      </c>
      <c r="BB349" s="7">
        <v>293</v>
      </c>
      <c r="BC349" s="7" t="s">
        <v>2381</v>
      </c>
      <c r="BD349" s="7">
        <v>63.607599999999998</v>
      </c>
      <c r="BF349" s="7">
        <f>68.6709-BD349</f>
        <v>5.0633000000000052</v>
      </c>
      <c r="BG349" s="7" t="s">
        <v>2382</v>
      </c>
      <c r="BH349" s="7">
        <v>15.6646</v>
      </c>
      <c r="BJ349" s="7">
        <f>17.8797-BH349</f>
        <v>2.2150999999999996</v>
      </c>
    </row>
    <row r="350" spans="1:63" x14ac:dyDescent="0.2">
      <c r="A350" s="7">
        <v>93</v>
      </c>
      <c r="B350" s="7" t="s">
        <v>1002</v>
      </c>
      <c r="C350" s="7" t="s">
        <v>1001</v>
      </c>
      <c r="D350" s="7" t="s">
        <v>1000</v>
      </c>
      <c r="E350" s="7" t="s">
        <v>999</v>
      </c>
      <c r="F350" s="7" t="s">
        <v>167</v>
      </c>
      <c r="G350" s="7">
        <v>2013</v>
      </c>
      <c r="H350" s="7">
        <v>41527</v>
      </c>
      <c r="I350" s="7" t="s">
        <v>32</v>
      </c>
      <c r="J350" s="7" t="s">
        <v>32</v>
      </c>
      <c r="K350" s="7" t="s">
        <v>998</v>
      </c>
      <c r="L350" s="7">
        <v>2</v>
      </c>
      <c r="M350" s="7" t="s">
        <v>997</v>
      </c>
      <c r="N350" s="7" t="s">
        <v>34</v>
      </c>
      <c r="O350" s="7" t="s">
        <v>34</v>
      </c>
      <c r="P350" s="7" t="s">
        <v>34</v>
      </c>
      <c r="Q350" s="7" t="s">
        <v>34</v>
      </c>
      <c r="R350" s="7" t="s">
        <v>34</v>
      </c>
      <c r="S350" s="7" t="s">
        <v>34</v>
      </c>
      <c r="T350" s="7" t="s">
        <v>34</v>
      </c>
      <c r="U350" s="7" t="s">
        <v>34</v>
      </c>
      <c r="V350" s="7">
        <v>1</v>
      </c>
      <c r="W350" s="7" t="s">
        <v>178</v>
      </c>
      <c r="X350" s="7">
        <v>1</v>
      </c>
      <c r="Y350" s="7" t="s">
        <v>909</v>
      </c>
      <c r="Z350" s="7" t="s">
        <v>996</v>
      </c>
      <c r="AA350" s="7">
        <v>24013012</v>
      </c>
      <c r="AB350" s="7">
        <v>1</v>
      </c>
      <c r="AD350" s="7">
        <v>4</v>
      </c>
      <c r="AE350" s="24">
        <v>12</v>
      </c>
      <c r="AF350" s="7">
        <v>6</v>
      </c>
      <c r="AG350" s="7">
        <v>6</v>
      </c>
      <c r="AH350" s="7" t="s">
        <v>1642</v>
      </c>
      <c r="AI350" s="7" t="s">
        <v>1642</v>
      </c>
      <c r="AK350" s="7">
        <v>190</v>
      </c>
      <c r="AN350" s="7">
        <v>190</v>
      </c>
      <c r="AP350" s="7">
        <v>10</v>
      </c>
      <c r="AQ350" s="7" t="s">
        <v>2392</v>
      </c>
      <c r="AS350" s="7" t="s">
        <v>1638</v>
      </c>
      <c r="AT350" s="7" t="s">
        <v>1640</v>
      </c>
      <c r="AU350" s="7" t="s">
        <v>178</v>
      </c>
      <c r="AV350" s="7" t="s">
        <v>1641</v>
      </c>
      <c r="AW350" s="7" t="s">
        <v>1639</v>
      </c>
      <c r="AX350" s="7" t="s">
        <v>2391</v>
      </c>
      <c r="AY350" s="36" t="s">
        <v>1663</v>
      </c>
      <c r="AZ350" s="7" t="s">
        <v>1650</v>
      </c>
      <c r="BA350" s="36">
        <v>300</v>
      </c>
      <c r="BB350" s="7">
        <v>293</v>
      </c>
      <c r="BC350" s="7" t="s">
        <v>2395</v>
      </c>
      <c r="BD350" s="7">
        <v>82.278499999999994</v>
      </c>
      <c r="BF350" s="7">
        <f>89.2405-BD350</f>
        <v>6.9620000000000033</v>
      </c>
      <c r="BG350" s="7" t="s">
        <v>2393</v>
      </c>
      <c r="BH350" s="7">
        <v>21.677199999999999</v>
      </c>
      <c r="BJ350" s="7">
        <f>25.4747-BH350</f>
        <v>3.7974999999999994</v>
      </c>
    </row>
    <row r="351" spans="1:63" x14ac:dyDescent="0.2">
      <c r="A351" s="7">
        <v>93</v>
      </c>
      <c r="B351" s="7" t="s">
        <v>1002</v>
      </c>
      <c r="C351" s="7" t="s">
        <v>1001</v>
      </c>
      <c r="D351" s="7" t="s">
        <v>1000</v>
      </c>
      <c r="E351" s="7" t="s">
        <v>999</v>
      </c>
      <c r="F351" s="7" t="s">
        <v>167</v>
      </c>
      <c r="G351" s="7">
        <v>2013</v>
      </c>
      <c r="H351" s="7">
        <v>41527</v>
      </c>
      <c r="I351" s="7" t="s">
        <v>32</v>
      </c>
      <c r="J351" s="7" t="s">
        <v>32</v>
      </c>
      <c r="K351" s="7" t="s">
        <v>998</v>
      </c>
      <c r="L351" s="7">
        <v>2</v>
      </c>
      <c r="M351" s="7" t="s">
        <v>997</v>
      </c>
      <c r="N351" s="7" t="s">
        <v>34</v>
      </c>
      <c r="O351" s="7" t="s">
        <v>34</v>
      </c>
      <c r="P351" s="7" t="s">
        <v>34</v>
      </c>
      <c r="Q351" s="7" t="s">
        <v>34</v>
      </c>
      <c r="R351" s="7" t="s">
        <v>34</v>
      </c>
      <c r="S351" s="7" t="s">
        <v>34</v>
      </c>
      <c r="T351" s="7" t="s">
        <v>34</v>
      </c>
      <c r="U351" s="7" t="s">
        <v>34</v>
      </c>
      <c r="V351" s="7">
        <v>1</v>
      </c>
      <c r="W351" s="7" t="s">
        <v>178</v>
      </c>
      <c r="X351" s="7">
        <v>1</v>
      </c>
      <c r="Y351" s="7" t="s">
        <v>909</v>
      </c>
      <c r="Z351" s="7" t="s">
        <v>996</v>
      </c>
      <c r="AA351" s="7">
        <v>24013012</v>
      </c>
      <c r="AB351" s="7">
        <v>1</v>
      </c>
      <c r="AD351" s="7">
        <v>4</v>
      </c>
      <c r="AE351" s="24">
        <v>12</v>
      </c>
      <c r="AF351" s="7">
        <v>6</v>
      </c>
      <c r="AG351" s="7">
        <v>6</v>
      </c>
      <c r="AH351" s="7" t="s">
        <v>1642</v>
      </c>
      <c r="AI351" s="7" t="s">
        <v>1642</v>
      </c>
      <c r="AK351" s="7">
        <v>190</v>
      </c>
      <c r="AN351" s="7">
        <v>190</v>
      </c>
      <c r="AP351" s="7">
        <v>10</v>
      </c>
      <c r="AQ351" s="7" t="s">
        <v>2392</v>
      </c>
      <c r="AS351" s="7" t="s">
        <v>1638</v>
      </c>
      <c r="AT351" s="7" t="s">
        <v>1640</v>
      </c>
      <c r="AU351" s="7" t="s">
        <v>178</v>
      </c>
      <c r="AV351" s="7" t="s">
        <v>1641</v>
      </c>
      <c r="AW351" s="7" t="s">
        <v>1639</v>
      </c>
      <c r="AX351" s="7" t="s">
        <v>2391</v>
      </c>
      <c r="AY351" s="36" t="s">
        <v>1663</v>
      </c>
      <c r="AZ351" s="7" t="s">
        <v>1650</v>
      </c>
      <c r="BA351" s="36">
        <v>300</v>
      </c>
      <c r="BB351" s="7">
        <v>293</v>
      </c>
      <c r="BC351" s="7" t="s">
        <v>2396</v>
      </c>
      <c r="BD351" s="7">
        <v>72.468400000000003</v>
      </c>
      <c r="BF351" s="7">
        <f>77.5316-BD351</f>
        <v>5.0631999999999948</v>
      </c>
      <c r="BG351" s="7" t="s">
        <v>2394</v>
      </c>
      <c r="BH351" s="7">
        <v>17.0886</v>
      </c>
      <c r="BJ351" s="7">
        <f>20.4114-BH351</f>
        <v>3.3228000000000009</v>
      </c>
    </row>
    <row r="352" spans="1:63" x14ac:dyDescent="0.2">
      <c r="A352" s="7">
        <v>94</v>
      </c>
      <c r="B352" s="7" t="s">
        <v>995</v>
      </c>
      <c r="C352" s="7" t="s">
        <v>994</v>
      </c>
      <c r="D352" s="7" t="s">
        <v>993</v>
      </c>
      <c r="E352" s="7" t="s">
        <v>992</v>
      </c>
      <c r="F352" s="7" t="s">
        <v>468</v>
      </c>
      <c r="G352" s="7">
        <v>2013</v>
      </c>
      <c r="H352" s="7">
        <v>41478</v>
      </c>
      <c r="I352" s="7" t="s">
        <v>32</v>
      </c>
      <c r="J352" s="7" t="s">
        <v>32</v>
      </c>
      <c r="K352" s="7" t="s">
        <v>991</v>
      </c>
      <c r="L352" s="7">
        <v>2</v>
      </c>
      <c r="M352" s="7" t="s">
        <v>32</v>
      </c>
      <c r="N352" s="7" t="s">
        <v>34</v>
      </c>
      <c r="O352" s="7" t="s">
        <v>190</v>
      </c>
      <c r="P352" s="7" t="s">
        <v>34</v>
      </c>
      <c r="Q352" s="7" t="s">
        <v>34</v>
      </c>
      <c r="R352" s="7" t="s">
        <v>739</v>
      </c>
      <c r="S352" s="7" t="s">
        <v>34</v>
      </c>
      <c r="T352" s="7" t="s">
        <v>34</v>
      </c>
      <c r="U352" s="7" t="s">
        <v>32</v>
      </c>
      <c r="V352" s="7">
        <v>1</v>
      </c>
      <c r="W352" s="7" t="s">
        <v>34</v>
      </c>
      <c r="X352" s="7" t="s">
        <v>32</v>
      </c>
      <c r="Y352" s="7" t="s">
        <v>32</v>
      </c>
      <c r="Z352" s="7" t="s">
        <v>32</v>
      </c>
      <c r="AA352" s="7">
        <v>23871471</v>
      </c>
      <c r="AB352" s="7">
        <v>1</v>
      </c>
      <c r="AD352" s="7">
        <v>4</v>
      </c>
      <c r="AE352" s="24">
        <v>20</v>
      </c>
      <c r="AF352" s="7">
        <v>10</v>
      </c>
      <c r="AG352" s="7">
        <v>10</v>
      </c>
      <c r="AH352" s="7" t="s">
        <v>1642</v>
      </c>
      <c r="AI352" s="7" t="s">
        <v>1642</v>
      </c>
      <c r="AK352" s="7">
        <v>275</v>
      </c>
      <c r="AN352" s="7">
        <v>275</v>
      </c>
      <c r="AR352" s="7" t="s">
        <v>1675</v>
      </c>
      <c r="AS352" s="7" t="s">
        <v>1667</v>
      </c>
      <c r="AT352" s="7" t="s">
        <v>1640</v>
      </c>
      <c r="AU352" s="7" t="s">
        <v>34</v>
      </c>
      <c r="AV352" s="7" t="s">
        <v>1641</v>
      </c>
      <c r="AW352" s="7" t="s">
        <v>1678</v>
      </c>
      <c r="AX352" s="9" t="s">
        <v>2397</v>
      </c>
      <c r="AY352" s="36" t="s">
        <v>1684</v>
      </c>
      <c r="AZ352" s="7" t="s">
        <v>1769</v>
      </c>
      <c r="BA352" s="36">
        <v>301</v>
      </c>
      <c r="BB352" s="7">
        <v>294</v>
      </c>
      <c r="BC352" s="7" t="s">
        <v>2398</v>
      </c>
      <c r="BD352" s="7">
        <v>14.1226</v>
      </c>
      <c r="BF352" s="7">
        <f>16.4521-BD352</f>
        <v>2.3295000000000012</v>
      </c>
      <c r="BG352" s="7" t="s">
        <v>2401</v>
      </c>
      <c r="BH352" s="7">
        <v>11.4757</v>
      </c>
      <c r="BJ352" s="7">
        <f>15.2875-BH352</f>
        <v>3.8117999999999999</v>
      </c>
      <c r="BK352" s="9" t="s">
        <v>2404</v>
      </c>
    </row>
    <row r="353" spans="1:63" x14ac:dyDescent="0.2">
      <c r="A353" s="7">
        <v>94</v>
      </c>
      <c r="B353" s="7" t="s">
        <v>995</v>
      </c>
      <c r="C353" s="7" t="s">
        <v>994</v>
      </c>
      <c r="D353" s="7" t="s">
        <v>993</v>
      </c>
      <c r="E353" s="7" t="s">
        <v>992</v>
      </c>
      <c r="F353" s="7" t="s">
        <v>468</v>
      </c>
      <c r="G353" s="7">
        <v>2013</v>
      </c>
      <c r="H353" s="7">
        <v>41478</v>
      </c>
      <c r="I353" s="7" t="s">
        <v>32</v>
      </c>
      <c r="J353" s="7" t="s">
        <v>32</v>
      </c>
      <c r="K353" s="7" t="s">
        <v>991</v>
      </c>
      <c r="L353" s="7">
        <v>2</v>
      </c>
      <c r="M353" s="7" t="s">
        <v>32</v>
      </c>
      <c r="N353" s="7" t="s">
        <v>34</v>
      </c>
      <c r="O353" s="7" t="s">
        <v>190</v>
      </c>
      <c r="P353" s="7" t="s">
        <v>34</v>
      </c>
      <c r="Q353" s="7" t="s">
        <v>34</v>
      </c>
      <c r="R353" s="7" t="s">
        <v>739</v>
      </c>
      <c r="S353" s="7" t="s">
        <v>34</v>
      </c>
      <c r="T353" s="7" t="s">
        <v>34</v>
      </c>
      <c r="U353" s="7" t="s">
        <v>32</v>
      </c>
      <c r="V353" s="7">
        <v>1</v>
      </c>
      <c r="W353" s="7" t="s">
        <v>34</v>
      </c>
      <c r="X353" s="7" t="s">
        <v>32</v>
      </c>
      <c r="Y353" s="7" t="s">
        <v>32</v>
      </c>
      <c r="Z353" s="7" t="s">
        <v>32</v>
      </c>
      <c r="AA353" s="7">
        <v>23871471</v>
      </c>
      <c r="AB353" s="7">
        <v>1</v>
      </c>
      <c r="AD353" s="7">
        <v>4</v>
      </c>
      <c r="AE353" s="24">
        <v>20</v>
      </c>
      <c r="AF353" s="7">
        <v>10</v>
      </c>
      <c r="AG353" s="7">
        <v>10</v>
      </c>
      <c r="AH353" s="7" t="s">
        <v>1642</v>
      </c>
      <c r="AI353" s="7" t="s">
        <v>1642</v>
      </c>
      <c r="AK353" s="7">
        <v>275</v>
      </c>
      <c r="AN353" s="7">
        <v>275</v>
      </c>
      <c r="AR353" s="7" t="s">
        <v>1675</v>
      </c>
      <c r="AS353" s="7" t="s">
        <v>1667</v>
      </c>
      <c r="AT353" s="7" t="s">
        <v>1640</v>
      </c>
      <c r="AU353" s="7" t="s">
        <v>34</v>
      </c>
      <c r="AV353" s="7" t="s">
        <v>1641</v>
      </c>
      <c r="AW353" s="7" t="s">
        <v>1678</v>
      </c>
      <c r="AX353" s="9" t="s">
        <v>2397</v>
      </c>
      <c r="AY353" s="7" t="s">
        <v>1684</v>
      </c>
      <c r="AZ353" s="7" t="s">
        <v>1769</v>
      </c>
      <c r="BA353" s="36">
        <v>301</v>
      </c>
      <c r="BB353" s="7">
        <v>294</v>
      </c>
      <c r="BC353" s="7" t="s">
        <v>2399</v>
      </c>
      <c r="BD353" s="7">
        <v>36.846800000000002</v>
      </c>
      <c r="BF353" s="7">
        <f>40.8706-BD353</f>
        <v>4.0238000000000014</v>
      </c>
      <c r="BG353" s="7" t="s">
        <v>2402</v>
      </c>
      <c r="BH353" s="7">
        <v>5.8234300000000001</v>
      </c>
      <c r="BJ353" s="7">
        <f>8.15285-BH353</f>
        <v>2.3294200000000007</v>
      </c>
    </row>
    <row r="354" spans="1:63" x14ac:dyDescent="0.2">
      <c r="A354" s="7">
        <v>94</v>
      </c>
      <c r="B354" s="7" t="s">
        <v>995</v>
      </c>
      <c r="C354" s="7" t="s">
        <v>994</v>
      </c>
      <c r="D354" s="7" t="s">
        <v>993</v>
      </c>
      <c r="E354" s="7" t="s">
        <v>992</v>
      </c>
      <c r="F354" s="7" t="s">
        <v>468</v>
      </c>
      <c r="G354" s="7">
        <v>2013</v>
      </c>
      <c r="H354" s="7">
        <v>41478</v>
      </c>
      <c r="I354" s="7" t="s">
        <v>32</v>
      </c>
      <c r="J354" s="7" t="s">
        <v>32</v>
      </c>
      <c r="K354" s="7" t="s">
        <v>991</v>
      </c>
      <c r="L354" s="7">
        <v>2</v>
      </c>
      <c r="M354" s="7" t="s">
        <v>32</v>
      </c>
      <c r="N354" s="7" t="s">
        <v>34</v>
      </c>
      <c r="O354" s="7" t="s">
        <v>190</v>
      </c>
      <c r="P354" s="7" t="s">
        <v>34</v>
      </c>
      <c r="Q354" s="7" t="s">
        <v>34</v>
      </c>
      <c r="R354" s="7" t="s">
        <v>739</v>
      </c>
      <c r="S354" s="7" t="s">
        <v>34</v>
      </c>
      <c r="T354" s="7" t="s">
        <v>34</v>
      </c>
      <c r="U354" s="7" t="s">
        <v>32</v>
      </c>
      <c r="V354" s="7">
        <v>1</v>
      </c>
      <c r="W354" s="7" t="s">
        <v>34</v>
      </c>
      <c r="X354" s="7" t="s">
        <v>32</v>
      </c>
      <c r="Y354" s="7" t="s">
        <v>32</v>
      </c>
      <c r="Z354" s="7" t="s">
        <v>32</v>
      </c>
      <c r="AA354" s="7">
        <v>23871471</v>
      </c>
      <c r="AB354" s="7">
        <v>1</v>
      </c>
      <c r="AD354" s="7">
        <v>4</v>
      </c>
      <c r="AE354" s="24">
        <v>20</v>
      </c>
      <c r="AF354" s="7">
        <v>10</v>
      </c>
      <c r="AG354" s="7">
        <v>10</v>
      </c>
      <c r="AH354" s="7" t="s">
        <v>1642</v>
      </c>
      <c r="AI354" s="7" t="s">
        <v>1642</v>
      </c>
      <c r="AK354" s="7">
        <v>275</v>
      </c>
      <c r="AN354" s="7">
        <v>275</v>
      </c>
      <c r="AR354" s="7" t="s">
        <v>1675</v>
      </c>
      <c r="AS354" s="7" t="s">
        <v>1667</v>
      </c>
      <c r="AT354" s="7" t="s">
        <v>1640</v>
      </c>
      <c r="AU354" s="7" t="s">
        <v>34</v>
      </c>
      <c r="AV354" s="7" t="s">
        <v>1641</v>
      </c>
      <c r="AW354" s="7" t="s">
        <v>1678</v>
      </c>
      <c r="AX354" s="9" t="s">
        <v>2397</v>
      </c>
      <c r="AY354" s="7" t="s">
        <v>1684</v>
      </c>
      <c r="AZ354" s="7" t="s">
        <v>1769</v>
      </c>
      <c r="BA354" s="36">
        <v>301</v>
      </c>
      <c r="BB354" s="7">
        <v>294</v>
      </c>
      <c r="BC354" s="7" t="s">
        <v>2400</v>
      </c>
      <c r="BD354" s="7">
        <v>24.828299999999999</v>
      </c>
      <c r="BF354" s="7">
        <f>27.9262-BD354</f>
        <v>3.0979000000000028</v>
      </c>
      <c r="BG354" s="7" t="s">
        <v>2403</v>
      </c>
      <c r="BH354" s="7">
        <v>8.1877200000000006</v>
      </c>
      <c r="BJ354" s="7">
        <f>10.0355-BH354</f>
        <v>1.8477800000000002</v>
      </c>
      <c r="BK354" s="9" t="s">
        <v>2405</v>
      </c>
    </row>
    <row r="355" spans="1:63" x14ac:dyDescent="0.2">
      <c r="A355" s="7">
        <v>95</v>
      </c>
      <c r="B355" s="7" t="s">
        <v>990</v>
      </c>
      <c r="C355" s="7" t="s">
        <v>989</v>
      </c>
      <c r="D355" s="7" t="s">
        <v>988</v>
      </c>
      <c r="E355" s="7" t="s">
        <v>987</v>
      </c>
      <c r="F355" s="7" t="s">
        <v>336</v>
      </c>
      <c r="G355" s="7">
        <v>2013</v>
      </c>
      <c r="H355" s="7">
        <v>41436</v>
      </c>
      <c r="I355" s="7" t="s">
        <v>986</v>
      </c>
      <c r="J355" s="7" t="s">
        <v>32</v>
      </c>
      <c r="K355" s="7" t="s">
        <v>985</v>
      </c>
      <c r="L355" s="7">
        <v>2</v>
      </c>
      <c r="M355" s="7" t="s">
        <v>32</v>
      </c>
      <c r="N355" s="7" t="s">
        <v>34</v>
      </c>
      <c r="O355" s="7" t="s">
        <v>190</v>
      </c>
      <c r="P355" s="7" t="s">
        <v>34</v>
      </c>
      <c r="Q355" s="7" t="s">
        <v>34</v>
      </c>
      <c r="R355" s="7" t="s">
        <v>34</v>
      </c>
      <c r="S355" s="7" t="s">
        <v>34</v>
      </c>
      <c r="T355" s="7" t="s">
        <v>34</v>
      </c>
      <c r="U355" s="7" t="s">
        <v>32</v>
      </c>
      <c r="V355" s="7">
        <v>1</v>
      </c>
      <c r="W355" s="7" t="s">
        <v>32</v>
      </c>
      <c r="X355" s="7" t="s">
        <v>32</v>
      </c>
      <c r="Y355" s="7" t="s">
        <v>32</v>
      </c>
      <c r="Z355" s="7" t="s">
        <v>32</v>
      </c>
      <c r="AA355" s="7">
        <v>23750131</v>
      </c>
      <c r="AB355" s="7">
        <v>1</v>
      </c>
      <c r="AD355" s="7">
        <v>5</v>
      </c>
      <c r="AE355" s="24">
        <v>16</v>
      </c>
      <c r="AF355" s="7">
        <v>8</v>
      </c>
      <c r="AG355" s="7">
        <v>8</v>
      </c>
      <c r="AH355" s="7" t="s">
        <v>1642</v>
      </c>
      <c r="AI355" s="7" t="s">
        <v>1642</v>
      </c>
      <c r="AJ355" s="7" t="s">
        <v>1995</v>
      </c>
      <c r="AM355" s="7" t="s">
        <v>1995</v>
      </c>
      <c r="AP355" s="7">
        <v>2</v>
      </c>
      <c r="AQ355" s="7" t="s">
        <v>1787</v>
      </c>
      <c r="AR355" s="7" t="s">
        <v>1814</v>
      </c>
      <c r="AS355" s="7" t="s">
        <v>1667</v>
      </c>
      <c r="AT355" s="7" t="s">
        <v>2407</v>
      </c>
      <c r="AU355" s="7" t="s">
        <v>178</v>
      </c>
      <c r="AV355" s="7" t="s">
        <v>1888</v>
      </c>
      <c r="AW355" s="7" t="s">
        <v>1678</v>
      </c>
      <c r="AX355" s="7" t="s">
        <v>2406</v>
      </c>
      <c r="AY355" s="7" t="s">
        <v>1750</v>
      </c>
      <c r="AZ355" s="7" t="s">
        <v>1650</v>
      </c>
      <c r="BA355" s="36">
        <v>302</v>
      </c>
      <c r="BB355" s="7">
        <v>295</v>
      </c>
      <c r="BC355" s="7" t="s">
        <v>2164</v>
      </c>
      <c r="BD355" s="7">
        <v>22.657800000000002</v>
      </c>
      <c r="BF355" s="7">
        <f>28.1312-BD355</f>
        <v>5.473399999999998</v>
      </c>
      <c r="BG355" s="7" t="s">
        <v>2165</v>
      </c>
      <c r="BH355" s="7">
        <v>2.61341</v>
      </c>
      <c r="BJ355" s="7">
        <f>3.42702-BH355</f>
        <v>0.81361000000000017</v>
      </c>
    </row>
    <row r="356" spans="1:63" ht="14" customHeight="1" x14ac:dyDescent="0.2">
      <c r="A356" s="7">
        <v>96</v>
      </c>
      <c r="B356" s="7" t="s">
        <v>984</v>
      </c>
      <c r="C356" s="7" t="s">
        <v>983</v>
      </c>
      <c r="D356" s="7" t="s">
        <v>982</v>
      </c>
      <c r="E356" s="7" t="s">
        <v>981</v>
      </c>
      <c r="F356" s="7" t="s">
        <v>101</v>
      </c>
      <c r="G356" s="7">
        <v>2013</v>
      </c>
      <c r="H356" s="7">
        <v>41432</v>
      </c>
      <c r="I356" s="7" t="s">
        <v>980</v>
      </c>
      <c r="J356" s="7" t="s">
        <v>979</v>
      </c>
      <c r="K356" s="7" t="s">
        <v>978</v>
      </c>
      <c r="L356" s="7" t="s">
        <v>977</v>
      </c>
      <c r="M356" s="7" t="s">
        <v>976</v>
      </c>
      <c r="N356" s="7" t="s">
        <v>975</v>
      </c>
      <c r="O356" s="7" t="s">
        <v>974</v>
      </c>
      <c r="P356" s="7" t="s">
        <v>34</v>
      </c>
      <c r="Q356" s="7" t="s">
        <v>34</v>
      </c>
      <c r="R356" s="7" t="s">
        <v>34</v>
      </c>
      <c r="S356" s="7" t="s">
        <v>34</v>
      </c>
      <c r="T356" s="7" t="s">
        <v>34</v>
      </c>
      <c r="U356" s="7" t="s">
        <v>34</v>
      </c>
      <c r="V356" s="7">
        <v>1</v>
      </c>
      <c r="W356" s="7" t="s">
        <v>178</v>
      </c>
      <c r="X356" s="7">
        <v>1</v>
      </c>
      <c r="Y356" s="7" t="s">
        <v>973</v>
      </c>
      <c r="Z356" s="7" t="s">
        <v>972</v>
      </c>
      <c r="AA356" s="7">
        <v>23740899</v>
      </c>
      <c r="AB356" s="7">
        <v>1</v>
      </c>
      <c r="AD356" s="7">
        <v>5</v>
      </c>
      <c r="AE356" s="24">
        <v>20</v>
      </c>
      <c r="AF356" s="7">
        <v>10</v>
      </c>
      <c r="AG356" s="7">
        <v>10</v>
      </c>
      <c r="AH356" s="7" t="s">
        <v>1642</v>
      </c>
      <c r="AI356" s="7" t="s">
        <v>1642</v>
      </c>
      <c r="AJ356" s="7" t="s">
        <v>1867</v>
      </c>
      <c r="AM356" s="7" t="s">
        <v>1867</v>
      </c>
      <c r="AR356" s="7" t="s">
        <v>2210</v>
      </c>
      <c r="AS356" s="7" t="s">
        <v>1878</v>
      </c>
      <c r="AT356" s="7" t="s">
        <v>1895</v>
      </c>
      <c r="AU356" s="7" t="s">
        <v>178</v>
      </c>
      <c r="AV356" s="7" t="s">
        <v>1653</v>
      </c>
      <c r="AW356" s="7" t="s">
        <v>1687</v>
      </c>
      <c r="AX356" s="7" t="s">
        <v>2408</v>
      </c>
      <c r="AY356" s="7" t="s">
        <v>1695</v>
      </c>
      <c r="AZ356" s="7" t="s">
        <v>1650</v>
      </c>
      <c r="BA356" s="36">
        <v>303</v>
      </c>
      <c r="BB356" s="7">
        <v>296</v>
      </c>
      <c r="BC356" s="7" t="s">
        <v>2409</v>
      </c>
      <c r="BD356" s="7">
        <v>73.476100000000002</v>
      </c>
      <c r="BF356" s="7">
        <f>81.017-BD356</f>
        <v>7.5408999999999935</v>
      </c>
      <c r="BG356" s="7" t="s">
        <v>2415</v>
      </c>
      <c r="BH356" s="7">
        <v>72.985600000000005</v>
      </c>
      <c r="BJ356" s="7">
        <f>79.1164-BH356</f>
        <v>6.1307999999999936</v>
      </c>
    </row>
    <row r="357" spans="1:63" ht="14" customHeight="1" x14ac:dyDescent="0.2">
      <c r="A357" s="7">
        <v>96</v>
      </c>
      <c r="B357" s="7" t="s">
        <v>984</v>
      </c>
      <c r="C357" s="7" t="s">
        <v>983</v>
      </c>
      <c r="D357" s="7" t="s">
        <v>982</v>
      </c>
      <c r="E357" s="7" t="s">
        <v>981</v>
      </c>
      <c r="F357" s="7" t="s">
        <v>101</v>
      </c>
      <c r="G357" s="7">
        <v>2013</v>
      </c>
      <c r="H357" s="7">
        <v>41432</v>
      </c>
      <c r="I357" s="7" t="s">
        <v>980</v>
      </c>
      <c r="J357" s="7" t="s">
        <v>979</v>
      </c>
      <c r="K357" s="7" t="s">
        <v>978</v>
      </c>
      <c r="L357" s="7" t="s">
        <v>977</v>
      </c>
      <c r="M357" s="7" t="s">
        <v>976</v>
      </c>
      <c r="N357" s="7" t="s">
        <v>975</v>
      </c>
      <c r="O357" s="7" t="s">
        <v>974</v>
      </c>
      <c r="P357" s="7" t="s">
        <v>34</v>
      </c>
      <c r="Q357" s="7" t="s">
        <v>34</v>
      </c>
      <c r="R357" s="7" t="s">
        <v>34</v>
      </c>
      <c r="S357" s="7" t="s">
        <v>34</v>
      </c>
      <c r="T357" s="7" t="s">
        <v>34</v>
      </c>
      <c r="U357" s="7" t="s">
        <v>34</v>
      </c>
      <c r="V357" s="7">
        <v>1</v>
      </c>
      <c r="W357" s="7" t="s">
        <v>178</v>
      </c>
      <c r="X357" s="7">
        <v>1</v>
      </c>
      <c r="Y357" s="7" t="s">
        <v>973</v>
      </c>
      <c r="Z357" s="7" t="s">
        <v>972</v>
      </c>
      <c r="AA357" s="7">
        <v>23740899</v>
      </c>
      <c r="AB357" s="7">
        <v>1</v>
      </c>
      <c r="AD357" s="7">
        <v>5</v>
      </c>
      <c r="AE357" s="24">
        <v>20</v>
      </c>
      <c r="AF357" s="7">
        <v>10</v>
      </c>
      <c r="AG357" s="7">
        <v>10</v>
      </c>
      <c r="AH357" s="7" t="s">
        <v>1642</v>
      </c>
      <c r="AI357" s="7" t="s">
        <v>1642</v>
      </c>
      <c r="AJ357" s="7" t="s">
        <v>1867</v>
      </c>
      <c r="AM357" s="7" t="s">
        <v>1867</v>
      </c>
      <c r="AR357" s="7" t="s">
        <v>2210</v>
      </c>
      <c r="AS357" s="7" t="s">
        <v>1878</v>
      </c>
      <c r="AT357" s="7" t="s">
        <v>1895</v>
      </c>
      <c r="AU357" s="7" t="s">
        <v>178</v>
      </c>
      <c r="AV357" s="7" t="s">
        <v>1653</v>
      </c>
      <c r="AW357" s="7" t="s">
        <v>1687</v>
      </c>
      <c r="AX357" s="7" t="s">
        <v>2408</v>
      </c>
      <c r="AY357" s="7" t="s">
        <v>1695</v>
      </c>
      <c r="AZ357" s="7" t="s">
        <v>1650</v>
      </c>
      <c r="BA357" s="36">
        <v>303</v>
      </c>
      <c r="BB357" s="7">
        <v>296</v>
      </c>
      <c r="BC357" s="7" t="s">
        <v>2410</v>
      </c>
      <c r="BD357" s="7">
        <v>29.475100000000001</v>
      </c>
      <c r="BF357" s="7">
        <f>37.7519-BD357</f>
        <v>8.2767999999999979</v>
      </c>
      <c r="BG357" s="7" t="s">
        <v>2416</v>
      </c>
      <c r="BH357" s="7">
        <v>30.517299999999999</v>
      </c>
      <c r="BJ357" s="7">
        <f>40.0814-BH357</f>
        <v>9.5641000000000034</v>
      </c>
    </row>
    <row r="358" spans="1:63" ht="14" customHeight="1" x14ac:dyDescent="0.2">
      <c r="A358" s="7">
        <v>96</v>
      </c>
      <c r="B358" s="7" t="s">
        <v>984</v>
      </c>
      <c r="C358" s="7" t="s">
        <v>983</v>
      </c>
      <c r="D358" s="7" t="s">
        <v>982</v>
      </c>
      <c r="E358" s="7" t="s">
        <v>981</v>
      </c>
      <c r="F358" s="7" t="s">
        <v>101</v>
      </c>
      <c r="G358" s="7">
        <v>2013</v>
      </c>
      <c r="H358" s="7">
        <v>41432</v>
      </c>
      <c r="I358" s="7" t="s">
        <v>980</v>
      </c>
      <c r="J358" s="7" t="s">
        <v>979</v>
      </c>
      <c r="K358" s="7" t="s">
        <v>978</v>
      </c>
      <c r="L358" s="7" t="s">
        <v>977</v>
      </c>
      <c r="M358" s="7" t="s">
        <v>976</v>
      </c>
      <c r="N358" s="7" t="s">
        <v>975</v>
      </c>
      <c r="O358" s="7" t="s">
        <v>974</v>
      </c>
      <c r="P358" s="7" t="s">
        <v>34</v>
      </c>
      <c r="Q358" s="7" t="s">
        <v>34</v>
      </c>
      <c r="R358" s="7" t="s">
        <v>34</v>
      </c>
      <c r="S358" s="7" t="s">
        <v>34</v>
      </c>
      <c r="T358" s="7" t="s">
        <v>34</v>
      </c>
      <c r="U358" s="7" t="s">
        <v>34</v>
      </c>
      <c r="V358" s="7">
        <v>1</v>
      </c>
      <c r="W358" s="7" t="s">
        <v>178</v>
      </c>
      <c r="X358" s="7">
        <v>1</v>
      </c>
      <c r="Y358" s="7" t="s">
        <v>973</v>
      </c>
      <c r="Z358" s="7" t="s">
        <v>972</v>
      </c>
      <c r="AA358" s="7">
        <v>23740899</v>
      </c>
      <c r="AB358" s="7">
        <v>1</v>
      </c>
      <c r="AD358" s="7">
        <v>5</v>
      </c>
      <c r="AE358" s="24">
        <v>20</v>
      </c>
      <c r="AF358" s="7">
        <v>10</v>
      </c>
      <c r="AG358" s="7">
        <v>10</v>
      </c>
      <c r="AH358" s="7" t="s">
        <v>1642</v>
      </c>
      <c r="AI358" s="7" t="s">
        <v>1642</v>
      </c>
      <c r="AJ358" s="7" t="s">
        <v>1867</v>
      </c>
      <c r="AM358" s="7" t="s">
        <v>1867</v>
      </c>
      <c r="AR358" s="7" t="s">
        <v>2210</v>
      </c>
      <c r="AS358" s="7" t="s">
        <v>1878</v>
      </c>
      <c r="AT358" s="7" t="s">
        <v>1895</v>
      </c>
      <c r="AU358" s="7" t="s">
        <v>178</v>
      </c>
      <c r="AV358" s="7" t="s">
        <v>2095</v>
      </c>
      <c r="AW358" s="7" t="s">
        <v>1687</v>
      </c>
      <c r="AX358" s="7" t="s">
        <v>2408</v>
      </c>
      <c r="AY358" s="7" t="s">
        <v>1695</v>
      </c>
      <c r="AZ358" s="7" t="s">
        <v>1650</v>
      </c>
      <c r="BA358" s="36">
        <v>303</v>
      </c>
      <c r="BB358" s="7">
        <v>296</v>
      </c>
      <c r="BC358" s="7" t="s">
        <v>2411</v>
      </c>
      <c r="BD358" s="7">
        <v>25.232399999999998</v>
      </c>
      <c r="BF358" s="7">
        <f>33.509-BD358</f>
        <v>8.276600000000002</v>
      </c>
      <c r="BG358" s="7" t="s">
        <v>2417</v>
      </c>
      <c r="BH358" s="7">
        <v>34.673699999999997</v>
      </c>
      <c r="BJ358" s="7">
        <f>44.9734-BH358</f>
        <v>10.299700000000001</v>
      </c>
    </row>
    <row r="359" spans="1:63" ht="14" customHeight="1" x14ac:dyDescent="0.2">
      <c r="A359" s="7">
        <v>96</v>
      </c>
      <c r="B359" s="7" t="s">
        <v>984</v>
      </c>
      <c r="C359" s="7" t="s">
        <v>983</v>
      </c>
      <c r="D359" s="7" t="s">
        <v>982</v>
      </c>
      <c r="E359" s="7" t="s">
        <v>981</v>
      </c>
      <c r="F359" s="7" t="s">
        <v>101</v>
      </c>
      <c r="G359" s="7">
        <v>2013</v>
      </c>
      <c r="H359" s="7">
        <v>41432</v>
      </c>
      <c r="I359" s="7" t="s">
        <v>980</v>
      </c>
      <c r="J359" s="7" t="s">
        <v>979</v>
      </c>
      <c r="K359" s="7" t="s">
        <v>978</v>
      </c>
      <c r="L359" s="7" t="s">
        <v>977</v>
      </c>
      <c r="M359" s="7" t="s">
        <v>976</v>
      </c>
      <c r="N359" s="7" t="s">
        <v>975</v>
      </c>
      <c r="O359" s="7" t="s">
        <v>974</v>
      </c>
      <c r="P359" s="7" t="s">
        <v>34</v>
      </c>
      <c r="Q359" s="7" t="s">
        <v>34</v>
      </c>
      <c r="R359" s="7" t="s">
        <v>34</v>
      </c>
      <c r="S359" s="7" t="s">
        <v>34</v>
      </c>
      <c r="T359" s="7" t="s">
        <v>34</v>
      </c>
      <c r="U359" s="7" t="s">
        <v>34</v>
      </c>
      <c r="V359" s="7">
        <v>1</v>
      </c>
      <c r="W359" s="7" t="s">
        <v>178</v>
      </c>
      <c r="X359" s="7">
        <v>1</v>
      </c>
      <c r="Y359" s="7" t="s">
        <v>973</v>
      </c>
      <c r="Z359" s="7" t="s">
        <v>972</v>
      </c>
      <c r="AA359" s="7">
        <v>23740899</v>
      </c>
      <c r="AB359" s="7">
        <v>1</v>
      </c>
      <c r="AD359" s="7">
        <v>5</v>
      </c>
      <c r="AE359" s="24">
        <v>20</v>
      </c>
      <c r="AF359" s="7">
        <v>10</v>
      </c>
      <c r="AG359" s="7">
        <v>10</v>
      </c>
      <c r="AH359" s="7" t="s">
        <v>1642</v>
      </c>
      <c r="AI359" s="7" t="s">
        <v>1642</v>
      </c>
      <c r="AJ359" s="7" t="s">
        <v>1867</v>
      </c>
      <c r="AM359" s="7" t="s">
        <v>1867</v>
      </c>
      <c r="AR359" s="7" t="s">
        <v>2210</v>
      </c>
      <c r="AS359" s="7" t="s">
        <v>1878</v>
      </c>
      <c r="AT359" s="7" t="s">
        <v>1895</v>
      </c>
      <c r="AU359" s="7" t="s">
        <v>178</v>
      </c>
      <c r="AV359" s="7" t="s">
        <v>2095</v>
      </c>
      <c r="AW359" s="7" t="s">
        <v>1687</v>
      </c>
      <c r="AX359" s="7" t="s">
        <v>2408</v>
      </c>
      <c r="AY359" s="7" t="s">
        <v>1695</v>
      </c>
      <c r="AZ359" s="7" t="s">
        <v>1650</v>
      </c>
      <c r="BA359" s="36">
        <v>303</v>
      </c>
      <c r="BB359" s="7">
        <v>296</v>
      </c>
      <c r="BC359" s="7" t="s">
        <v>2412</v>
      </c>
      <c r="BD359" s="7">
        <v>25.374300000000002</v>
      </c>
      <c r="BF359" s="7">
        <f>34.3866-BD359</f>
        <v>9.0122999999999998</v>
      </c>
      <c r="BG359" s="7" t="s">
        <v>2418</v>
      </c>
      <c r="BH359" s="7">
        <v>22.860399999999998</v>
      </c>
      <c r="BJ359" s="7">
        <f>29.4822-BH359</f>
        <v>6.6218000000000004</v>
      </c>
    </row>
    <row r="360" spans="1:63" ht="14" customHeight="1" x14ac:dyDescent="0.2">
      <c r="A360" s="7">
        <v>96</v>
      </c>
      <c r="B360" s="7" t="s">
        <v>984</v>
      </c>
      <c r="C360" s="7" t="s">
        <v>983</v>
      </c>
      <c r="D360" s="7" t="s">
        <v>982</v>
      </c>
      <c r="E360" s="7" t="s">
        <v>981</v>
      </c>
      <c r="F360" s="7" t="s">
        <v>101</v>
      </c>
      <c r="G360" s="7">
        <v>2013</v>
      </c>
      <c r="H360" s="7">
        <v>41432</v>
      </c>
      <c r="I360" s="7" t="s">
        <v>980</v>
      </c>
      <c r="J360" s="7" t="s">
        <v>979</v>
      </c>
      <c r="K360" s="7" t="s">
        <v>978</v>
      </c>
      <c r="L360" s="7" t="s">
        <v>977</v>
      </c>
      <c r="M360" s="7" t="s">
        <v>976</v>
      </c>
      <c r="N360" s="7" t="s">
        <v>975</v>
      </c>
      <c r="O360" s="7" t="s">
        <v>974</v>
      </c>
      <c r="P360" s="7" t="s">
        <v>34</v>
      </c>
      <c r="Q360" s="7" t="s">
        <v>34</v>
      </c>
      <c r="R360" s="7" t="s">
        <v>34</v>
      </c>
      <c r="S360" s="7" t="s">
        <v>34</v>
      </c>
      <c r="T360" s="7" t="s">
        <v>34</v>
      </c>
      <c r="U360" s="7" t="s">
        <v>34</v>
      </c>
      <c r="V360" s="7">
        <v>1</v>
      </c>
      <c r="W360" s="7" t="s">
        <v>178</v>
      </c>
      <c r="X360" s="7">
        <v>1</v>
      </c>
      <c r="Y360" s="7" t="s">
        <v>973</v>
      </c>
      <c r="Z360" s="7" t="s">
        <v>972</v>
      </c>
      <c r="AA360" s="7">
        <v>23740899</v>
      </c>
      <c r="AB360" s="7">
        <v>1</v>
      </c>
      <c r="AD360" s="7">
        <v>5</v>
      </c>
      <c r="AE360" s="24">
        <v>20</v>
      </c>
      <c r="AF360" s="7">
        <v>10</v>
      </c>
      <c r="AG360" s="7">
        <v>10</v>
      </c>
      <c r="AH360" s="7" t="s">
        <v>1642</v>
      </c>
      <c r="AI360" s="7" t="s">
        <v>1642</v>
      </c>
      <c r="AJ360" s="7" t="s">
        <v>1867</v>
      </c>
      <c r="AM360" s="7" t="s">
        <v>1867</v>
      </c>
      <c r="AR360" s="7" t="s">
        <v>2210</v>
      </c>
      <c r="AS360" s="7" t="s">
        <v>1878</v>
      </c>
      <c r="AT360" s="7" t="s">
        <v>1895</v>
      </c>
      <c r="AU360" s="7" t="s">
        <v>178</v>
      </c>
      <c r="AV360" s="7" t="s">
        <v>1718</v>
      </c>
      <c r="AW360" s="7" t="s">
        <v>1687</v>
      </c>
      <c r="AX360" s="7" t="s">
        <v>2408</v>
      </c>
      <c r="AY360" s="7" t="s">
        <v>1695</v>
      </c>
      <c r="AZ360" s="7" t="s">
        <v>1650</v>
      </c>
      <c r="BA360" s="36">
        <v>303</v>
      </c>
      <c r="BB360" s="7">
        <v>296</v>
      </c>
      <c r="BC360" s="7" t="s">
        <v>2413</v>
      </c>
      <c r="BD360" s="7">
        <v>38.419699999999999</v>
      </c>
      <c r="BF360" s="7">
        <f>48.1681-BD360</f>
        <v>9.7484000000000037</v>
      </c>
      <c r="BG360" s="7" t="s">
        <v>2419</v>
      </c>
      <c r="BH360" s="7">
        <v>38.542499999999997</v>
      </c>
      <c r="BJ360" s="7">
        <f>48.1065-BH360</f>
        <v>9.5640000000000001</v>
      </c>
    </row>
    <row r="361" spans="1:63" ht="14" customHeight="1" x14ac:dyDescent="0.2">
      <c r="A361" s="7">
        <v>96</v>
      </c>
      <c r="B361" s="7" t="s">
        <v>984</v>
      </c>
      <c r="C361" s="7" t="s">
        <v>983</v>
      </c>
      <c r="D361" s="7" t="s">
        <v>982</v>
      </c>
      <c r="E361" s="7" t="s">
        <v>981</v>
      </c>
      <c r="F361" s="7" t="s">
        <v>101</v>
      </c>
      <c r="G361" s="7">
        <v>2013</v>
      </c>
      <c r="H361" s="7">
        <v>41432</v>
      </c>
      <c r="I361" s="7" t="s">
        <v>980</v>
      </c>
      <c r="J361" s="7" t="s">
        <v>979</v>
      </c>
      <c r="K361" s="7" t="s">
        <v>978</v>
      </c>
      <c r="L361" s="7" t="s">
        <v>977</v>
      </c>
      <c r="M361" s="7" t="s">
        <v>976</v>
      </c>
      <c r="N361" s="7" t="s">
        <v>975</v>
      </c>
      <c r="O361" s="7" t="s">
        <v>974</v>
      </c>
      <c r="P361" s="7" t="s">
        <v>34</v>
      </c>
      <c r="Q361" s="7" t="s">
        <v>34</v>
      </c>
      <c r="R361" s="7" t="s">
        <v>34</v>
      </c>
      <c r="S361" s="7" t="s">
        <v>34</v>
      </c>
      <c r="T361" s="7" t="s">
        <v>34</v>
      </c>
      <c r="U361" s="7" t="s">
        <v>34</v>
      </c>
      <c r="V361" s="7">
        <v>1</v>
      </c>
      <c r="W361" s="7" t="s">
        <v>178</v>
      </c>
      <c r="X361" s="7">
        <v>1</v>
      </c>
      <c r="Y361" s="7" t="s">
        <v>973</v>
      </c>
      <c r="Z361" s="7" t="s">
        <v>972</v>
      </c>
      <c r="AA361" s="7">
        <v>23740899</v>
      </c>
      <c r="AB361" s="7">
        <v>1</v>
      </c>
      <c r="AD361" s="7">
        <v>5</v>
      </c>
      <c r="AE361" s="24">
        <v>20</v>
      </c>
      <c r="AF361" s="7">
        <v>10</v>
      </c>
      <c r="AG361" s="7">
        <v>10</v>
      </c>
      <c r="AH361" s="7" t="s">
        <v>1642</v>
      </c>
      <c r="AI361" s="7" t="s">
        <v>1642</v>
      </c>
      <c r="AJ361" s="7" t="s">
        <v>1867</v>
      </c>
      <c r="AM361" s="7" t="s">
        <v>1867</v>
      </c>
      <c r="AR361" s="7" t="s">
        <v>2210</v>
      </c>
      <c r="AS361" s="7" t="s">
        <v>1878</v>
      </c>
      <c r="AT361" s="7" t="s">
        <v>1895</v>
      </c>
      <c r="AU361" s="7" t="s">
        <v>178</v>
      </c>
      <c r="AV361" s="7" t="s">
        <v>1718</v>
      </c>
      <c r="AW361" s="7" t="s">
        <v>1687</v>
      </c>
      <c r="AX361" s="7" t="s">
        <v>2408</v>
      </c>
      <c r="AY361" s="7" t="s">
        <v>1695</v>
      </c>
      <c r="AZ361" s="7" t="s">
        <v>1650</v>
      </c>
      <c r="BA361" s="36">
        <v>303</v>
      </c>
      <c r="BB361" s="7">
        <v>296</v>
      </c>
      <c r="BC361" s="7" t="s">
        <v>2414</v>
      </c>
      <c r="BD361" s="7">
        <v>34.148400000000002</v>
      </c>
      <c r="BF361" s="7">
        <f>42.977-BD361</f>
        <v>8.8285999999999945</v>
      </c>
      <c r="BG361" s="7" t="s">
        <v>2420</v>
      </c>
      <c r="BH361" s="7">
        <v>23.297000000000001</v>
      </c>
      <c r="BJ361" s="7">
        <f>31.1444-BH361</f>
        <v>7.8474000000000004</v>
      </c>
    </row>
    <row r="362" spans="1:63" ht="14" customHeight="1" x14ac:dyDescent="0.2">
      <c r="A362" s="7">
        <v>96</v>
      </c>
      <c r="B362" s="7" t="s">
        <v>984</v>
      </c>
      <c r="C362" s="7" t="s">
        <v>983</v>
      </c>
      <c r="D362" s="7" t="s">
        <v>982</v>
      </c>
      <c r="E362" s="7" t="s">
        <v>981</v>
      </c>
      <c r="F362" s="7" t="s">
        <v>101</v>
      </c>
      <c r="G362" s="7">
        <v>2013</v>
      </c>
      <c r="H362" s="7">
        <v>41432</v>
      </c>
      <c r="I362" s="7" t="s">
        <v>980</v>
      </c>
      <c r="J362" s="7" t="s">
        <v>979</v>
      </c>
      <c r="K362" s="7" t="s">
        <v>978</v>
      </c>
      <c r="L362" s="7" t="s">
        <v>977</v>
      </c>
      <c r="M362" s="7" t="s">
        <v>976</v>
      </c>
      <c r="N362" s="7" t="s">
        <v>975</v>
      </c>
      <c r="O362" s="7" t="s">
        <v>974</v>
      </c>
      <c r="P362" s="7" t="s">
        <v>34</v>
      </c>
      <c r="Q362" s="7" t="s">
        <v>34</v>
      </c>
      <c r="R362" s="7" t="s">
        <v>34</v>
      </c>
      <c r="S362" s="7" t="s">
        <v>34</v>
      </c>
      <c r="T362" s="7" t="s">
        <v>34</v>
      </c>
      <c r="U362" s="7" t="s">
        <v>34</v>
      </c>
      <c r="V362" s="7">
        <v>1</v>
      </c>
      <c r="W362" s="7" t="s">
        <v>178</v>
      </c>
      <c r="X362" s="7">
        <v>1</v>
      </c>
      <c r="Y362" s="7" t="s">
        <v>973</v>
      </c>
      <c r="Z362" s="7" t="s">
        <v>972</v>
      </c>
      <c r="AA362" s="7">
        <v>23740899</v>
      </c>
      <c r="AB362" s="7">
        <v>1</v>
      </c>
      <c r="AD362" s="7">
        <v>5</v>
      </c>
      <c r="AE362" s="24">
        <v>20</v>
      </c>
      <c r="AF362" s="7">
        <v>10</v>
      </c>
      <c r="AG362" s="7">
        <v>10</v>
      </c>
      <c r="AH362" s="7" t="s">
        <v>1642</v>
      </c>
      <c r="AI362" s="7" t="s">
        <v>1642</v>
      </c>
      <c r="AJ362" s="7" t="s">
        <v>1867</v>
      </c>
      <c r="AM362" s="7" t="s">
        <v>1867</v>
      </c>
      <c r="AR362" s="7" t="s">
        <v>2210</v>
      </c>
      <c r="AS362" s="7" t="s">
        <v>1878</v>
      </c>
      <c r="AT362" s="7" t="s">
        <v>1895</v>
      </c>
      <c r="AU362" s="7" t="s">
        <v>178</v>
      </c>
      <c r="AV362" s="7" t="s">
        <v>1653</v>
      </c>
      <c r="AW362" s="7" t="s">
        <v>1687</v>
      </c>
      <c r="AX362" s="7" t="s">
        <v>2408</v>
      </c>
      <c r="AY362" s="7" t="s">
        <v>2010</v>
      </c>
      <c r="AZ362" s="7" t="s">
        <v>1650</v>
      </c>
      <c r="BA362" s="36">
        <v>303</v>
      </c>
      <c r="BB362" s="7">
        <v>296</v>
      </c>
      <c r="BC362" s="7" t="s">
        <v>2421</v>
      </c>
      <c r="BD362" s="7">
        <v>53.0364</v>
      </c>
      <c r="BF362" s="7">
        <f>58.4674-BD362</f>
        <v>5.4309999999999974</v>
      </c>
      <c r="BG362" s="7" t="s">
        <v>2427</v>
      </c>
      <c r="BH362" s="7">
        <v>55.852499999999999</v>
      </c>
      <c r="BJ362" s="7">
        <f>60.2778-BH362</f>
        <v>4.4253</v>
      </c>
    </row>
    <row r="363" spans="1:63" ht="14" customHeight="1" x14ac:dyDescent="0.2">
      <c r="A363" s="7">
        <v>96</v>
      </c>
      <c r="B363" s="7" t="s">
        <v>984</v>
      </c>
      <c r="C363" s="7" t="s">
        <v>983</v>
      </c>
      <c r="D363" s="7" t="s">
        <v>982</v>
      </c>
      <c r="E363" s="7" t="s">
        <v>981</v>
      </c>
      <c r="F363" s="7" t="s">
        <v>101</v>
      </c>
      <c r="G363" s="7">
        <v>2013</v>
      </c>
      <c r="H363" s="7">
        <v>41432</v>
      </c>
      <c r="I363" s="7" t="s">
        <v>980</v>
      </c>
      <c r="J363" s="7" t="s">
        <v>979</v>
      </c>
      <c r="K363" s="7" t="s">
        <v>978</v>
      </c>
      <c r="L363" s="7" t="s">
        <v>977</v>
      </c>
      <c r="M363" s="7" t="s">
        <v>976</v>
      </c>
      <c r="N363" s="7" t="s">
        <v>975</v>
      </c>
      <c r="O363" s="7" t="s">
        <v>974</v>
      </c>
      <c r="P363" s="7" t="s">
        <v>34</v>
      </c>
      <c r="Q363" s="7" t="s">
        <v>34</v>
      </c>
      <c r="R363" s="7" t="s">
        <v>34</v>
      </c>
      <c r="S363" s="7" t="s">
        <v>34</v>
      </c>
      <c r="T363" s="7" t="s">
        <v>34</v>
      </c>
      <c r="U363" s="7" t="s">
        <v>34</v>
      </c>
      <c r="V363" s="7">
        <v>1</v>
      </c>
      <c r="W363" s="7" t="s">
        <v>178</v>
      </c>
      <c r="X363" s="7">
        <v>1</v>
      </c>
      <c r="Y363" s="7" t="s">
        <v>973</v>
      </c>
      <c r="Z363" s="7" t="s">
        <v>972</v>
      </c>
      <c r="AA363" s="7">
        <v>23740899</v>
      </c>
      <c r="AB363" s="7">
        <v>1</v>
      </c>
      <c r="AD363" s="7">
        <v>5</v>
      </c>
      <c r="AE363" s="24">
        <v>20</v>
      </c>
      <c r="AF363" s="7">
        <v>10</v>
      </c>
      <c r="AG363" s="7">
        <v>10</v>
      </c>
      <c r="AH363" s="7" t="s">
        <v>1642</v>
      </c>
      <c r="AI363" s="7" t="s">
        <v>1642</v>
      </c>
      <c r="AJ363" s="7" t="s">
        <v>1867</v>
      </c>
      <c r="AM363" s="7" t="s">
        <v>1867</v>
      </c>
      <c r="AR363" s="7" t="s">
        <v>2210</v>
      </c>
      <c r="AS363" s="7" t="s">
        <v>1878</v>
      </c>
      <c r="AT363" s="7" t="s">
        <v>1895</v>
      </c>
      <c r="AU363" s="7" t="s">
        <v>178</v>
      </c>
      <c r="AV363" s="7" t="s">
        <v>2095</v>
      </c>
      <c r="AW363" s="7" t="s">
        <v>1687</v>
      </c>
      <c r="AX363" s="7" t="s">
        <v>2408</v>
      </c>
      <c r="AY363" s="7" t="s">
        <v>2010</v>
      </c>
      <c r="AZ363" s="7" t="s">
        <v>1650</v>
      </c>
      <c r="BA363" s="36">
        <v>303</v>
      </c>
      <c r="BB363" s="7">
        <v>296</v>
      </c>
      <c r="BC363" s="7" t="s">
        <v>2422</v>
      </c>
      <c r="BD363" s="7">
        <v>56.858199999999997</v>
      </c>
      <c r="BF363" s="7">
        <f>62.6916-BD363</f>
        <v>5.8334000000000046</v>
      </c>
      <c r="BG363" s="7" t="s">
        <v>2428</v>
      </c>
      <c r="BH363" s="7">
        <v>56.053600000000003</v>
      </c>
      <c r="BJ363" s="7">
        <f>62.6916-BH363</f>
        <v>6.6379999999999981</v>
      </c>
    </row>
    <row r="364" spans="1:63" ht="14" customHeight="1" x14ac:dyDescent="0.2">
      <c r="A364" s="7">
        <v>96</v>
      </c>
      <c r="B364" s="7" t="s">
        <v>984</v>
      </c>
      <c r="C364" s="7" t="s">
        <v>983</v>
      </c>
      <c r="D364" s="7" t="s">
        <v>982</v>
      </c>
      <c r="E364" s="7" t="s">
        <v>981</v>
      </c>
      <c r="F364" s="7" t="s">
        <v>101</v>
      </c>
      <c r="G364" s="7">
        <v>2013</v>
      </c>
      <c r="H364" s="7">
        <v>41432</v>
      </c>
      <c r="I364" s="7" t="s">
        <v>980</v>
      </c>
      <c r="J364" s="7" t="s">
        <v>979</v>
      </c>
      <c r="K364" s="7" t="s">
        <v>978</v>
      </c>
      <c r="L364" s="7" t="s">
        <v>977</v>
      </c>
      <c r="M364" s="7" t="s">
        <v>976</v>
      </c>
      <c r="N364" s="7" t="s">
        <v>975</v>
      </c>
      <c r="O364" s="7" t="s">
        <v>974</v>
      </c>
      <c r="P364" s="7" t="s">
        <v>34</v>
      </c>
      <c r="Q364" s="7" t="s">
        <v>34</v>
      </c>
      <c r="R364" s="7" t="s">
        <v>34</v>
      </c>
      <c r="S364" s="7" t="s">
        <v>34</v>
      </c>
      <c r="T364" s="7" t="s">
        <v>34</v>
      </c>
      <c r="U364" s="7" t="s">
        <v>34</v>
      </c>
      <c r="V364" s="7">
        <v>1</v>
      </c>
      <c r="W364" s="7" t="s">
        <v>178</v>
      </c>
      <c r="X364" s="7">
        <v>1</v>
      </c>
      <c r="Y364" s="7" t="s">
        <v>973</v>
      </c>
      <c r="Z364" s="7" t="s">
        <v>972</v>
      </c>
      <c r="AA364" s="7">
        <v>23740899</v>
      </c>
      <c r="AB364" s="7">
        <v>1</v>
      </c>
      <c r="AD364" s="7">
        <v>5</v>
      </c>
      <c r="AE364" s="24">
        <v>20</v>
      </c>
      <c r="AF364" s="7">
        <v>10</v>
      </c>
      <c r="AG364" s="7">
        <v>10</v>
      </c>
      <c r="AH364" s="7" t="s">
        <v>1642</v>
      </c>
      <c r="AI364" s="7" t="s">
        <v>1642</v>
      </c>
      <c r="AJ364" s="7" t="s">
        <v>1867</v>
      </c>
      <c r="AM364" s="7" t="s">
        <v>1867</v>
      </c>
      <c r="AR364" s="7" t="s">
        <v>2210</v>
      </c>
      <c r="AS364" s="7" t="s">
        <v>1878</v>
      </c>
      <c r="AT364" s="7" t="s">
        <v>1895</v>
      </c>
      <c r="AU364" s="7" t="s">
        <v>178</v>
      </c>
      <c r="AV364" s="7" t="s">
        <v>1876</v>
      </c>
      <c r="AW364" s="7" t="s">
        <v>1687</v>
      </c>
      <c r="AX364" s="7" t="s">
        <v>2408</v>
      </c>
      <c r="AY364" s="7" t="s">
        <v>2010</v>
      </c>
      <c r="AZ364" s="7" t="s">
        <v>1650</v>
      </c>
      <c r="BA364" s="36">
        <v>303</v>
      </c>
      <c r="BB364" s="7">
        <v>296</v>
      </c>
      <c r="BC364" s="7" t="s">
        <v>2423</v>
      </c>
      <c r="BD364" s="7">
        <v>34.932899999999997</v>
      </c>
      <c r="BF364" s="7">
        <f>40.364-BD364</f>
        <v>5.4311000000000007</v>
      </c>
      <c r="BG364" s="7" t="s">
        <v>2429</v>
      </c>
      <c r="BH364" s="7">
        <v>53.438699999999997</v>
      </c>
      <c r="BJ364" s="7">
        <f>58.4674-BH364</f>
        <v>5.0287000000000006</v>
      </c>
    </row>
    <row r="365" spans="1:63" ht="14" customHeight="1" x14ac:dyDescent="0.2">
      <c r="A365" s="7">
        <v>96</v>
      </c>
      <c r="B365" s="7" t="s">
        <v>984</v>
      </c>
      <c r="C365" s="7" t="s">
        <v>983</v>
      </c>
      <c r="D365" s="7" t="s">
        <v>982</v>
      </c>
      <c r="E365" s="7" t="s">
        <v>981</v>
      </c>
      <c r="F365" s="7" t="s">
        <v>101</v>
      </c>
      <c r="G365" s="7">
        <v>2013</v>
      </c>
      <c r="H365" s="7">
        <v>41432</v>
      </c>
      <c r="I365" s="7" t="s">
        <v>980</v>
      </c>
      <c r="J365" s="7" t="s">
        <v>979</v>
      </c>
      <c r="K365" s="7" t="s">
        <v>978</v>
      </c>
      <c r="L365" s="7" t="s">
        <v>977</v>
      </c>
      <c r="M365" s="7" t="s">
        <v>976</v>
      </c>
      <c r="N365" s="7" t="s">
        <v>975</v>
      </c>
      <c r="O365" s="7" t="s">
        <v>974</v>
      </c>
      <c r="P365" s="7" t="s">
        <v>34</v>
      </c>
      <c r="Q365" s="7" t="s">
        <v>34</v>
      </c>
      <c r="R365" s="7" t="s">
        <v>34</v>
      </c>
      <c r="S365" s="7" t="s">
        <v>34</v>
      </c>
      <c r="T365" s="7" t="s">
        <v>34</v>
      </c>
      <c r="U365" s="7" t="s">
        <v>34</v>
      </c>
      <c r="V365" s="7">
        <v>1</v>
      </c>
      <c r="W365" s="7" t="s">
        <v>178</v>
      </c>
      <c r="X365" s="7">
        <v>1</v>
      </c>
      <c r="Y365" s="7" t="s">
        <v>973</v>
      </c>
      <c r="Z365" s="7" t="s">
        <v>972</v>
      </c>
      <c r="AA365" s="7">
        <v>23740899</v>
      </c>
      <c r="AB365" s="7">
        <v>1</v>
      </c>
      <c r="AD365" s="7">
        <v>5</v>
      </c>
      <c r="AE365" s="24">
        <v>20</v>
      </c>
      <c r="AF365" s="7">
        <v>10</v>
      </c>
      <c r="AG365" s="7">
        <v>10</v>
      </c>
      <c r="AH365" s="7" t="s">
        <v>1642</v>
      </c>
      <c r="AI365" s="7" t="s">
        <v>1642</v>
      </c>
      <c r="AJ365" s="7" t="s">
        <v>1867</v>
      </c>
      <c r="AM365" s="7" t="s">
        <v>1867</v>
      </c>
      <c r="AR365" s="7" t="s">
        <v>2210</v>
      </c>
      <c r="AS365" s="7" t="s">
        <v>1878</v>
      </c>
      <c r="AT365" s="7" t="s">
        <v>1895</v>
      </c>
      <c r="AU365" s="7" t="s">
        <v>178</v>
      </c>
      <c r="AV365" s="7" t="s">
        <v>1653</v>
      </c>
      <c r="AW365" s="7" t="s">
        <v>1687</v>
      </c>
      <c r="AX365" s="7" t="s">
        <v>2408</v>
      </c>
      <c r="AY365" s="7" t="s">
        <v>2433</v>
      </c>
      <c r="AZ365" s="7" t="s">
        <v>1650</v>
      </c>
      <c r="BA365" s="36">
        <v>303</v>
      </c>
      <c r="BB365" s="7">
        <v>296</v>
      </c>
      <c r="BC365" s="7" t="s">
        <v>2424</v>
      </c>
      <c r="BD365" s="7">
        <v>15.340999999999999</v>
      </c>
      <c r="BF365" s="7">
        <f>18.7203-BD365</f>
        <v>3.3793000000000024</v>
      </c>
      <c r="BG365" s="7" t="s">
        <v>2430</v>
      </c>
      <c r="BH365" s="7">
        <v>15.340999999999999</v>
      </c>
      <c r="BJ365" s="7">
        <f>21.6169-BH365</f>
        <v>6.2759000000000018</v>
      </c>
    </row>
    <row r="366" spans="1:63" ht="14" customHeight="1" x14ac:dyDescent="0.2">
      <c r="A366" s="7">
        <v>96</v>
      </c>
      <c r="B366" s="7" t="s">
        <v>984</v>
      </c>
      <c r="C366" s="7" t="s">
        <v>983</v>
      </c>
      <c r="D366" s="7" t="s">
        <v>982</v>
      </c>
      <c r="E366" s="7" t="s">
        <v>981</v>
      </c>
      <c r="F366" s="7" t="s">
        <v>101</v>
      </c>
      <c r="G366" s="7">
        <v>2013</v>
      </c>
      <c r="H366" s="7">
        <v>41432</v>
      </c>
      <c r="I366" s="7" t="s">
        <v>980</v>
      </c>
      <c r="J366" s="7" t="s">
        <v>979</v>
      </c>
      <c r="K366" s="7" t="s">
        <v>978</v>
      </c>
      <c r="L366" s="7" t="s">
        <v>977</v>
      </c>
      <c r="M366" s="7" t="s">
        <v>976</v>
      </c>
      <c r="N366" s="7" t="s">
        <v>975</v>
      </c>
      <c r="O366" s="7" t="s">
        <v>974</v>
      </c>
      <c r="P366" s="7" t="s">
        <v>34</v>
      </c>
      <c r="Q366" s="7" t="s">
        <v>34</v>
      </c>
      <c r="R366" s="7" t="s">
        <v>34</v>
      </c>
      <c r="S366" s="7" t="s">
        <v>34</v>
      </c>
      <c r="T366" s="7" t="s">
        <v>34</v>
      </c>
      <c r="U366" s="7" t="s">
        <v>34</v>
      </c>
      <c r="V366" s="7">
        <v>1</v>
      </c>
      <c r="W366" s="7" t="s">
        <v>178</v>
      </c>
      <c r="X366" s="7">
        <v>1</v>
      </c>
      <c r="Y366" s="7" t="s">
        <v>973</v>
      </c>
      <c r="Z366" s="7" t="s">
        <v>972</v>
      </c>
      <c r="AA366" s="7">
        <v>23740899</v>
      </c>
      <c r="AB366" s="7">
        <v>1</v>
      </c>
      <c r="AD366" s="7">
        <v>5</v>
      </c>
      <c r="AE366" s="24">
        <v>20</v>
      </c>
      <c r="AF366" s="7">
        <v>10</v>
      </c>
      <c r="AG366" s="7">
        <v>10</v>
      </c>
      <c r="AH366" s="7" t="s">
        <v>1642</v>
      </c>
      <c r="AI366" s="7" t="s">
        <v>1642</v>
      </c>
      <c r="AJ366" s="7" t="s">
        <v>1867</v>
      </c>
      <c r="AM366" s="7" t="s">
        <v>1867</v>
      </c>
      <c r="AR366" s="7" t="s">
        <v>2210</v>
      </c>
      <c r="AS366" s="7" t="s">
        <v>1878</v>
      </c>
      <c r="AT366" s="7" t="s">
        <v>1895</v>
      </c>
      <c r="AU366" s="7" t="s">
        <v>178</v>
      </c>
      <c r="AV366" s="7" t="s">
        <v>2095</v>
      </c>
      <c r="AW366" s="7" t="s">
        <v>1687</v>
      </c>
      <c r="AX366" s="7" t="s">
        <v>2408</v>
      </c>
      <c r="AY366" s="7" t="s">
        <v>2433</v>
      </c>
      <c r="AZ366" s="7" t="s">
        <v>1650</v>
      </c>
      <c r="BA366" s="36">
        <v>303</v>
      </c>
      <c r="BB366" s="7">
        <v>296</v>
      </c>
      <c r="BC366" s="7" t="s">
        <v>2425</v>
      </c>
      <c r="BD366" s="7">
        <v>14.375500000000001</v>
      </c>
      <c r="BF366" s="7">
        <f>18.5594-BD366</f>
        <v>4.1838999999999995</v>
      </c>
      <c r="BG366" s="7" t="s">
        <v>2431</v>
      </c>
      <c r="BH366" s="7">
        <v>11.800800000000001</v>
      </c>
      <c r="BJ366" s="7">
        <f>16.9502-BH366</f>
        <v>5.1493999999999982</v>
      </c>
    </row>
    <row r="367" spans="1:63" ht="14" customHeight="1" x14ac:dyDescent="0.2">
      <c r="A367" s="7">
        <v>96</v>
      </c>
      <c r="B367" s="7" t="s">
        <v>984</v>
      </c>
      <c r="C367" s="7" t="s">
        <v>983</v>
      </c>
      <c r="D367" s="7" t="s">
        <v>982</v>
      </c>
      <c r="E367" s="7" t="s">
        <v>981</v>
      </c>
      <c r="F367" s="7" t="s">
        <v>101</v>
      </c>
      <c r="G367" s="7">
        <v>2013</v>
      </c>
      <c r="H367" s="7">
        <v>41432</v>
      </c>
      <c r="I367" s="7" t="s">
        <v>980</v>
      </c>
      <c r="J367" s="7" t="s">
        <v>979</v>
      </c>
      <c r="K367" s="7" t="s">
        <v>978</v>
      </c>
      <c r="L367" s="7" t="s">
        <v>977</v>
      </c>
      <c r="M367" s="7" t="s">
        <v>976</v>
      </c>
      <c r="N367" s="7" t="s">
        <v>975</v>
      </c>
      <c r="O367" s="7" t="s">
        <v>974</v>
      </c>
      <c r="P367" s="7" t="s">
        <v>34</v>
      </c>
      <c r="Q367" s="7" t="s">
        <v>34</v>
      </c>
      <c r="R367" s="7" t="s">
        <v>34</v>
      </c>
      <c r="S367" s="7" t="s">
        <v>34</v>
      </c>
      <c r="T367" s="7" t="s">
        <v>34</v>
      </c>
      <c r="U367" s="7" t="s">
        <v>34</v>
      </c>
      <c r="V367" s="7">
        <v>1</v>
      </c>
      <c r="W367" s="7" t="s">
        <v>178</v>
      </c>
      <c r="X367" s="7">
        <v>1</v>
      </c>
      <c r="Y367" s="7" t="s">
        <v>973</v>
      </c>
      <c r="Z367" s="7" t="s">
        <v>972</v>
      </c>
      <c r="AA367" s="7">
        <v>23740899</v>
      </c>
      <c r="AB367" s="7">
        <v>1</v>
      </c>
      <c r="AD367" s="7">
        <v>5</v>
      </c>
      <c r="AE367" s="24">
        <v>20</v>
      </c>
      <c r="AF367" s="7">
        <v>10</v>
      </c>
      <c r="AG367" s="7">
        <v>10</v>
      </c>
      <c r="AH367" s="7" t="s">
        <v>1642</v>
      </c>
      <c r="AI367" s="7" t="s">
        <v>1642</v>
      </c>
      <c r="AJ367" s="7" t="s">
        <v>1867</v>
      </c>
      <c r="AM367" s="7" t="s">
        <v>1867</v>
      </c>
      <c r="AR367" s="7" t="s">
        <v>2210</v>
      </c>
      <c r="AS367" s="7" t="s">
        <v>1878</v>
      </c>
      <c r="AT367" s="7" t="s">
        <v>1895</v>
      </c>
      <c r="AU367" s="7" t="s">
        <v>178</v>
      </c>
      <c r="AV367" s="7" t="s">
        <v>1876</v>
      </c>
      <c r="AW367" s="7" t="s">
        <v>1687</v>
      </c>
      <c r="AX367" s="7" t="s">
        <v>2408</v>
      </c>
      <c r="AY367" s="7" t="s">
        <v>2433</v>
      </c>
      <c r="AZ367" s="7" t="s">
        <v>1650</v>
      </c>
      <c r="BA367" s="36">
        <v>303</v>
      </c>
      <c r="BB367" s="7">
        <v>296</v>
      </c>
      <c r="BC367" s="7" t="s">
        <v>2426</v>
      </c>
      <c r="BD367" s="7">
        <v>16.3065</v>
      </c>
      <c r="BF367" s="7">
        <f>20.0077-BD367</f>
        <v>3.7012</v>
      </c>
      <c r="BG367" s="7" t="s">
        <v>2432</v>
      </c>
      <c r="BH367" s="7">
        <v>7.9386999999999999</v>
      </c>
      <c r="BJ367" s="7">
        <f>10.1916-BH367</f>
        <v>2.2528999999999995</v>
      </c>
    </row>
    <row r="368" spans="1:63" ht="14" customHeight="1" x14ac:dyDescent="0.2">
      <c r="A368" s="7">
        <v>96</v>
      </c>
      <c r="B368" s="7" t="s">
        <v>984</v>
      </c>
      <c r="C368" s="7" t="s">
        <v>983</v>
      </c>
      <c r="D368" s="7" t="s">
        <v>982</v>
      </c>
      <c r="E368" s="7" t="s">
        <v>981</v>
      </c>
      <c r="F368" s="7" t="s">
        <v>101</v>
      </c>
      <c r="G368" s="7">
        <v>2013</v>
      </c>
      <c r="H368" s="7">
        <v>41432</v>
      </c>
      <c r="I368" s="7" t="s">
        <v>980</v>
      </c>
      <c r="J368" s="7" t="s">
        <v>979</v>
      </c>
      <c r="K368" s="7" t="s">
        <v>978</v>
      </c>
      <c r="L368" s="7" t="s">
        <v>977</v>
      </c>
      <c r="M368" s="7" t="s">
        <v>976</v>
      </c>
      <c r="N368" s="7" t="s">
        <v>975</v>
      </c>
      <c r="O368" s="7" t="s">
        <v>974</v>
      </c>
      <c r="P368" s="7" t="s">
        <v>34</v>
      </c>
      <c r="Q368" s="7" t="s">
        <v>34</v>
      </c>
      <c r="R368" s="7" t="s">
        <v>34</v>
      </c>
      <c r="S368" s="7" t="s">
        <v>34</v>
      </c>
      <c r="T368" s="7" t="s">
        <v>34</v>
      </c>
      <c r="U368" s="7" t="s">
        <v>34</v>
      </c>
      <c r="V368" s="7">
        <v>1</v>
      </c>
      <c r="W368" s="7" t="s">
        <v>178</v>
      </c>
      <c r="X368" s="7">
        <v>1</v>
      </c>
      <c r="Y368" s="7" t="s">
        <v>973</v>
      </c>
      <c r="Z368" s="7" t="s">
        <v>972</v>
      </c>
      <c r="AA368" s="7">
        <v>23740899</v>
      </c>
      <c r="AB368" s="7">
        <v>1</v>
      </c>
      <c r="AD368" s="7">
        <v>5</v>
      </c>
      <c r="AE368" s="24">
        <v>20</v>
      </c>
      <c r="AF368" s="7">
        <v>10</v>
      </c>
      <c r="AG368" s="7">
        <v>10</v>
      </c>
      <c r="AH368" s="7" t="s">
        <v>1642</v>
      </c>
      <c r="AI368" s="7" t="s">
        <v>1642</v>
      </c>
      <c r="AJ368" s="7" t="s">
        <v>1867</v>
      </c>
      <c r="AM368" s="7" t="s">
        <v>1867</v>
      </c>
      <c r="AP368" s="7">
        <v>5</v>
      </c>
      <c r="AQ368" s="7" t="s">
        <v>2297</v>
      </c>
      <c r="AR368" s="7" t="s">
        <v>2210</v>
      </c>
      <c r="AS368" s="7" t="s">
        <v>1878</v>
      </c>
      <c r="AT368" s="7" t="s">
        <v>1895</v>
      </c>
      <c r="AU368" s="7" t="s">
        <v>178</v>
      </c>
      <c r="AV368" s="7" t="s">
        <v>1747</v>
      </c>
      <c r="AW368" s="7" t="s">
        <v>1639</v>
      </c>
      <c r="AX368" s="7" t="s">
        <v>2408</v>
      </c>
      <c r="AY368" s="7" t="s">
        <v>1662</v>
      </c>
      <c r="AZ368" s="7" t="s">
        <v>1650</v>
      </c>
      <c r="BA368" s="36">
        <v>304</v>
      </c>
      <c r="BB368" s="7">
        <v>297</v>
      </c>
      <c r="BC368" s="7" t="s">
        <v>2439</v>
      </c>
      <c r="BD368" s="7">
        <v>30.2819</v>
      </c>
      <c r="BF368" s="7">
        <f>BD368-25.7002</f>
        <v>4.5817000000000014</v>
      </c>
      <c r="BG368" s="7" t="s">
        <v>2434</v>
      </c>
      <c r="BH368" s="37">
        <v>32</v>
      </c>
      <c r="BJ368" s="7">
        <f>36.868-BH368</f>
        <v>4.8680000000000021</v>
      </c>
    </row>
    <row r="369" spans="1:63" ht="14" customHeight="1" x14ac:dyDescent="0.2">
      <c r="A369" s="7">
        <v>96</v>
      </c>
      <c r="B369" s="7" t="s">
        <v>984</v>
      </c>
      <c r="C369" s="7" t="s">
        <v>983</v>
      </c>
      <c r="D369" s="7" t="s">
        <v>982</v>
      </c>
      <c r="E369" s="7" t="s">
        <v>981</v>
      </c>
      <c r="F369" s="7" t="s">
        <v>101</v>
      </c>
      <c r="G369" s="7">
        <v>2013</v>
      </c>
      <c r="H369" s="7">
        <v>41432</v>
      </c>
      <c r="I369" s="7" t="s">
        <v>980</v>
      </c>
      <c r="J369" s="7" t="s">
        <v>979</v>
      </c>
      <c r="K369" s="7" t="s">
        <v>978</v>
      </c>
      <c r="L369" s="7" t="s">
        <v>977</v>
      </c>
      <c r="M369" s="7" t="s">
        <v>976</v>
      </c>
      <c r="N369" s="7" t="s">
        <v>975</v>
      </c>
      <c r="O369" s="7" t="s">
        <v>974</v>
      </c>
      <c r="P369" s="7" t="s">
        <v>34</v>
      </c>
      <c r="Q369" s="7" t="s">
        <v>34</v>
      </c>
      <c r="R369" s="7" t="s">
        <v>34</v>
      </c>
      <c r="S369" s="7" t="s">
        <v>34</v>
      </c>
      <c r="T369" s="7" t="s">
        <v>34</v>
      </c>
      <c r="U369" s="7" t="s">
        <v>34</v>
      </c>
      <c r="V369" s="7">
        <v>1</v>
      </c>
      <c r="W369" s="7" t="s">
        <v>178</v>
      </c>
      <c r="X369" s="7">
        <v>1</v>
      </c>
      <c r="Y369" s="7" t="s">
        <v>973</v>
      </c>
      <c r="Z369" s="7" t="s">
        <v>972</v>
      </c>
      <c r="AA369" s="7">
        <v>23740899</v>
      </c>
      <c r="AB369" s="7">
        <v>1</v>
      </c>
      <c r="AD369" s="7">
        <v>5</v>
      </c>
      <c r="AE369" s="24">
        <v>20</v>
      </c>
      <c r="AF369" s="7">
        <v>10</v>
      </c>
      <c r="AG369" s="7">
        <v>10</v>
      </c>
      <c r="AH369" s="7" t="s">
        <v>1642</v>
      </c>
      <c r="AI369" s="7" t="s">
        <v>1642</v>
      </c>
      <c r="AJ369" s="7" t="s">
        <v>1867</v>
      </c>
      <c r="AM369" s="7" t="s">
        <v>1867</v>
      </c>
      <c r="AP369" s="7">
        <v>5</v>
      </c>
      <c r="AQ369" s="7" t="s">
        <v>2297</v>
      </c>
      <c r="AR369" s="7" t="s">
        <v>2210</v>
      </c>
      <c r="AS369" s="7" t="s">
        <v>1878</v>
      </c>
      <c r="AT369" s="7" t="s">
        <v>1895</v>
      </c>
      <c r="AU369" s="7" t="s">
        <v>178</v>
      </c>
      <c r="AV369" s="7" t="s">
        <v>1747</v>
      </c>
      <c r="AW369" s="7" t="s">
        <v>1639</v>
      </c>
      <c r="AX369" s="7" t="s">
        <v>2408</v>
      </c>
      <c r="AY369" s="7" t="s">
        <v>1662</v>
      </c>
      <c r="AZ369" s="7" t="s">
        <v>1650</v>
      </c>
      <c r="BA369" s="36">
        <v>304</v>
      </c>
      <c r="BB369" s="7">
        <v>297</v>
      </c>
      <c r="BC369" s="7" t="s">
        <v>2440</v>
      </c>
      <c r="BD369" s="7">
        <v>62.639800000000001</v>
      </c>
      <c r="BF369" s="7">
        <f>BD369-58.9172</f>
        <v>3.7225999999999999</v>
      </c>
      <c r="BG369" s="7" t="s">
        <v>2435</v>
      </c>
      <c r="BH369" s="7">
        <v>67.364699999999999</v>
      </c>
      <c r="BJ369" s="7">
        <f>75.8121-BH369</f>
        <v>8.4474000000000018</v>
      </c>
    </row>
    <row r="370" spans="1:63" ht="14" customHeight="1" x14ac:dyDescent="0.2">
      <c r="A370" s="7">
        <v>96</v>
      </c>
      <c r="B370" s="7" t="s">
        <v>984</v>
      </c>
      <c r="C370" s="7" t="s">
        <v>983</v>
      </c>
      <c r="D370" s="7" t="s">
        <v>982</v>
      </c>
      <c r="E370" s="7" t="s">
        <v>981</v>
      </c>
      <c r="F370" s="7" t="s">
        <v>101</v>
      </c>
      <c r="G370" s="7">
        <v>2013</v>
      </c>
      <c r="H370" s="7">
        <v>41432</v>
      </c>
      <c r="I370" s="7" t="s">
        <v>980</v>
      </c>
      <c r="J370" s="7" t="s">
        <v>979</v>
      </c>
      <c r="K370" s="7" t="s">
        <v>978</v>
      </c>
      <c r="L370" s="7" t="s">
        <v>977</v>
      </c>
      <c r="M370" s="7" t="s">
        <v>976</v>
      </c>
      <c r="N370" s="7" t="s">
        <v>975</v>
      </c>
      <c r="O370" s="7" t="s">
        <v>974</v>
      </c>
      <c r="P370" s="7" t="s">
        <v>34</v>
      </c>
      <c r="Q370" s="7" t="s">
        <v>34</v>
      </c>
      <c r="R370" s="7" t="s">
        <v>34</v>
      </c>
      <c r="S370" s="7" t="s">
        <v>34</v>
      </c>
      <c r="T370" s="7" t="s">
        <v>34</v>
      </c>
      <c r="U370" s="7" t="s">
        <v>34</v>
      </c>
      <c r="V370" s="7">
        <v>1</v>
      </c>
      <c r="W370" s="7" t="s">
        <v>178</v>
      </c>
      <c r="X370" s="7">
        <v>1</v>
      </c>
      <c r="Y370" s="7" t="s">
        <v>973</v>
      </c>
      <c r="Z370" s="7" t="s">
        <v>972</v>
      </c>
      <c r="AA370" s="7">
        <v>23740899</v>
      </c>
      <c r="AB370" s="7">
        <v>1</v>
      </c>
      <c r="AD370" s="7">
        <v>5</v>
      </c>
      <c r="AE370" s="24">
        <v>20</v>
      </c>
      <c r="AF370" s="7">
        <v>10</v>
      </c>
      <c r="AG370" s="7">
        <v>10</v>
      </c>
      <c r="AH370" s="7" t="s">
        <v>1642</v>
      </c>
      <c r="AI370" s="7" t="s">
        <v>1642</v>
      </c>
      <c r="AJ370" s="7" t="s">
        <v>1867</v>
      </c>
      <c r="AM370" s="7" t="s">
        <v>1867</v>
      </c>
      <c r="AP370" s="7">
        <v>5</v>
      </c>
      <c r="AQ370" s="7" t="s">
        <v>2297</v>
      </c>
      <c r="AR370" s="7" t="s">
        <v>2210</v>
      </c>
      <c r="AS370" s="7" t="s">
        <v>1878</v>
      </c>
      <c r="AT370" s="7" t="s">
        <v>1895</v>
      </c>
      <c r="AU370" s="7" t="s">
        <v>178</v>
      </c>
      <c r="AV370" s="7" t="s">
        <v>1653</v>
      </c>
      <c r="AW370" s="7" t="s">
        <v>1639</v>
      </c>
      <c r="AX370" s="7" t="s">
        <v>2408</v>
      </c>
      <c r="AY370" s="7" t="s">
        <v>1664</v>
      </c>
      <c r="AZ370" s="7" t="s">
        <v>1650</v>
      </c>
      <c r="BA370" s="36">
        <v>304</v>
      </c>
      <c r="BB370" s="7">
        <v>297</v>
      </c>
      <c r="BC370" s="7" t="s">
        <v>2441</v>
      </c>
      <c r="BD370" s="7">
        <v>62.210299999999997</v>
      </c>
      <c r="BF370" s="7">
        <f>65.3602-BD370</f>
        <v>3.1499000000000095</v>
      </c>
      <c r="BG370" s="7" t="s">
        <v>2436</v>
      </c>
      <c r="BH370" s="7">
        <v>52.6175</v>
      </c>
      <c r="BJ370" s="7">
        <f>55.3378-BH370</f>
        <v>2.7203000000000017</v>
      </c>
    </row>
    <row r="371" spans="1:63" ht="14" customHeight="1" x14ac:dyDescent="0.2">
      <c r="A371" s="7">
        <v>96</v>
      </c>
      <c r="B371" s="7" t="s">
        <v>984</v>
      </c>
      <c r="C371" s="7" t="s">
        <v>983</v>
      </c>
      <c r="D371" s="7" t="s">
        <v>982</v>
      </c>
      <c r="E371" s="7" t="s">
        <v>981</v>
      </c>
      <c r="F371" s="7" t="s">
        <v>101</v>
      </c>
      <c r="G371" s="7">
        <v>2013</v>
      </c>
      <c r="H371" s="7">
        <v>41432</v>
      </c>
      <c r="I371" s="7" t="s">
        <v>980</v>
      </c>
      <c r="J371" s="7" t="s">
        <v>979</v>
      </c>
      <c r="K371" s="7" t="s">
        <v>978</v>
      </c>
      <c r="L371" s="7" t="s">
        <v>977</v>
      </c>
      <c r="M371" s="7" t="s">
        <v>976</v>
      </c>
      <c r="N371" s="7" t="s">
        <v>975</v>
      </c>
      <c r="O371" s="7" t="s">
        <v>974</v>
      </c>
      <c r="P371" s="7" t="s">
        <v>34</v>
      </c>
      <c r="Q371" s="7" t="s">
        <v>34</v>
      </c>
      <c r="R371" s="7" t="s">
        <v>34</v>
      </c>
      <c r="S371" s="7" t="s">
        <v>34</v>
      </c>
      <c r="T371" s="7" t="s">
        <v>34</v>
      </c>
      <c r="U371" s="7" t="s">
        <v>34</v>
      </c>
      <c r="V371" s="7">
        <v>1</v>
      </c>
      <c r="W371" s="7" t="s">
        <v>178</v>
      </c>
      <c r="X371" s="7">
        <v>1</v>
      </c>
      <c r="Y371" s="7" t="s">
        <v>973</v>
      </c>
      <c r="Z371" s="7" t="s">
        <v>972</v>
      </c>
      <c r="AA371" s="7">
        <v>23740899</v>
      </c>
      <c r="AB371" s="7">
        <v>1</v>
      </c>
      <c r="AD371" s="7">
        <v>5</v>
      </c>
      <c r="AE371" s="24">
        <v>20</v>
      </c>
      <c r="AF371" s="7">
        <v>10</v>
      </c>
      <c r="AG371" s="7">
        <v>10</v>
      </c>
      <c r="AH371" s="7" t="s">
        <v>1642</v>
      </c>
      <c r="AI371" s="7" t="s">
        <v>1642</v>
      </c>
      <c r="AJ371" s="7" t="s">
        <v>1867</v>
      </c>
      <c r="AM371" s="7" t="s">
        <v>1867</v>
      </c>
      <c r="AP371" s="7">
        <v>5</v>
      </c>
      <c r="AQ371" s="7" t="s">
        <v>2297</v>
      </c>
      <c r="AR371" s="7" t="s">
        <v>2210</v>
      </c>
      <c r="AS371" s="7" t="s">
        <v>1878</v>
      </c>
      <c r="AT371" s="7" t="s">
        <v>1895</v>
      </c>
      <c r="AU371" s="7" t="s">
        <v>178</v>
      </c>
      <c r="AV371" s="7" t="s">
        <v>1653</v>
      </c>
      <c r="AW371" s="7" t="s">
        <v>1639</v>
      </c>
      <c r="AX371" s="7" t="s">
        <v>2408</v>
      </c>
      <c r="AY371" s="7" t="s">
        <v>1664</v>
      </c>
      <c r="AZ371" s="7" t="s">
        <v>1650</v>
      </c>
      <c r="BA371" s="36">
        <v>304</v>
      </c>
      <c r="BB371" s="7">
        <v>297</v>
      </c>
      <c r="BC371" s="7" t="s">
        <v>2442</v>
      </c>
      <c r="BD371" s="7">
        <v>55.194600000000001</v>
      </c>
      <c r="BF371" s="7">
        <f>57.915-BD371</f>
        <v>2.7203999999999979</v>
      </c>
      <c r="BG371" s="7" t="s">
        <v>2437</v>
      </c>
      <c r="BH371" s="7">
        <v>37.4407</v>
      </c>
      <c r="BJ371" s="7">
        <f>42.5951-BH371</f>
        <v>5.1544000000000025</v>
      </c>
    </row>
    <row r="372" spans="1:63" ht="14" customHeight="1" x14ac:dyDescent="0.2">
      <c r="A372" s="7">
        <v>96</v>
      </c>
      <c r="B372" s="7" t="s">
        <v>984</v>
      </c>
      <c r="C372" s="7" t="s">
        <v>983</v>
      </c>
      <c r="D372" s="7" t="s">
        <v>982</v>
      </c>
      <c r="E372" s="7" t="s">
        <v>981</v>
      </c>
      <c r="F372" s="7" t="s">
        <v>101</v>
      </c>
      <c r="G372" s="7">
        <v>2013</v>
      </c>
      <c r="H372" s="7">
        <v>41432</v>
      </c>
      <c r="I372" s="7" t="s">
        <v>980</v>
      </c>
      <c r="J372" s="7" t="s">
        <v>979</v>
      </c>
      <c r="K372" s="7" t="s">
        <v>978</v>
      </c>
      <c r="L372" s="7" t="s">
        <v>977</v>
      </c>
      <c r="M372" s="7" t="s">
        <v>976</v>
      </c>
      <c r="N372" s="7" t="s">
        <v>975</v>
      </c>
      <c r="O372" s="7" t="s">
        <v>974</v>
      </c>
      <c r="P372" s="7" t="s">
        <v>34</v>
      </c>
      <c r="Q372" s="7" t="s">
        <v>34</v>
      </c>
      <c r="R372" s="7" t="s">
        <v>34</v>
      </c>
      <c r="S372" s="7" t="s">
        <v>34</v>
      </c>
      <c r="T372" s="7" t="s">
        <v>34</v>
      </c>
      <c r="U372" s="7" t="s">
        <v>34</v>
      </c>
      <c r="V372" s="7">
        <v>1</v>
      </c>
      <c r="W372" s="7" t="s">
        <v>178</v>
      </c>
      <c r="X372" s="7">
        <v>1</v>
      </c>
      <c r="Y372" s="7" t="s">
        <v>973</v>
      </c>
      <c r="Z372" s="7" t="s">
        <v>972</v>
      </c>
      <c r="AA372" s="7">
        <v>23740899</v>
      </c>
      <c r="AB372" s="7">
        <v>1</v>
      </c>
      <c r="AD372" s="7">
        <v>5</v>
      </c>
      <c r="AE372" s="24">
        <v>20</v>
      </c>
      <c r="AF372" s="7">
        <v>10</v>
      </c>
      <c r="AG372" s="7">
        <v>10</v>
      </c>
      <c r="AH372" s="7" t="s">
        <v>1642</v>
      </c>
      <c r="AI372" s="7" t="s">
        <v>1642</v>
      </c>
      <c r="AJ372" s="7" t="s">
        <v>1867</v>
      </c>
      <c r="AM372" s="7" t="s">
        <v>1867</v>
      </c>
      <c r="AP372" s="7">
        <v>5</v>
      </c>
      <c r="AQ372" s="7" t="s">
        <v>2297</v>
      </c>
      <c r="AR372" s="7" t="s">
        <v>2210</v>
      </c>
      <c r="AS372" s="7" t="s">
        <v>1878</v>
      </c>
      <c r="AT372" s="7" t="s">
        <v>1895</v>
      </c>
      <c r="AU372" s="7" t="s">
        <v>178</v>
      </c>
      <c r="AV372" s="7" t="s">
        <v>1653</v>
      </c>
      <c r="AW372" s="7" t="s">
        <v>1639</v>
      </c>
      <c r="AX372" s="7" t="s">
        <v>2408</v>
      </c>
      <c r="AY372" s="7" t="s">
        <v>1664</v>
      </c>
      <c r="AZ372" s="7" t="s">
        <v>1650</v>
      </c>
      <c r="BA372" s="36">
        <v>304</v>
      </c>
      <c r="BB372" s="7">
        <v>297</v>
      </c>
      <c r="BC372" s="7" t="s">
        <v>2443</v>
      </c>
      <c r="BD372" s="7">
        <v>46.460799999999999</v>
      </c>
      <c r="BF372" s="7">
        <f>51.0425-BD372</f>
        <v>4.5816999999999979</v>
      </c>
      <c r="BG372" s="7" t="s">
        <v>2438</v>
      </c>
      <c r="BH372" s="7">
        <v>31.570499999999999</v>
      </c>
      <c r="BJ372" s="7">
        <f>33.8613-BH372</f>
        <v>2.2908000000000008</v>
      </c>
    </row>
    <row r="373" spans="1:63" s="20" customFormat="1" x14ac:dyDescent="0.2">
      <c r="A373" s="20">
        <v>97</v>
      </c>
      <c r="B373" s="20" t="s">
        <v>971</v>
      </c>
      <c r="C373" s="20" t="s">
        <v>970</v>
      </c>
      <c r="D373" s="20" t="s">
        <v>969</v>
      </c>
      <c r="E373" s="20" t="s">
        <v>968</v>
      </c>
      <c r="F373" s="20" t="s">
        <v>967</v>
      </c>
      <c r="G373" s="20">
        <v>2013</v>
      </c>
      <c r="H373" s="20">
        <v>41380</v>
      </c>
      <c r="I373" s="20" t="s">
        <v>32</v>
      </c>
      <c r="J373" s="20" t="s">
        <v>32</v>
      </c>
      <c r="K373" s="20" t="s">
        <v>966</v>
      </c>
      <c r="L373" s="20">
        <v>2</v>
      </c>
      <c r="M373" s="20" t="s">
        <v>32</v>
      </c>
      <c r="N373" s="20" t="s">
        <v>34</v>
      </c>
      <c r="O373" s="20" t="s">
        <v>190</v>
      </c>
      <c r="P373" s="20" t="s">
        <v>34</v>
      </c>
      <c r="Q373" s="20" t="s">
        <v>34</v>
      </c>
      <c r="R373" s="20" t="s">
        <v>34</v>
      </c>
      <c r="S373" s="20" t="s">
        <v>34</v>
      </c>
      <c r="T373" s="20" t="s">
        <v>34</v>
      </c>
      <c r="U373" s="20" t="s">
        <v>32</v>
      </c>
      <c r="V373" s="20">
        <v>1</v>
      </c>
      <c r="W373" s="20" t="s">
        <v>32</v>
      </c>
      <c r="X373" s="20" t="s">
        <v>32</v>
      </c>
      <c r="Y373" s="20" t="s">
        <v>32</v>
      </c>
      <c r="Z373" s="20" t="s">
        <v>32</v>
      </c>
      <c r="AA373" s="20">
        <v>23584669</v>
      </c>
      <c r="AB373" s="20">
        <v>0</v>
      </c>
      <c r="AC373" s="20" t="s">
        <v>2383</v>
      </c>
      <c r="AE373" s="26"/>
      <c r="BA373" s="59"/>
      <c r="BK373" s="41"/>
    </row>
    <row r="374" spans="1:63" x14ac:dyDescent="0.2">
      <c r="A374" s="7">
        <v>98</v>
      </c>
      <c r="B374" s="7" t="s">
        <v>965</v>
      </c>
      <c r="C374" s="7" t="s">
        <v>964</v>
      </c>
      <c r="D374" s="7" t="s">
        <v>963</v>
      </c>
      <c r="E374" s="7" t="s">
        <v>962</v>
      </c>
      <c r="F374" s="7" t="s">
        <v>137</v>
      </c>
      <c r="G374" s="7">
        <v>2013</v>
      </c>
      <c r="H374" s="7">
        <v>41331</v>
      </c>
      <c r="I374" s="7" t="s">
        <v>32</v>
      </c>
      <c r="J374" s="7" t="s">
        <v>32</v>
      </c>
      <c r="K374" s="7" t="s">
        <v>961</v>
      </c>
      <c r="L374" s="7">
        <v>2</v>
      </c>
      <c r="M374" s="7" t="s">
        <v>32</v>
      </c>
      <c r="N374" s="7" t="s">
        <v>34</v>
      </c>
      <c r="O374" s="7" t="s">
        <v>190</v>
      </c>
      <c r="P374" s="7" t="s">
        <v>34</v>
      </c>
      <c r="Q374" s="7" t="s">
        <v>34</v>
      </c>
      <c r="R374" s="7" t="s">
        <v>34</v>
      </c>
      <c r="S374" s="7" t="s">
        <v>34</v>
      </c>
      <c r="T374" s="7" t="s">
        <v>34</v>
      </c>
      <c r="U374" s="7" t="s">
        <v>32</v>
      </c>
      <c r="V374" s="7">
        <v>1</v>
      </c>
      <c r="W374" s="7" t="s">
        <v>32</v>
      </c>
      <c r="X374" s="7" t="s">
        <v>32</v>
      </c>
      <c r="Y374" s="7" t="s">
        <v>32</v>
      </c>
      <c r="Z374" s="7" t="s">
        <v>32</v>
      </c>
      <c r="AA374" s="7">
        <v>23433741</v>
      </c>
      <c r="AB374" s="7">
        <v>1</v>
      </c>
      <c r="AD374" s="7">
        <v>4</v>
      </c>
      <c r="AE374" s="24">
        <v>25</v>
      </c>
      <c r="AF374" s="7">
        <v>12</v>
      </c>
      <c r="AG374" s="7">
        <v>13</v>
      </c>
      <c r="AH374" s="7" t="s">
        <v>1642</v>
      </c>
      <c r="AI374" s="7" t="s">
        <v>1642</v>
      </c>
      <c r="AJ374" s="7" t="s">
        <v>2024</v>
      </c>
      <c r="AK374" s="7">
        <v>250</v>
      </c>
      <c r="AM374" s="7" t="s">
        <v>2024</v>
      </c>
      <c r="AN374" s="7">
        <v>250</v>
      </c>
      <c r="AP374" s="7">
        <v>3</v>
      </c>
      <c r="AQ374" s="7" t="s">
        <v>2445</v>
      </c>
      <c r="AR374" s="7" t="s">
        <v>1637</v>
      </c>
      <c r="AS374" s="7" t="s">
        <v>1878</v>
      </c>
      <c r="AT374" s="7" t="s">
        <v>1640</v>
      </c>
      <c r="AU374" s="7" t="s">
        <v>178</v>
      </c>
      <c r="AV374" s="7" t="s">
        <v>1641</v>
      </c>
      <c r="AW374" s="7" t="s">
        <v>1639</v>
      </c>
      <c r="AX374" s="7" t="s">
        <v>2444</v>
      </c>
      <c r="AY374" s="7" t="s">
        <v>1881</v>
      </c>
      <c r="AZ374" s="7" t="s">
        <v>1650</v>
      </c>
      <c r="BA374" s="36">
        <v>305</v>
      </c>
      <c r="BB374" s="7">
        <v>298</v>
      </c>
      <c r="BC374" s="7" t="s">
        <v>2446</v>
      </c>
      <c r="BD374" s="7">
        <v>83.916499999999999</v>
      </c>
      <c r="BF374" s="7">
        <f>89.4718-BD374</f>
        <v>5.5553000000000026</v>
      </c>
      <c r="BG374" s="7" t="s">
        <v>2464</v>
      </c>
      <c r="BH374" s="7">
        <v>82.475899999999996</v>
      </c>
      <c r="BJ374" s="7">
        <f>84.7393-BH374</f>
        <v>2.2634000000000043</v>
      </c>
    </row>
    <row r="375" spans="1:63" x14ac:dyDescent="0.2">
      <c r="A375" s="7">
        <v>98</v>
      </c>
      <c r="B375" s="7" t="s">
        <v>965</v>
      </c>
      <c r="C375" s="7" t="s">
        <v>964</v>
      </c>
      <c r="D375" s="7" t="s">
        <v>963</v>
      </c>
      <c r="E375" s="7" t="s">
        <v>962</v>
      </c>
      <c r="F375" s="7" t="s">
        <v>137</v>
      </c>
      <c r="G375" s="7">
        <v>2013</v>
      </c>
      <c r="H375" s="7">
        <v>41331</v>
      </c>
      <c r="I375" s="7" t="s">
        <v>32</v>
      </c>
      <c r="J375" s="7" t="s">
        <v>32</v>
      </c>
      <c r="K375" s="7" t="s">
        <v>961</v>
      </c>
      <c r="L375" s="7">
        <v>2</v>
      </c>
      <c r="M375" s="7" t="s">
        <v>32</v>
      </c>
      <c r="N375" s="7" t="s">
        <v>34</v>
      </c>
      <c r="O375" s="7" t="s">
        <v>190</v>
      </c>
      <c r="P375" s="7" t="s">
        <v>34</v>
      </c>
      <c r="Q375" s="7" t="s">
        <v>34</v>
      </c>
      <c r="R375" s="7" t="s">
        <v>34</v>
      </c>
      <c r="S375" s="7" t="s">
        <v>34</v>
      </c>
      <c r="T375" s="7" t="s">
        <v>34</v>
      </c>
      <c r="U375" s="7" t="s">
        <v>32</v>
      </c>
      <c r="V375" s="7">
        <v>1</v>
      </c>
      <c r="W375" s="7" t="s">
        <v>32</v>
      </c>
      <c r="X375" s="7" t="s">
        <v>32</v>
      </c>
      <c r="Y375" s="7" t="s">
        <v>32</v>
      </c>
      <c r="Z375" s="7" t="s">
        <v>32</v>
      </c>
      <c r="AA375" s="7">
        <v>23433741</v>
      </c>
      <c r="AB375" s="7">
        <v>1</v>
      </c>
      <c r="AD375" s="7">
        <v>4</v>
      </c>
      <c r="AE375" s="24">
        <v>25</v>
      </c>
      <c r="AF375" s="7">
        <v>12</v>
      </c>
      <c r="AG375" s="7">
        <v>13</v>
      </c>
      <c r="AH375" s="7" t="s">
        <v>1642</v>
      </c>
      <c r="AI375" s="7" t="s">
        <v>1642</v>
      </c>
      <c r="AJ375" s="7" t="s">
        <v>2024</v>
      </c>
      <c r="AK375" s="7">
        <v>250</v>
      </c>
      <c r="AM375" s="7" t="s">
        <v>2024</v>
      </c>
      <c r="AN375" s="7">
        <v>250</v>
      </c>
      <c r="AP375" s="7">
        <v>3</v>
      </c>
      <c r="AQ375" s="7" t="s">
        <v>2445</v>
      </c>
      <c r="AR375" s="7" t="s">
        <v>1637</v>
      </c>
      <c r="AS375" s="7" t="s">
        <v>1878</v>
      </c>
      <c r="AT375" s="7" t="s">
        <v>1640</v>
      </c>
      <c r="AU375" s="7" t="s">
        <v>178</v>
      </c>
      <c r="AV375" s="7" t="s">
        <v>1653</v>
      </c>
      <c r="AW375" s="7" t="s">
        <v>1639</v>
      </c>
      <c r="AX375" s="7" t="s">
        <v>2444</v>
      </c>
      <c r="AY375" s="7" t="s">
        <v>1955</v>
      </c>
      <c r="AZ375" s="7" t="s">
        <v>1650</v>
      </c>
      <c r="BA375" s="36">
        <v>305</v>
      </c>
      <c r="BB375" s="7">
        <v>298</v>
      </c>
      <c r="BC375" s="7" t="s">
        <v>2447</v>
      </c>
      <c r="BD375" s="7">
        <v>68.620800000000003</v>
      </c>
      <c r="BF375" s="7">
        <f>72.1188-BD375</f>
        <v>3.4979999999999905</v>
      </c>
      <c r="BG375" s="7" t="s">
        <v>2465</v>
      </c>
      <c r="BH375" s="7">
        <v>38.579599999999999</v>
      </c>
      <c r="BJ375" s="7">
        <f>45.7816-BH375</f>
        <v>7.2019999999999982</v>
      </c>
    </row>
    <row r="376" spans="1:63" x14ac:dyDescent="0.2">
      <c r="A376" s="7">
        <v>98</v>
      </c>
      <c r="B376" s="7" t="s">
        <v>965</v>
      </c>
      <c r="C376" s="7" t="s">
        <v>964</v>
      </c>
      <c r="D376" s="7" t="s">
        <v>963</v>
      </c>
      <c r="E376" s="7" t="s">
        <v>962</v>
      </c>
      <c r="F376" s="7" t="s">
        <v>137</v>
      </c>
      <c r="G376" s="7">
        <v>2013</v>
      </c>
      <c r="H376" s="7">
        <v>41331</v>
      </c>
      <c r="I376" s="7" t="s">
        <v>32</v>
      </c>
      <c r="J376" s="7" t="s">
        <v>32</v>
      </c>
      <c r="K376" s="7" t="s">
        <v>961</v>
      </c>
      <c r="L376" s="7">
        <v>2</v>
      </c>
      <c r="M376" s="7" t="s">
        <v>32</v>
      </c>
      <c r="N376" s="7" t="s">
        <v>34</v>
      </c>
      <c r="O376" s="7" t="s">
        <v>190</v>
      </c>
      <c r="P376" s="7" t="s">
        <v>34</v>
      </c>
      <c r="Q376" s="7" t="s">
        <v>34</v>
      </c>
      <c r="R376" s="7" t="s">
        <v>34</v>
      </c>
      <c r="S376" s="7" t="s">
        <v>34</v>
      </c>
      <c r="T376" s="7" t="s">
        <v>34</v>
      </c>
      <c r="U376" s="7" t="s">
        <v>32</v>
      </c>
      <c r="V376" s="7">
        <v>1</v>
      </c>
      <c r="W376" s="7" t="s">
        <v>32</v>
      </c>
      <c r="X376" s="7" t="s">
        <v>32</v>
      </c>
      <c r="Y376" s="7" t="s">
        <v>32</v>
      </c>
      <c r="Z376" s="7" t="s">
        <v>32</v>
      </c>
      <c r="AA376" s="7">
        <v>23433741</v>
      </c>
      <c r="AB376" s="7">
        <v>1</v>
      </c>
      <c r="AD376" s="7">
        <v>4</v>
      </c>
      <c r="AE376" s="24">
        <v>25</v>
      </c>
      <c r="AF376" s="7">
        <v>12</v>
      </c>
      <c r="AG376" s="7">
        <v>13</v>
      </c>
      <c r="AH376" s="7" t="s">
        <v>1642</v>
      </c>
      <c r="AI376" s="7" t="s">
        <v>1642</v>
      </c>
      <c r="AJ376" s="7" t="s">
        <v>2024</v>
      </c>
      <c r="AK376" s="7">
        <v>250</v>
      </c>
      <c r="AM376" s="7" t="s">
        <v>2024</v>
      </c>
      <c r="AN376" s="7">
        <v>250</v>
      </c>
      <c r="AP376" s="7">
        <v>3</v>
      </c>
      <c r="AQ376" s="7" t="s">
        <v>2445</v>
      </c>
      <c r="AR376" s="7" t="s">
        <v>1637</v>
      </c>
      <c r="AS376" s="7" t="s">
        <v>1878</v>
      </c>
      <c r="AT376" s="7" t="s">
        <v>1640</v>
      </c>
      <c r="AU376" s="7" t="s">
        <v>178</v>
      </c>
      <c r="AV376" s="7" t="s">
        <v>2095</v>
      </c>
      <c r="AW376" s="7" t="s">
        <v>1639</v>
      </c>
      <c r="AX376" s="7" t="s">
        <v>2444</v>
      </c>
      <c r="AY376" s="7" t="s">
        <v>1955</v>
      </c>
      <c r="AZ376" s="7" t="s">
        <v>1650</v>
      </c>
      <c r="BA376" s="36">
        <v>305</v>
      </c>
      <c r="BB376" s="7">
        <v>298</v>
      </c>
      <c r="BC376" s="7" t="s">
        <v>2448</v>
      </c>
      <c r="BD376" s="7">
        <v>62.996499999999997</v>
      </c>
      <c r="BF376" s="7">
        <f>69.1694-BD376</f>
        <v>6.1728999999999985</v>
      </c>
      <c r="BG376" s="7" t="s">
        <v>2466</v>
      </c>
      <c r="BH376" s="7">
        <v>31.103100000000001</v>
      </c>
      <c r="BJ376" s="7">
        <f>37.2763-BH376</f>
        <v>6.1731999999999978</v>
      </c>
    </row>
    <row r="377" spans="1:63" x14ac:dyDescent="0.2">
      <c r="A377" s="7">
        <v>98</v>
      </c>
      <c r="B377" s="7" t="s">
        <v>965</v>
      </c>
      <c r="C377" s="7" t="s">
        <v>964</v>
      </c>
      <c r="D377" s="7" t="s">
        <v>963</v>
      </c>
      <c r="E377" s="7" t="s">
        <v>962</v>
      </c>
      <c r="F377" s="7" t="s">
        <v>137</v>
      </c>
      <c r="G377" s="7">
        <v>2013</v>
      </c>
      <c r="H377" s="7">
        <v>41331</v>
      </c>
      <c r="I377" s="7" t="s">
        <v>32</v>
      </c>
      <c r="J377" s="7" t="s">
        <v>32</v>
      </c>
      <c r="K377" s="7" t="s">
        <v>961</v>
      </c>
      <c r="L377" s="7">
        <v>2</v>
      </c>
      <c r="M377" s="7" t="s">
        <v>32</v>
      </c>
      <c r="N377" s="7" t="s">
        <v>34</v>
      </c>
      <c r="O377" s="7" t="s">
        <v>190</v>
      </c>
      <c r="P377" s="7" t="s">
        <v>34</v>
      </c>
      <c r="Q377" s="7" t="s">
        <v>34</v>
      </c>
      <c r="R377" s="7" t="s">
        <v>34</v>
      </c>
      <c r="S377" s="7" t="s">
        <v>34</v>
      </c>
      <c r="T377" s="7" t="s">
        <v>34</v>
      </c>
      <c r="U377" s="7" t="s">
        <v>32</v>
      </c>
      <c r="V377" s="7">
        <v>1</v>
      </c>
      <c r="W377" s="7" t="s">
        <v>32</v>
      </c>
      <c r="X377" s="7" t="s">
        <v>32</v>
      </c>
      <c r="Y377" s="7" t="s">
        <v>32</v>
      </c>
      <c r="Z377" s="7" t="s">
        <v>32</v>
      </c>
      <c r="AA377" s="7">
        <v>23433741</v>
      </c>
      <c r="AB377" s="7">
        <v>1</v>
      </c>
      <c r="AD377" s="7">
        <v>4</v>
      </c>
      <c r="AE377" s="24">
        <v>21</v>
      </c>
      <c r="AF377" s="7">
        <v>10</v>
      </c>
      <c r="AG377" s="7">
        <v>11</v>
      </c>
      <c r="AH377" s="7" t="s">
        <v>1642</v>
      </c>
      <c r="AI377" s="7" t="s">
        <v>1642</v>
      </c>
      <c r="AJ377" s="7" t="s">
        <v>2024</v>
      </c>
      <c r="AK377" s="7">
        <v>250</v>
      </c>
      <c r="AM377" s="7" t="s">
        <v>2024</v>
      </c>
      <c r="AN377" s="7">
        <v>250</v>
      </c>
      <c r="AP377" s="7">
        <v>3</v>
      </c>
      <c r="AQ377" s="7" t="s">
        <v>2445</v>
      </c>
      <c r="AR377" s="7" t="s">
        <v>1637</v>
      </c>
      <c r="AS377" s="7" t="s">
        <v>1878</v>
      </c>
      <c r="AT377" s="7" t="s">
        <v>1640</v>
      </c>
      <c r="AU377" s="7" t="s">
        <v>178</v>
      </c>
      <c r="AV377" s="7" t="s">
        <v>1641</v>
      </c>
      <c r="AW377" s="7" t="s">
        <v>1639</v>
      </c>
      <c r="AX377" s="7" t="s">
        <v>2444</v>
      </c>
      <c r="AY377" s="7" t="s">
        <v>1881</v>
      </c>
      <c r="AZ377" s="7" t="s">
        <v>1650</v>
      </c>
      <c r="BA377" s="36">
        <v>306</v>
      </c>
      <c r="BB377" s="7">
        <v>299</v>
      </c>
      <c r="BC377" s="7" t="s">
        <v>2449</v>
      </c>
      <c r="BD377" s="7">
        <v>93.548400000000001</v>
      </c>
      <c r="BF377" s="7">
        <f>94.8767-BD377</f>
        <v>1.3282999999999987</v>
      </c>
      <c r="BG377" s="7" t="s">
        <v>2467</v>
      </c>
      <c r="BH377" s="7">
        <v>82.732399999999998</v>
      </c>
      <c r="BJ377" s="7">
        <f>88.425-BH377</f>
        <v>5.6925999999999988</v>
      </c>
    </row>
    <row r="378" spans="1:63" x14ac:dyDescent="0.2">
      <c r="A378" s="7">
        <v>98</v>
      </c>
      <c r="B378" s="7" t="s">
        <v>965</v>
      </c>
      <c r="C378" s="7" t="s">
        <v>964</v>
      </c>
      <c r="D378" s="7" t="s">
        <v>963</v>
      </c>
      <c r="E378" s="7" t="s">
        <v>962</v>
      </c>
      <c r="F378" s="7" t="s">
        <v>137</v>
      </c>
      <c r="G378" s="7">
        <v>2013</v>
      </c>
      <c r="H378" s="7">
        <v>41331</v>
      </c>
      <c r="I378" s="7" t="s">
        <v>32</v>
      </c>
      <c r="J378" s="7" t="s">
        <v>32</v>
      </c>
      <c r="K378" s="7" t="s">
        <v>961</v>
      </c>
      <c r="L378" s="7">
        <v>2</v>
      </c>
      <c r="M378" s="7" t="s">
        <v>32</v>
      </c>
      <c r="N378" s="7" t="s">
        <v>34</v>
      </c>
      <c r="O378" s="7" t="s">
        <v>190</v>
      </c>
      <c r="P378" s="7" t="s">
        <v>34</v>
      </c>
      <c r="Q378" s="7" t="s">
        <v>34</v>
      </c>
      <c r="R378" s="7" t="s">
        <v>34</v>
      </c>
      <c r="S378" s="7" t="s">
        <v>34</v>
      </c>
      <c r="T378" s="7" t="s">
        <v>34</v>
      </c>
      <c r="U378" s="7" t="s">
        <v>32</v>
      </c>
      <c r="V378" s="7">
        <v>1</v>
      </c>
      <c r="W378" s="7" t="s">
        <v>32</v>
      </c>
      <c r="X378" s="7" t="s">
        <v>32</v>
      </c>
      <c r="Y378" s="7" t="s">
        <v>32</v>
      </c>
      <c r="Z378" s="7" t="s">
        <v>32</v>
      </c>
      <c r="AA378" s="7">
        <v>23433741</v>
      </c>
      <c r="AB378" s="7">
        <v>1</v>
      </c>
      <c r="AD378" s="7">
        <v>4</v>
      </c>
      <c r="AE378" s="24">
        <v>21</v>
      </c>
      <c r="AF378" s="7">
        <v>10</v>
      </c>
      <c r="AG378" s="7">
        <v>11</v>
      </c>
      <c r="AH378" s="7" t="s">
        <v>1642</v>
      </c>
      <c r="AI378" s="7" t="s">
        <v>1642</v>
      </c>
      <c r="AJ378" s="7" t="s">
        <v>2024</v>
      </c>
      <c r="AK378" s="7">
        <v>250</v>
      </c>
      <c r="AM378" s="7" t="s">
        <v>2024</v>
      </c>
      <c r="AN378" s="7">
        <v>250</v>
      </c>
      <c r="AP378" s="7">
        <v>3</v>
      </c>
      <c r="AQ378" s="7" t="s">
        <v>2445</v>
      </c>
      <c r="AR378" s="7" t="s">
        <v>1637</v>
      </c>
      <c r="AS378" s="7" t="s">
        <v>1878</v>
      </c>
      <c r="AT378" s="7" t="s">
        <v>1640</v>
      </c>
      <c r="AU378" s="7" t="s">
        <v>178</v>
      </c>
      <c r="AV378" s="7" t="s">
        <v>1653</v>
      </c>
      <c r="AW378" s="7" t="s">
        <v>1639</v>
      </c>
      <c r="AX378" s="7" t="s">
        <v>2444</v>
      </c>
      <c r="AY378" s="7" t="s">
        <v>1955</v>
      </c>
      <c r="AZ378" s="7" t="s">
        <v>1650</v>
      </c>
      <c r="BA378" s="36">
        <v>306</v>
      </c>
      <c r="BB378" s="7">
        <v>299</v>
      </c>
      <c r="BC378" s="7" t="s">
        <v>2450</v>
      </c>
      <c r="BD378" s="7">
        <v>88.235299999999995</v>
      </c>
      <c r="BF378" s="7">
        <f>91.2713-BD378</f>
        <v>3.0360000000000014</v>
      </c>
      <c r="BG378" s="7" t="s">
        <v>2468</v>
      </c>
      <c r="BH378" s="7">
        <v>54.838700000000003</v>
      </c>
      <c r="BJ378" s="7">
        <f>62.6186-BH378</f>
        <v>7.7798999999999978</v>
      </c>
    </row>
    <row r="379" spans="1:63" x14ac:dyDescent="0.2">
      <c r="A379" s="7">
        <v>98</v>
      </c>
      <c r="B379" s="7" t="s">
        <v>965</v>
      </c>
      <c r="C379" s="7" t="s">
        <v>964</v>
      </c>
      <c r="D379" s="7" t="s">
        <v>963</v>
      </c>
      <c r="E379" s="7" t="s">
        <v>962</v>
      </c>
      <c r="F379" s="7" t="s">
        <v>137</v>
      </c>
      <c r="G379" s="7">
        <v>2013</v>
      </c>
      <c r="H379" s="7">
        <v>41331</v>
      </c>
      <c r="I379" s="7" t="s">
        <v>32</v>
      </c>
      <c r="J379" s="7" t="s">
        <v>32</v>
      </c>
      <c r="K379" s="7" t="s">
        <v>961</v>
      </c>
      <c r="L379" s="7">
        <v>2</v>
      </c>
      <c r="M379" s="7" t="s">
        <v>32</v>
      </c>
      <c r="N379" s="7" t="s">
        <v>34</v>
      </c>
      <c r="O379" s="7" t="s">
        <v>190</v>
      </c>
      <c r="P379" s="7" t="s">
        <v>34</v>
      </c>
      <c r="Q379" s="7" t="s">
        <v>34</v>
      </c>
      <c r="R379" s="7" t="s">
        <v>34</v>
      </c>
      <c r="S379" s="7" t="s">
        <v>34</v>
      </c>
      <c r="T379" s="7" t="s">
        <v>34</v>
      </c>
      <c r="U379" s="7" t="s">
        <v>32</v>
      </c>
      <c r="V379" s="7">
        <v>1</v>
      </c>
      <c r="W379" s="7" t="s">
        <v>32</v>
      </c>
      <c r="X379" s="7" t="s">
        <v>32</v>
      </c>
      <c r="Y379" s="7" t="s">
        <v>32</v>
      </c>
      <c r="Z379" s="7" t="s">
        <v>32</v>
      </c>
      <c r="AA379" s="7">
        <v>23433741</v>
      </c>
      <c r="AB379" s="7">
        <v>1</v>
      </c>
      <c r="AD379" s="7">
        <v>4</v>
      </c>
      <c r="AE379" s="24">
        <v>21</v>
      </c>
      <c r="AF379" s="7">
        <v>10</v>
      </c>
      <c r="AG379" s="7">
        <v>11</v>
      </c>
      <c r="AH379" s="7" t="s">
        <v>1642</v>
      </c>
      <c r="AI379" s="7" t="s">
        <v>1642</v>
      </c>
      <c r="AJ379" s="7" t="s">
        <v>2024</v>
      </c>
      <c r="AK379" s="7">
        <v>250</v>
      </c>
      <c r="AM379" s="7" t="s">
        <v>2024</v>
      </c>
      <c r="AN379" s="7">
        <v>250</v>
      </c>
      <c r="AP379" s="7">
        <v>3</v>
      </c>
      <c r="AQ379" s="7" t="s">
        <v>2445</v>
      </c>
      <c r="AR379" s="7" t="s">
        <v>1637</v>
      </c>
      <c r="AS379" s="7" t="s">
        <v>1878</v>
      </c>
      <c r="AT379" s="7" t="s">
        <v>1640</v>
      </c>
      <c r="AU379" s="7" t="s">
        <v>178</v>
      </c>
      <c r="AV379" s="7" t="s">
        <v>2095</v>
      </c>
      <c r="AW379" s="7" t="s">
        <v>1639</v>
      </c>
      <c r="AX379" s="7" t="s">
        <v>2444</v>
      </c>
      <c r="AY379" s="7" t="s">
        <v>1955</v>
      </c>
      <c r="AZ379" s="7" t="s">
        <v>1650</v>
      </c>
      <c r="BA379" s="36">
        <v>306</v>
      </c>
      <c r="BB379" s="7">
        <v>299</v>
      </c>
      <c r="BC379" s="7" t="s">
        <v>2451</v>
      </c>
      <c r="BD379" s="7">
        <v>58.444000000000003</v>
      </c>
      <c r="BF379" s="7">
        <f>65.8444-BD379</f>
        <v>7.4003999999999905</v>
      </c>
      <c r="BG379" s="7" t="s">
        <v>2469</v>
      </c>
      <c r="BH379" s="7">
        <v>33.586300000000001</v>
      </c>
      <c r="BJ379" s="7">
        <f>41.9355-BH379</f>
        <v>8.3491999999999962</v>
      </c>
    </row>
    <row r="380" spans="1:63" x14ac:dyDescent="0.2">
      <c r="A380" s="7">
        <v>98</v>
      </c>
      <c r="B380" s="7" t="s">
        <v>965</v>
      </c>
      <c r="C380" s="7" t="s">
        <v>964</v>
      </c>
      <c r="D380" s="7" t="s">
        <v>963</v>
      </c>
      <c r="E380" s="7" t="s">
        <v>962</v>
      </c>
      <c r="F380" s="7" t="s">
        <v>137</v>
      </c>
      <c r="G380" s="7">
        <v>2013</v>
      </c>
      <c r="H380" s="7">
        <v>41331</v>
      </c>
      <c r="I380" s="7" t="s">
        <v>32</v>
      </c>
      <c r="J380" s="7" t="s">
        <v>32</v>
      </c>
      <c r="K380" s="7" t="s">
        <v>961</v>
      </c>
      <c r="L380" s="7">
        <v>2</v>
      </c>
      <c r="M380" s="7" t="s">
        <v>32</v>
      </c>
      <c r="N380" s="7" t="s">
        <v>34</v>
      </c>
      <c r="O380" s="7" t="s">
        <v>190</v>
      </c>
      <c r="P380" s="7" t="s">
        <v>34</v>
      </c>
      <c r="Q380" s="7" t="s">
        <v>34</v>
      </c>
      <c r="R380" s="7" t="s">
        <v>34</v>
      </c>
      <c r="S380" s="7" t="s">
        <v>34</v>
      </c>
      <c r="T380" s="7" t="s">
        <v>34</v>
      </c>
      <c r="U380" s="7" t="s">
        <v>32</v>
      </c>
      <c r="V380" s="7">
        <v>1</v>
      </c>
      <c r="W380" s="7" t="s">
        <v>32</v>
      </c>
      <c r="X380" s="7" t="s">
        <v>32</v>
      </c>
      <c r="Y380" s="7" t="s">
        <v>32</v>
      </c>
      <c r="Z380" s="7" t="s">
        <v>32</v>
      </c>
      <c r="AA380" s="7">
        <v>23433741</v>
      </c>
      <c r="AB380" s="7">
        <v>1</v>
      </c>
      <c r="AD380" s="7">
        <v>4</v>
      </c>
      <c r="AE380" s="24">
        <v>22</v>
      </c>
      <c r="AF380" s="7">
        <v>10</v>
      </c>
      <c r="AG380" s="7">
        <v>12</v>
      </c>
      <c r="AH380" s="7" t="s">
        <v>1642</v>
      </c>
      <c r="AI380" s="7" t="s">
        <v>1642</v>
      </c>
      <c r="AJ380" s="7" t="s">
        <v>2024</v>
      </c>
      <c r="AK380" s="7">
        <v>250</v>
      </c>
      <c r="AM380" s="7" t="s">
        <v>2024</v>
      </c>
      <c r="AN380" s="7">
        <v>250</v>
      </c>
      <c r="AP380" s="7">
        <v>3</v>
      </c>
      <c r="AQ380" s="7" t="s">
        <v>2445</v>
      </c>
      <c r="AR380" s="7" t="s">
        <v>1637</v>
      </c>
      <c r="AS380" s="7" t="s">
        <v>1878</v>
      </c>
      <c r="AT380" s="7" t="s">
        <v>1640</v>
      </c>
      <c r="AU380" s="7" t="s">
        <v>178</v>
      </c>
      <c r="AV380" s="7" t="s">
        <v>1641</v>
      </c>
      <c r="AW380" s="7" t="s">
        <v>1639</v>
      </c>
      <c r="AX380" s="7" t="s">
        <v>2444</v>
      </c>
      <c r="AY380" s="7" t="s">
        <v>1881</v>
      </c>
      <c r="AZ380" s="7" t="s">
        <v>1650</v>
      </c>
      <c r="BA380" s="36">
        <v>307</v>
      </c>
      <c r="BB380" s="7">
        <v>300</v>
      </c>
      <c r="BC380" s="7" t="s">
        <v>2452</v>
      </c>
      <c r="BD380" s="7">
        <v>82.771500000000003</v>
      </c>
      <c r="BF380" s="7">
        <f>89.3727-BD380</f>
        <v>6.6011999999999915</v>
      </c>
      <c r="BG380" s="7" t="s">
        <v>2470</v>
      </c>
      <c r="BH380" s="7">
        <v>72.846400000000003</v>
      </c>
      <c r="BJ380" s="7">
        <f>78.4176-BH380</f>
        <v>5.5711999999999904</v>
      </c>
    </row>
    <row r="381" spans="1:63" x14ac:dyDescent="0.2">
      <c r="A381" s="7">
        <v>98</v>
      </c>
      <c r="B381" s="7" t="s">
        <v>965</v>
      </c>
      <c r="C381" s="7" t="s">
        <v>964</v>
      </c>
      <c r="D381" s="7" t="s">
        <v>963</v>
      </c>
      <c r="E381" s="7" t="s">
        <v>962</v>
      </c>
      <c r="F381" s="7" t="s">
        <v>137</v>
      </c>
      <c r="G381" s="7">
        <v>2013</v>
      </c>
      <c r="H381" s="7">
        <v>41331</v>
      </c>
      <c r="I381" s="7" t="s">
        <v>32</v>
      </c>
      <c r="J381" s="7" t="s">
        <v>32</v>
      </c>
      <c r="K381" s="7" t="s">
        <v>961</v>
      </c>
      <c r="L381" s="7">
        <v>2</v>
      </c>
      <c r="M381" s="7" t="s">
        <v>32</v>
      </c>
      <c r="N381" s="7" t="s">
        <v>34</v>
      </c>
      <c r="O381" s="7" t="s">
        <v>190</v>
      </c>
      <c r="P381" s="7" t="s">
        <v>34</v>
      </c>
      <c r="Q381" s="7" t="s">
        <v>34</v>
      </c>
      <c r="R381" s="7" t="s">
        <v>34</v>
      </c>
      <c r="S381" s="7" t="s">
        <v>34</v>
      </c>
      <c r="T381" s="7" t="s">
        <v>34</v>
      </c>
      <c r="U381" s="7" t="s">
        <v>32</v>
      </c>
      <c r="V381" s="7">
        <v>1</v>
      </c>
      <c r="W381" s="7" t="s">
        <v>32</v>
      </c>
      <c r="X381" s="7" t="s">
        <v>32</v>
      </c>
      <c r="Y381" s="7" t="s">
        <v>32</v>
      </c>
      <c r="Z381" s="7" t="s">
        <v>32</v>
      </c>
      <c r="AA381" s="7">
        <v>23433741</v>
      </c>
      <c r="AB381" s="7">
        <v>1</v>
      </c>
      <c r="AD381" s="7">
        <v>4</v>
      </c>
      <c r="AE381" s="24">
        <v>22</v>
      </c>
      <c r="AF381" s="7">
        <v>10</v>
      </c>
      <c r="AG381" s="7">
        <v>12</v>
      </c>
      <c r="AH381" s="7" t="s">
        <v>1642</v>
      </c>
      <c r="AI381" s="7" t="s">
        <v>1642</v>
      </c>
      <c r="AJ381" s="7" t="s">
        <v>2024</v>
      </c>
      <c r="AK381" s="7">
        <v>250</v>
      </c>
      <c r="AM381" s="7" t="s">
        <v>2024</v>
      </c>
      <c r="AN381" s="7">
        <v>250</v>
      </c>
      <c r="AP381" s="7">
        <v>3</v>
      </c>
      <c r="AQ381" s="7" t="s">
        <v>2445</v>
      </c>
      <c r="AR381" s="7" t="s">
        <v>1637</v>
      </c>
      <c r="AS381" s="7" t="s">
        <v>1878</v>
      </c>
      <c r="AT381" s="7" t="s">
        <v>1640</v>
      </c>
      <c r="AU381" s="7" t="s">
        <v>178</v>
      </c>
      <c r="AV381" s="7" t="s">
        <v>1653</v>
      </c>
      <c r="AW381" s="7" t="s">
        <v>1639</v>
      </c>
      <c r="AX381" s="7" t="s">
        <v>2444</v>
      </c>
      <c r="AY381" s="7" t="s">
        <v>1955</v>
      </c>
      <c r="AZ381" s="7" t="s">
        <v>1650</v>
      </c>
      <c r="BA381" s="36">
        <v>307</v>
      </c>
      <c r="BB381" s="7">
        <v>300</v>
      </c>
      <c r="BC381" s="7" t="s">
        <v>2453</v>
      </c>
      <c r="BD381" s="7">
        <v>58.192900000000002</v>
      </c>
      <c r="BF381" s="7">
        <f>61.5637-BD381</f>
        <v>3.3707999999999956</v>
      </c>
      <c r="BG381" s="7" t="s">
        <v>2471</v>
      </c>
      <c r="BH381" s="7">
        <v>46.956899999999997</v>
      </c>
      <c r="BJ381" s="7">
        <f>50.3277-BH381</f>
        <v>3.3708000000000027</v>
      </c>
    </row>
    <row r="382" spans="1:63" x14ac:dyDescent="0.2">
      <c r="A382" s="7">
        <v>98</v>
      </c>
      <c r="B382" s="7" t="s">
        <v>965</v>
      </c>
      <c r="C382" s="7" t="s">
        <v>964</v>
      </c>
      <c r="D382" s="7" t="s">
        <v>963</v>
      </c>
      <c r="E382" s="7" t="s">
        <v>962</v>
      </c>
      <c r="F382" s="7" t="s">
        <v>137</v>
      </c>
      <c r="G382" s="7">
        <v>2013</v>
      </c>
      <c r="H382" s="7">
        <v>41331</v>
      </c>
      <c r="I382" s="7" t="s">
        <v>32</v>
      </c>
      <c r="J382" s="7" t="s">
        <v>32</v>
      </c>
      <c r="K382" s="7" t="s">
        <v>961</v>
      </c>
      <c r="L382" s="7">
        <v>2</v>
      </c>
      <c r="M382" s="7" t="s">
        <v>32</v>
      </c>
      <c r="N382" s="7" t="s">
        <v>34</v>
      </c>
      <c r="O382" s="7" t="s">
        <v>190</v>
      </c>
      <c r="P382" s="7" t="s">
        <v>34</v>
      </c>
      <c r="Q382" s="7" t="s">
        <v>34</v>
      </c>
      <c r="R382" s="7" t="s">
        <v>34</v>
      </c>
      <c r="S382" s="7" t="s">
        <v>34</v>
      </c>
      <c r="T382" s="7" t="s">
        <v>34</v>
      </c>
      <c r="U382" s="7" t="s">
        <v>32</v>
      </c>
      <c r="V382" s="7">
        <v>1</v>
      </c>
      <c r="W382" s="7" t="s">
        <v>32</v>
      </c>
      <c r="X382" s="7" t="s">
        <v>32</v>
      </c>
      <c r="Y382" s="7" t="s">
        <v>32</v>
      </c>
      <c r="Z382" s="7" t="s">
        <v>32</v>
      </c>
      <c r="AA382" s="7">
        <v>23433741</v>
      </c>
      <c r="AB382" s="7">
        <v>1</v>
      </c>
      <c r="AD382" s="7">
        <v>4</v>
      </c>
      <c r="AE382" s="24">
        <v>22</v>
      </c>
      <c r="AF382" s="7">
        <v>10</v>
      </c>
      <c r="AG382" s="7">
        <v>12</v>
      </c>
      <c r="AH382" s="7" t="s">
        <v>1642</v>
      </c>
      <c r="AI382" s="7" t="s">
        <v>1642</v>
      </c>
      <c r="AJ382" s="7" t="s">
        <v>2024</v>
      </c>
      <c r="AK382" s="7">
        <v>250</v>
      </c>
      <c r="AM382" s="7" t="s">
        <v>2024</v>
      </c>
      <c r="AN382" s="7">
        <v>250</v>
      </c>
      <c r="AP382" s="7">
        <v>3</v>
      </c>
      <c r="AQ382" s="7" t="s">
        <v>2445</v>
      </c>
      <c r="AR382" s="7" t="s">
        <v>1637</v>
      </c>
      <c r="AS382" s="7" t="s">
        <v>1878</v>
      </c>
      <c r="AT382" s="7" t="s">
        <v>1640</v>
      </c>
      <c r="AU382" s="7" t="s">
        <v>178</v>
      </c>
      <c r="AV382" s="7" t="s">
        <v>2095</v>
      </c>
      <c r="AW382" s="7" t="s">
        <v>1639</v>
      </c>
      <c r="AX382" s="7" t="s">
        <v>2444</v>
      </c>
      <c r="AY382" s="7" t="s">
        <v>1955</v>
      </c>
      <c r="AZ382" s="7" t="s">
        <v>1650</v>
      </c>
      <c r="BA382" s="36">
        <v>307</v>
      </c>
      <c r="BB382" s="7">
        <v>300</v>
      </c>
      <c r="BC382" s="7" t="s">
        <v>2454</v>
      </c>
      <c r="BD382" s="7">
        <v>51.591799999999999</v>
      </c>
      <c r="BF382" s="7">
        <f>60.2996-BD382</f>
        <v>8.7077999999999989</v>
      </c>
      <c r="BG382" s="7" t="s">
        <v>2472</v>
      </c>
      <c r="BH382" s="7">
        <v>27.996300000000002</v>
      </c>
      <c r="BJ382" s="7">
        <f>34.5974-BH382</f>
        <v>6.6010999999999989</v>
      </c>
    </row>
    <row r="383" spans="1:63" x14ac:dyDescent="0.2">
      <c r="A383" s="7">
        <v>98</v>
      </c>
      <c r="B383" s="7" t="s">
        <v>965</v>
      </c>
      <c r="C383" s="7" t="s">
        <v>964</v>
      </c>
      <c r="D383" s="7" t="s">
        <v>963</v>
      </c>
      <c r="E383" s="7" t="s">
        <v>962</v>
      </c>
      <c r="F383" s="7" t="s">
        <v>137</v>
      </c>
      <c r="G383" s="7">
        <v>2013</v>
      </c>
      <c r="H383" s="7">
        <v>41331</v>
      </c>
      <c r="I383" s="7" t="s">
        <v>32</v>
      </c>
      <c r="J383" s="7" t="s">
        <v>32</v>
      </c>
      <c r="K383" s="7" t="s">
        <v>961</v>
      </c>
      <c r="L383" s="7">
        <v>2</v>
      </c>
      <c r="M383" s="7" t="s">
        <v>32</v>
      </c>
      <c r="N383" s="7" t="s">
        <v>34</v>
      </c>
      <c r="O383" s="7" t="s">
        <v>190</v>
      </c>
      <c r="P383" s="7" t="s">
        <v>34</v>
      </c>
      <c r="Q383" s="7" t="s">
        <v>34</v>
      </c>
      <c r="R383" s="7" t="s">
        <v>34</v>
      </c>
      <c r="S383" s="7" t="s">
        <v>34</v>
      </c>
      <c r="T383" s="7" t="s">
        <v>34</v>
      </c>
      <c r="U383" s="7" t="s">
        <v>32</v>
      </c>
      <c r="V383" s="7">
        <v>1</v>
      </c>
      <c r="W383" s="7" t="s">
        <v>32</v>
      </c>
      <c r="X383" s="7" t="s">
        <v>32</v>
      </c>
      <c r="Y383" s="7" t="s">
        <v>32</v>
      </c>
      <c r="Z383" s="7" t="s">
        <v>32</v>
      </c>
      <c r="AA383" s="7">
        <v>23433741</v>
      </c>
      <c r="AB383" s="7">
        <v>1</v>
      </c>
      <c r="AD383" s="7">
        <v>4</v>
      </c>
      <c r="AE383" s="24">
        <v>18</v>
      </c>
      <c r="AF383" s="7">
        <v>8</v>
      </c>
      <c r="AG383" s="7">
        <v>10</v>
      </c>
      <c r="AH383" s="7" t="s">
        <v>1642</v>
      </c>
      <c r="AI383" s="7" t="s">
        <v>1642</v>
      </c>
      <c r="AJ383" s="7" t="s">
        <v>2024</v>
      </c>
      <c r="AK383" s="7">
        <v>250</v>
      </c>
      <c r="AM383" s="7" t="s">
        <v>2024</v>
      </c>
      <c r="AN383" s="7">
        <v>250</v>
      </c>
      <c r="AP383" s="7">
        <v>3</v>
      </c>
      <c r="AQ383" s="7" t="s">
        <v>2445</v>
      </c>
      <c r="AR383" s="7" t="s">
        <v>1637</v>
      </c>
      <c r="AS383" s="7" t="s">
        <v>1878</v>
      </c>
      <c r="AT383" s="7" t="s">
        <v>1640</v>
      </c>
      <c r="AU383" s="7" t="s">
        <v>178</v>
      </c>
      <c r="AV383" s="7" t="s">
        <v>1641</v>
      </c>
      <c r="AW383" s="7" t="s">
        <v>1639</v>
      </c>
      <c r="AX383" s="7" t="s">
        <v>2444</v>
      </c>
      <c r="AY383" s="7" t="s">
        <v>1881</v>
      </c>
      <c r="AZ383" s="7" t="s">
        <v>1650</v>
      </c>
      <c r="BA383" s="36">
        <v>308</v>
      </c>
      <c r="BB383" s="7">
        <v>301</v>
      </c>
      <c r="BC383" s="7" t="s">
        <v>2455</v>
      </c>
      <c r="BD383" s="7">
        <v>83.6447</v>
      </c>
      <c r="BF383" s="7">
        <f>87.5759-BD383</f>
        <v>3.931200000000004</v>
      </c>
      <c r="BG383" s="7" t="s">
        <v>2473</v>
      </c>
      <c r="BH383" s="7">
        <v>73.227000000000004</v>
      </c>
      <c r="BJ383" s="7">
        <f>77.7479-BH383</f>
        <v>4.5208999999999975</v>
      </c>
    </row>
    <row r="384" spans="1:63" x14ac:dyDescent="0.2">
      <c r="A384" s="7">
        <v>98</v>
      </c>
      <c r="B384" s="7" t="s">
        <v>965</v>
      </c>
      <c r="C384" s="7" t="s">
        <v>964</v>
      </c>
      <c r="D384" s="7" t="s">
        <v>963</v>
      </c>
      <c r="E384" s="7" t="s">
        <v>962</v>
      </c>
      <c r="F384" s="7" t="s">
        <v>137</v>
      </c>
      <c r="G384" s="7">
        <v>2013</v>
      </c>
      <c r="H384" s="7">
        <v>41331</v>
      </c>
      <c r="I384" s="7" t="s">
        <v>32</v>
      </c>
      <c r="J384" s="7" t="s">
        <v>32</v>
      </c>
      <c r="K384" s="7" t="s">
        <v>961</v>
      </c>
      <c r="L384" s="7">
        <v>2</v>
      </c>
      <c r="M384" s="7" t="s">
        <v>32</v>
      </c>
      <c r="N384" s="7" t="s">
        <v>34</v>
      </c>
      <c r="O384" s="7" t="s">
        <v>190</v>
      </c>
      <c r="P384" s="7" t="s">
        <v>34</v>
      </c>
      <c r="Q384" s="7" t="s">
        <v>34</v>
      </c>
      <c r="R384" s="7" t="s">
        <v>34</v>
      </c>
      <c r="S384" s="7" t="s">
        <v>34</v>
      </c>
      <c r="T384" s="7" t="s">
        <v>34</v>
      </c>
      <c r="U384" s="7" t="s">
        <v>32</v>
      </c>
      <c r="V384" s="7">
        <v>1</v>
      </c>
      <c r="W384" s="7" t="s">
        <v>32</v>
      </c>
      <c r="X384" s="7" t="s">
        <v>32</v>
      </c>
      <c r="Y384" s="7" t="s">
        <v>32</v>
      </c>
      <c r="Z384" s="7" t="s">
        <v>32</v>
      </c>
      <c r="AA384" s="7">
        <v>23433741</v>
      </c>
      <c r="AB384" s="7">
        <v>1</v>
      </c>
      <c r="AD384" s="7">
        <v>4</v>
      </c>
      <c r="AE384" s="24">
        <v>18</v>
      </c>
      <c r="AF384" s="7">
        <v>8</v>
      </c>
      <c r="AG384" s="7">
        <v>10</v>
      </c>
      <c r="AH384" s="7" t="s">
        <v>1642</v>
      </c>
      <c r="AI384" s="7" t="s">
        <v>1642</v>
      </c>
      <c r="AJ384" s="7" t="s">
        <v>2024</v>
      </c>
      <c r="AK384" s="7">
        <v>250</v>
      </c>
      <c r="AM384" s="7" t="s">
        <v>2024</v>
      </c>
      <c r="AN384" s="7">
        <v>250</v>
      </c>
      <c r="AP384" s="7">
        <v>3</v>
      </c>
      <c r="AQ384" s="7" t="s">
        <v>2445</v>
      </c>
      <c r="AR384" s="7" t="s">
        <v>1637</v>
      </c>
      <c r="AS384" s="7" t="s">
        <v>1878</v>
      </c>
      <c r="AT384" s="7" t="s">
        <v>1640</v>
      </c>
      <c r="AU384" s="7" t="s">
        <v>178</v>
      </c>
      <c r="AV384" s="7" t="s">
        <v>1653</v>
      </c>
      <c r="AW384" s="7" t="s">
        <v>1639</v>
      </c>
      <c r="AX384" s="7" t="s">
        <v>2444</v>
      </c>
      <c r="AY384" s="7" t="s">
        <v>1955</v>
      </c>
      <c r="AZ384" s="7" t="s">
        <v>1650</v>
      </c>
      <c r="BA384" s="36">
        <v>308</v>
      </c>
      <c r="BB384" s="7">
        <v>301</v>
      </c>
      <c r="BC384" s="7" t="s">
        <v>2456</v>
      </c>
      <c r="BD384" s="7">
        <v>71.376300000000001</v>
      </c>
      <c r="BF384" s="7">
        <f>76.0938-BD384</f>
        <v>4.7175000000000011</v>
      </c>
      <c r="BG384" s="7" t="s">
        <v>2474</v>
      </c>
      <c r="BH384" s="7">
        <v>49.361199999999997</v>
      </c>
      <c r="BJ384" s="7">
        <f>58.403-BH384</f>
        <v>9.0418000000000021</v>
      </c>
    </row>
    <row r="385" spans="1:62" x14ac:dyDescent="0.2">
      <c r="A385" s="7">
        <v>98</v>
      </c>
      <c r="B385" s="7" t="s">
        <v>965</v>
      </c>
      <c r="C385" s="7" t="s">
        <v>964</v>
      </c>
      <c r="D385" s="7" t="s">
        <v>963</v>
      </c>
      <c r="E385" s="7" t="s">
        <v>962</v>
      </c>
      <c r="F385" s="7" t="s">
        <v>137</v>
      </c>
      <c r="G385" s="7">
        <v>2013</v>
      </c>
      <c r="H385" s="7">
        <v>41331</v>
      </c>
      <c r="I385" s="7" t="s">
        <v>32</v>
      </c>
      <c r="J385" s="7" t="s">
        <v>32</v>
      </c>
      <c r="K385" s="7" t="s">
        <v>961</v>
      </c>
      <c r="L385" s="7">
        <v>2</v>
      </c>
      <c r="M385" s="7" t="s">
        <v>32</v>
      </c>
      <c r="N385" s="7" t="s">
        <v>34</v>
      </c>
      <c r="O385" s="7" t="s">
        <v>190</v>
      </c>
      <c r="P385" s="7" t="s">
        <v>34</v>
      </c>
      <c r="Q385" s="7" t="s">
        <v>34</v>
      </c>
      <c r="R385" s="7" t="s">
        <v>34</v>
      </c>
      <c r="S385" s="7" t="s">
        <v>34</v>
      </c>
      <c r="T385" s="7" t="s">
        <v>34</v>
      </c>
      <c r="U385" s="7" t="s">
        <v>32</v>
      </c>
      <c r="V385" s="7">
        <v>1</v>
      </c>
      <c r="W385" s="7" t="s">
        <v>32</v>
      </c>
      <c r="X385" s="7" t="s">
        <v>32</v>
      </c>
      <c r="Y385" s="7" t="s">
        <v>32</v>
      </c>
      <c r="Z385" s="7" t="s">
        <v>32</v>
      </c>
      <c r="AA385" s="7">
        <v>23433741</v>
      </c>
      <c r="AB385" s="7">
        <v>1</v>
      </c>
      <c r="AD385" s="7">
        <v>4</v>
      </c>
      <c r="AE385" s="24">
        <v>18</v>
      </c>
      <c r="AF385" s="7">
        <v>8</v>
      </c>
      <c r="AG385" s="7">
        <v>10</v>
      </c>
      <c r="AH385" s="7" t="s">
        <v>1642</v>
      </c>
      <c r="AI385" s="7" t="s">
        <v>1642</v>
      </c>
      <c r="AJ385" s="7" t="s">
        <v>2024</v>
      </c>
      <c r="AK385" s="7">
        <v>250</v>
      </c>
      <c r="AM385" s="7" t="s">
        <v>2024</v>
      </c>
      <c r="AN385" s="7">
        <v>250</v>
      </c>
      <c r="AP385" s="7">
        <v>3</v>
      </c>
      <c r="AQ385" s="7" t="s">
        <v>2445</v>
      </c>
      <c r="AR385" s="7" t="s">
        <v>1637</v>
      </c>
      <c r="AS385" s="7" t="s">
        <v>1878</v>
      </c>
      <c r="AT385" s="7" t="s">
        <v>1640</v>
      </c>
      <c r="AU385" s="7" t="s">
        <v>178</v>
      </c>
      <c r="AV385" s="7" t="s">
        <v>2095</v>
      </c>
      <c r="AW385" s="7" t="s">
        <v>1639</v>
      </c>
      <c r="AX385" s="7" t="s">
        <v>2444</v>
      </c>
      <c r="AY385" s="7" t="s">
        <v>1955</v>
      </c>
      <c r="AZ385" s="7" t="s">
        <v>1650</v>
      </c>
      <c r="BA385" s="36">
        <v>308</v>
      </c>
      <c r="BB385" s="7">
        <v>301</v>
      </c>
      <c r="BC385" s="7" t="s">
        <v>2457</v>
      </c>
      <c r="BD385" s="7">
        <v>56.9452</v>
      </c>
      <c r="BF385" s="7">
        <f>66.3804-BD385</f>
        <v>9.4351999999999947</v>
      </c>
      <c r="BG385" s="7" t="s">
        <v>2475</v>
      </c>
      <c r="BH385" s="7">
        <v>20.385100000000001</v>
      </c>
      <c r="BJ385" s="7">
        <f>26.282-BH385</f>
        <v>5.8968999999999987</v>
      </c>
    </row>
    <row r="386" spans="1:62" x14ac:dyDescent="0.2">
      <c r="A386" s="7">
        <v>98</v>
      </c>
      <c r="B386" s="7" t="s">
        <v>965</v>
      </c>
      <c r="C386" s="7" t="s">
        <v>964</v>
      </c>
      <c r="D386" s="7" t="s">
        <v>963</v>
      </c>
      <c r="E386" s="7" t="s">
        <v>962</v>
      </c>
      <c r="F386" s="7" t="s">
        <v>137</v>
      </c>
      <c r="G386" s="7">
        <v>2013</v>
      </c>
      <c r="H386" s="7">
        <v>41331</v>
      </c>
      <c r="I386" s="7" t="s">
        <v>32</v>
      </c>
      <c r="J386" s="7" t="s">
        <v>32</v>
      </c>
      <c r="K386" s="7" t="s">
        <v>961</v>
      </c>
      <c r="L386" s="7">
        <v>2</v>
      </c>
      <c r="M386" s="7" t="s">
        <v>32</v>
      </c>
      <c r="N386" s="7" t="s">
        <v>34</v>
      </c>
      <c r="O386" s="7" t="s">
        <v>190</v>
      </c>
      <c r="P386" s="7" t="s">
        <v>34</v>
      </c>
      <c r="Q386" s="7" t="s">
        <v>34</v>
      </c>
      <c r="R386" s="7" t="s">
        <v>34</v>
      </c>
      <c r="S386" s="7" t="s">
        <v>34</v>
      </c>
      <c r="T386" s="7" t="s">
        <v>34</v>
      </c>
      <c r="U386" s="7" t="s">
        <v>32</v>
      </c>
      <c r="V386" s="7">
        <v>1</v>
      </c>
      <c r="W386" s="7" t="s">
        <v>32</v>
      </c>
      <c r="X386" s="7" t="s">
        <v>32</v>
      </c>
      <c r="Y386" s="7" t="s">
        <v>32</v>
      </c>
      <c r="Z386" s="7" t="s">
        <v>32</v>
      </c>
      <c r="AA386" s="7">
        <v>23433741</v>
      </c>
      <c r="AB386" s="7">
        <v>1</v>
      </c>
      <c r="AD386" s="7">
        <v>4</v>
      </c>
      <c r="AE386" s="24">
        <v>16</v>
      </c>
      <c r="AF386" s="7">
        <v>8</v>
      </c>
      <c r="AG386" s="7">
        <v>8</v>
      </c>
      <c r="AH386" s="7" t="s">
        <v>1642</v>
      </c>
      <c r="AI386" s="7" t="s">
        <v>1642</v>
      </c>
      <c r="AJ386" s="7" t="s">
        <v>2024</v>
      </c>
      <c r="AK386" s="7">
        <v>250</v>
      </c>
      <c r="AM386" s="7" t="s">
        <v>2024</v>
      </c>
      <c r="AN386" s="7">
        <v>250</v>
      </c>
      <c r="AP386" s="7">
        <v>3</v>
      </c>
      <c r="AQ386" s="7" t="s">
        <v>2445</v>
      </c>
      <c r="AR386" s="7" t="s">
        <v>1637</v>
      </c>
      <c r="AS386" s="7" t="s">
        <v>1878</v>
      </c>
      <c r="AT386" s="7" t="s">
        <v>1640</v>
      </c>
      <c r="AU386" s="7" t="s">
        <v>178</v>
      </c>
      <c r="AV386" s="7" t="s">
        <v>1641</v>
      </c>
      <c r="AW386" s="7" t="s">
        <v>1639</v>
      </c>
      <c r="AX386" s="7" t="s">
        <v>2444</v>
      </c>
      <c r="AY386" s="7" t="s">
        <v>1881</v>
      </c>
      <c r="AZ386" s="7" t="s">
        <v>1650</v>
      </c>
      <c r="BA386" s="36">
        <v>309</v>
      </c>
      <c r="BB386" s="7">
        <v>302</v>
      </c>
      <c r="BC386" s="7" t="s">
        <v>2458</v>
      </c>
      <c r="BD386" s="7">
        <v>88.0976</v>
      </c>
      <c r="BF386" s="7">
        <f>90.7868-BD386</f>
        <v>2.6891999999999996</v>
      </c>
      <c r="BG386" s="7" t="s">
        <v>2476</v>
      </c>
      <c r="BH386" s="7">
        <v>76.742999999999995</v>
      </c>
      <c r="BJ386" s="7">
        <f>84.9602-BH386</f>
        <v>8.2172000000000054</v>
      </c>
    </row>
    <row r="387" spans="1:62" x14ac:dyDescent="0.2">
      <c r="A387" s="7">
        <v>98</v>
      </c>
      <c r="B387" s="7" t="s">
        <v>965</v>
      </c>
      <c r="C387" s="7" t="s">
        <v>964</v>
      </c>
      <c r="D387" s="7" t="s">
        <v>963</v>
      </c>
      <c r="E387" s="7" t="s">
        <v>962</v>
      </c>
      <c r="F387" s="7" t="s">
        <v>137</v>
      </c>
      <c r="G387" s="7">
        <v>2013</v>
      </c>
      <c r="H387" s="7">
        <v>41331</v>
      </c>
      <c r="I387" s="7" t="s">
        <v>32</v>
      </c>
      <c r="J387" s="7" t="s">
        <v>32</v>
      </c>
      <c r="K387" s="7" t="s">
        <v>961</v>
      </c>
      <c r="L387" s="7">
        <v>2</v>
      </c>
      <c r="M387" s="7" t="s">
        <v>32</v>
      </c>
      <c r="N387" s="7" t="s">
        <v>34</v>
      </c>
      <c r="O387" s="7" t="s">
        <v>190</v>
      </c>
      <c r="P387" s="7" t="s">
        <v>34</v>
      </c>
      <c r="Q387" s="7" t="s">
        <v>34</v>
      </c>
      <c r="R387" s="7" t="s">
        <v>34</v>
      </c>
      <c r="S387" s="7" t="s">
        <v>34</v>
      </c>
      <c r="T387" s="7" t="s">
        <v>34</v>
      </c>
      <c r="U387" s="7" t="s">
        <v>32</v>
      </c>
      <c r="V387" s="7">
        <v>1</v>
      </c>
      <c r="W387" s="7" t="s">
        <v>32</v>
      </c>
      <c r="X387" s="7" t="s">
        <v>32</v>
      </c>
      <c r="Y387" s="7" t="s">
        <v>32</v>
      </c>
      <c r="Z387" s="7" t="s">
        <v>32</v>
      </c>
      <c r="AA387" s="7">
        <v>23433741</v>
      </c>
      <c r="AB387" s="7">
        <v>1</v>
      </c>
      <c r="AD387" s="7">
        <v>4</v>
      </c>
      <c r="AE387" s="24">
        <v>16</v>
      </c>
      <c r="AF387" s="7">
        <v>8</v>
      </c>
      <c r="AG387" s="7">
        <v>8</v>
      </c>
      <c r="AH387" s="7" t="s">
        <v>1642</v>
      </c>
      <c r="AI387" s="7" t="s">
        <v>1642</v>
      </c>
      <c r="AJ387" s="7" t="s">
        <v>2024</v>
      </c>
      <c r="AK387" s="7">
        <v>250</v>
      </c>
      <c r="AM387" s="7" t="s">
        <v>2024</v>
      </c>
      <c r="AN387" s="7">
        <v>250</v>
      </c>
      <c r="AP387" s="7">
        <v>3</v>
      </c>
      <c r="AQ387" s="7" t="s">
        <v>2445</v>
      </c>
      <c r="AR387" s="7" t="s">
        <v>1637</v>
      </c>
      <c r="AS387" s="7" t="s">
        <v>1878</v>
      </c>
      <c r="AT387" s="7" t="s">
        <v>1640</v>
      </c>
      <c r="AU387" s="7" t="s">
        <v>178</v>
      </c>
      <c r="AV387" s="7" t="s">
        <v>1653</v>
      </c>
      <c r="AW387" s="7" t="s">
        <v>1639</v>
      </c>
      <c r="AX387" s="7" t="s">
        <v>2444</v>
      </c>
      <c r="AY387" s="7" t="s">
        <v>1955</v>
      </c>
      <c r="AZ387" s="7" t="s">
        <v>1650</v>
      </c>
      <c r="BA387" s="36">
        <v>309</v>
      </c>
      <c r="BB387" s="7">
        <v>302</v>
      </c>
      <c r="BC387" s="7" t="s">
        <v>2459</v>
      </c>
      <c r="BD387" s="7">
        <v>79.432299999999998</v>
      </c>
      <c r="BF387" s="7">
        <f>85.1096-BD387</f>
        <v>5.6773000000000025</v>
      </c>
      <c r="BG387" s="7" t="s">
        <v>2477</v>
      </c>
      <c r="BH387" s="7">
        <v>39.093600000000002</v>
      </c>
      <c r="BJ387" s="7">
        <f>47.4602-BH387</f>
        <v>8.3665999999999983</v>
      </c>
    </row>
    <row r="388" spans="1:62" x14ac:dyDescent="0.2">
      <c r="A388" s="7">
        <v>98</v>
      </c>
      <c r="B388" s="7" t="s">
        <v>965</v>
      </c>
      <c r="C388" s="7" t="s">
        <v>964</v>
      </c>
      <c r="D388" s="7" t="s">
        <v>963</v>
      </c>
      <c r="E388" s="7" t="s">
        <v>962</v>
      </c>
      <c r="F388" s="7" t="s">
        <v>137</v>
      </c>
      <c r="G388" s="7">
        <v>2013</v>
      </c>
      <c r="H388" s="7">
        <v>41331</v>
      </c>
      <c r="I388" s="7" t="s">
        <v>32</v>
      </c>
      <c r="J388" s="7" t="s">
        <v>32</v>
      </c>
      <c r="K388" s="7" t="s">
        <v>961</v>
      </c>
      <c r="L388" s="7">
        <v>2</v>
      </c>
      <c r="M388" s="7" t="s">
        <v>32</v>
      </c>
      <c r="N388" s="7" t="s">
        <v>34</v>
      </c>
      <c r="O388" s="7" t="s">
        <v>190</v>
      </c>
      <c r="P388" s="7" t="s">
        <v>34</v>
      </c>
      <c r="Q388" s="7" t="s">
        <v>34</v>
      </c>
      <c r="R388" s="7" t="s">
        <v>34</v>
      </c>
      <c r="S388" s="7" t="s">
        <v>34</v>
      </c>
      <c r="T388" s="7" t="s">
        <v>34</v>
      </c>
      <c r="U388" s="7" t="s">
        <v>32</v>
      </c>
      <c r="V388" s="7">
        <v>1</v>
      </c>
      <c r="W388" s="7" t="s">
        <v>32</v>
      </c>
      <c r="X388" s="7" t="s">
        <v>32</v>
      </c>
      <c r="Y388" s="7" t="s">
        <v>32</v>
      </c>
      <c r="Z388" s="7" t="s">
        <v>32</v>
      </c>
      <c r="AA388" s="7">
        <v>23433741</v>
      </c>
      <c r="AB388" s="7">
        <v>1</v>
      </c>
      <c r="AD388" s="7">
        <v>4</v>
      </c>
      <c r="AE388" s="24">
        <v>16</v>
      </c>
      <c r="AF388" s="7">
        <v>8</v>
      </c>
      <c r="AG388" s="7">
        <v>8</v>
      </c>
      <c r="AH388" s="7" t="s">
        <v>1642</v>
      </c>
      <c r="AI388" s="7" t="s">
        <v>1642</v>
      </c>
      <c r="AJ388" s="7" t="s">
        <v>2024</v>
      </c>
      <c r="AK388" s="7">
        <v>250</v>
      </c>
      <c r="AM388" s="7" t="s">
        <v>2024</v>
      </c>
      <c r="AN388" s="7">
        <v>250</v>
      </c>
      <c r="AP388" s="7">
        <v>3</v>
      </c>
      <c r="AQ388" s="7" t="s">
        <v>2445</v>
      </c>
      <c r="AR388" s="7" t="s">
        <v>1637</v>
      </c>
      <c r="AS388" s="7" t="s">
        <v>1878</v>
      </c>
      <c r="AT388" s="7" t="s">
        <v>1640</v>
      </c>
      <c r="AU388" s="7" t="s">
        <v>178</v>
      </c>
      <c r="AV388" s="7" t="s">
        <v>2095</v>
      </c>
      <c r="AW388" s="7" t="s">
        <v>1639</v>
      </c>
      <c r="AX388" s="7" t="s">
        <v>2444</v>
      </c>
      <c r="AY388" s="7" t="s">
        <v>1955</v>
      </c>
      <c r="AZ388" s="7" t="s">
        <v>1650</v>
      </c>
      <c r="BA388" s="36">
        <v>309</v>
      </c>
      <c r="BB388" s="7">
        <v>302</v>
      </c>
      <c r="BC388" s="7" t="s">
        <v>2460</v>
      </c>
      <c r="BD388" s="7">
        <v>63.744999999999997</v>
      </c>
      <c r="BF388" s="7">
        <f>70.7669-BD388</f>
        <v>7.0219000000000094</v>
      </c>
      <c r="BG388" s="7" t="s">
        <v>2478</v>
      </c>
      <c r="BH388" s="7">
        <v>37.002000000000002</v>
      </c>
      <c r="BJ388" s="7">
        <f>46.2649-BH388</f>
        <v>9.2628999999999948</v>
      </c>
    </row>
    <row r="389" spans="1:62" x14ac:dyDescent="0.2">
      <c r="A389" s="7">
        <v>98</v>
      </c>
      <c r="B389" s="7" t="s">
        <v>965</v>
      </c>
      <c r="C389" s="7" t="s">
        <v>964</v>
      </c>
      <c r="D389" s="7" t="s">
        <v>963</v>
      </c>
      <c r="E389" s="7" t="s">
        <v>962</v>
      </c>
      <c r="F389" s="7" t="s">
        <v>137</v>
      </c>
      <c r="G389" s="7">
        <v>2013</v>
      </c>
      <c r="H389" s="7">
        <v>41331</v>
      </c>
      <c r="I389" s="7" t="s">
        <v>32</v>
      </c>
      <c r="J389" s="7" t="s">
        <v>32</v>
      </c>
      <c r="K389" s="7" t="s">
        <v>961</v>
      </c>
      <c r="L389" s="7">
        <v>2</v>
      </c>
      <c r="M389" s="7" t="s">
        <v>32</v>
      </c>
      <c r="N389" s="7" t="s">
        <v>34</v>
      </c>
      <c r="O389" s="7" t="s">
        <v>190</v>
      </c>
      <c r="P389" s="7" t="s">
        <v>34</v>
      </c>
      <c r="Q389" s="7" t="s">
        <v>34</v>
      </c>
      <c r="R389" s="7" t="s">
        <v>34</v>
      </c>
      <c r="S389" s="7" t="s">
        <v>34</v>
      </c>
      <c r="T389" s="7" t="s">
        <v>34</v>
      </c>
      <c r="U389" s="7" t="s">
        <v>32</v>
      </c>
      <c r="V389" s="7">
        <v>1</v>
      </c>
      <c r="W389" s="7" t="s">
        <v>32</v>
      </c>
      <c r="X389" s="7" t="s">
        <v>32</v>
      </c>
      <c r="Y389" s="7" t="s">
        <v>32</v>
      </c>
      <c r="Z389" s="7" t="s">
        <v>32</v>
      </c>
      <c r="AA389" s="7">
        <v>23433741</v>
      </c>
      <c r="AB389" s="7">
        <v>1</v>
      </c>
      <c r="AD389" s="7">
        <v>4</v>
      </c>
      <c r="AE389" s="24">
        <v>19</v>
      </c>
      <c r="AF389" s="7">
        <v>9</v>
      </c>
      <c r="AG389" s="7">
        <v>10</v>
      </c>
      <c r="AH389" s="7" t="s">
        <v>1642</v>
      </c>
      <c r="AI389" s="7" t="s">
        <v>1642</v>
      </c>
      <c r="AJ389" s="7" t="s">
        <v>2024</v>
      </c>
      <c r="AK389" s="7">
        <v>250</v>
      </c>
      <c r="AM389" s="7" t="s">
        <v>2024</v>
      </c>
      <c r="AN389" s="7">
        <v>250</v>
      </c>
      <c r="AP389" s="7">
        <v>3</v>
      </c>
      <c r="AQ389" s="7" t="s">
        <v>2445</v>
      </c>
      <c r="AR389" s="7" t="s">
        <v>1637</v>
      </c>
      <c r="AS389" s="7" t="s">
        <v>1878</v>
      </c>
      <c r="AT389" s="7" t="s">
        <v>1640</v>
      </c>
      <c r="AU389" s="7" t="s">
        <v>178</v>
      </c>
      <c r="AV389" s="7" t="s">
        <v>1641</v>
      </c>
      <c r="AW389" s="7" t="s">
        <v>1639</v>
      </c>
      <c r="AX389" s="7" t="s">
        <v>2444</v>
      </c>
      <c r="AY389" s="7" t="s">
        <v>1881</v>
      </c>
      <c r="AZ389" s="7" t="s">
        <v>1650</v>
      </c>
      <c r="BA389" s="36">
        <v>310</v>
      </c>
      <c r="BB389" s="7">
        <v>303</v>
      </c>
      <c r="BC389" s="7" t="s">
        <v>2461</v>
      </c>
      <c r="BD389" s="7">
        <v>91.599800000000002</v>
      </c>
      <c r="BF389" s="7">
        <f>93.0619-BD389</f>
        <v>1.4620999999999924</v>
      </c>
      <c r="BG389" s="7" t="s">
        <v>2479</v>
      </c>
      <c r="BH389" s="7">
        <v>83.600899999999996</v>
      </c>
      <c r="BJ389" s="7">
        <f>87.0413-BH389</f>
        <v>3.440400000000011</v>
      </c>
    </row>
    <row r="390" spans="1:62" x14ac:dyDescent="0.2">
      <c r="A390" s="7">
        <v>98</v>
      </c>
      <c r="B390" s="7" t="s">
        <v>965</v>
      </c>
      <c r="C390" s="7" t="s">
        <v>964</v>
      </c>
      <c r="D390" s="7" t="s">
        <v>963</v>
      </c>
      <c r="E390" s="7" t="s">
        <v>962</v>
      </c>
      <c r="F390" s="7" t="s">
        <v>137</v>
      </c>
      <c r="G390" s="7">
        <v>2013</v>
      </c>
      <c r="H390" s="7">
        <v>41331</v>
      </c>
      <c r="I390" s="7" t="s">
        <v>32</v>
      </c>
      <c r="J390" s="7" t="s">
        <v>32</v>
      </c>
      <c r="K390" s="7" t="s">
        <v>961</v>
      </c>
      <c r="L390" s="7">
        <v>2</v>
      </c>
      <c r="M390" s="7" t="s">
        <v>32</v>
      </c>
      <c r="N390" s="7" t="s">
        <v>34</v>
      </c>
      <c r="O390" s="7" t="s">
        <v>190</v>
      </c>
      <c r="P390" s="7" t="s">
        <v>34</v>
      </c>
      <c r="Q390" s="7" t="s">
        <v>34</v>
      </c>
      <c r="R390" s="7" t="s">
        <v>34</v>
      </c>
      <c r="S390" s="7" t="s">
        <v>34</v>
      </c>
      <c r="T390" s="7" t="s">
        <v>34</v>
      </c>
      <c r="U390" s="7" t="s">
        <v>32</v>
      </c>
      <c r="V390" s="7">
        <v>1</v>
      </c>
      <c r="W390" s="7" t="s">
        <v>32</v>
      </c>
      <c r="X390" s="7" t="s">
        <v>32</v>
      </c>
      <c r="Y390" s="7" t="s">
        <v>32</v>
      </c>
      <c r="Z390" s="7" t="s">
        <v>32</v>
      </c>
      <c r="AA390" s="7">
        <v>23433741</v>
      </c>
      <c r="AB390" s="7">
        <v>1</v>
      </c>
      <c r="AD390" s="7">
        <v>4</v>
      </c>
      <c r="AE390" s="24">
        <v>19</v>
      </c>
      <c r="AF390" s="7">
        <v>9</v>
      </c>
      <c r="AG390" s="7">
        <v>10</v>
      </c>
      <c r="AH390" s="7" t="s">
        <v>1642</v>
      </c>
      <c r="AI390" s="7" t="s">
        <v>1642</v>
      </c>
      <c r="AJ390" s="7" t="s">
        <v>2024</v>
      </c>
      <c r="AK390" s="7">
        <v>250</v>
      </c>
      <c r="AM390" s="7" t="s">
        <v>2024</v>
      </c>
      <c r="AN390" s="7">
        <v>250</v>
      </c>
      <c r="AP390" s="7">
        <v>3</v>
      </c>
      <c r="AQ390" s="7" t="s">
        <v>2445</v>
      </c>
      <c r="AR390" s="7" t="s">
        <v>1637</v>
      </c>
      <c r="AS390" s="7" t="s">
        <v>1878</v>
      </c>
      <c r="AT390" s="7" t="s">
        <v>1640</v>
      </c>
      <c r="AU390" s="7" t="s">
        <v>178</v>
      </c>
      <c r="AV390" s="7" t="s">
        <v>1653</v>
      </c>
      <c r="AW390" s="7" t="s">
        <v>1639</v>
      </c>
      <c r="AX390" s="7" t="s">
        <v>2444</v>
      </c>
      <c r="AY390" s="7" t="s">
        <v>1955</v>
      </c>
      <c r="AZ390" s="7" t="s">
        <v>1650</v>
      </c>
      <c r="BA390" s="36">
        <v>310</v>
      </c>
      <c r="BB390" s="7">
        <v>303</v>
      </c>
      <c r="BC390" s="7" t="s">
        <v>2462</v>
      </c>
      <c r="BD390" s="50">
        <v>80.332599999999999</v>
      </c>
      <c r="BF390" s="50">
        <f>83.4289-BD390</f>
        <v>3.0962999999999994</v>
      </c>
      <c r="BG390" s="7" t="s">
        <v>2480</v>
      </c>
      <c r="BH390" s="7">
        <v>41.456400000000002</v>
      </c>
      <c r="BJ390" s="7">
        <f>46.2729-BH390</f>
        <v>4.8164999999999978</v>
      </c>
    </row>
    <row r="391" spans="1:62" x14ac:dyDescent="0.2">
      <c r="A391" s="7">
        <v>98</v>
      </c>
      <c r="B391" s="7" t="s">
        <v>965</v>
      </c>
      <c r="C391" s="7" t="s">
        <v>964</v>
      </c>
      <c r="D391" s="7" t="s">
        <v>963</v>
      </c>
      <c r="E391" s="7" t="s">
        <v>962</v>
      </c>
      <c r="F391" s="7" t="s">
        <v>137</v>
      </c>
      <c r="G391" s="7">
        <v>2013</v>
      </c>
      <c r="H391" s="7">
        <v>41331</v>
      </c>
      <c r="I391" s="7" t="s">
        <v>32</v>
      </c>
      <c r="J391" s="7" t="s">
        <v>32</v>
      </c>
      <c r="K391" s="7" t="s">
        <v>961</v>
      </c>
      <c r="L391" s="7">
        <v>2</v>
      </c>
      <c r="M391" s="7" t="s">
        <v>32</v>
      </c>
      <c r="N391" s="7" t="s">
        <v>34</v>
      </c>
      <c r="O391" s="7" t="s">
        <v>190</v>
      </c>
      <c r="P391" s="7" t="s">
        <v>34</v>
      </c>
      <c r="Q391" s="7" t="s">
        <v>34</v>
      </c>
      <c r="R391" s="7" t="s">
        <v>34</v>
      </c>
      <c r="S391" s="7" t="s">
        <v>34</v>
      </c>
      <c r="T391" s="7" t="s">
        <v>34</v>
      </c>
      <c r="U391" s="7" t="s">
        <v>32</v>
      </c>
      <c r="V391" s="7">
        <v>1</v>
      </c>
      <c r="W391" s="7" t="s">
        <v>32</v>
      </c>
      <c r="X391" s="7" t="s">
        <v>32</v>
      </c>
      <c r="Y391" s="7" t="s">
        <v>32</v>
      </c>
      <c r="Z391" s="7" t="s">
        <v>32</v>
      </c>
      <c r="AA391" s="7">
        <v>23433741</v>
      </c>
      <c r="AB391" s="7">
        <v>1</v>
      </c>
      <c r="AD391" s="7">
        <v>4</v>
      </c>
      <c r="AE391" s="24">
        <v>19</v>
      </c>
      <c r="AF391" s="7">
        <v>9</v>
      </c>
      <c r="AG391" s="7">
        <v>10</v>
      </c>
      <c r="AH391" s="7" t="s">
        <v>1642</v>
      </c>
      <c r="AI391" s="7" t="s">
        <v>1642</v>
      </c>
      <c r="AJ391" s="7" t="s">
        <v>2024</v>
      </c>
      <c r="AK391" s="7">
        <v>250</v>
      </c>
      <c r="AM391" s="7" t="s">
        <v>2024</v>
      </c>
      <c r="AN391" s="7">
        <v>250</v>
      </c>
      <c r="AP391" s="7">
        <v>3</v>
      </c>
      <c r="AQ391" s="7" t="s">
        <v>2445</v>
      </c>
      <c r="AR391" s="7" t="s">
        <v>1637</v>
      </c>
      <c r="AS391" s="7" t="s">
        <v>1878</v>
      </c>
      <c r="AT391" s="7" t="s">
        <v>1640</v>
      </c>
      <c r="AU391" s="7" t="s">
        <v>178</v>
      </c>
      <c r="AV391" s="7" t="s">
        <v>2095</v>
      </c>
      <c r="AW391" s="7" t="s">
        <v>1639</v>
      </c>
      <c r="AX391" s="7" t="s">
        <v>2444</v>
      </c>
      <c r="AY391" s="36" t="s">
        <v>1955</v>
      </c>
      <c r="AZ391" s="7" t="s">
        <v>1650</v>
      </c>
      <c r="BA391" s="36">
        <v>310</v>
      </c>
      <c r="BB391" s="7">
        <v>303</v>
      </c>
      <c r="BC391" s="7" t="s">
        <v>2463</v>
      </c>
      <c r="BD391" s="7">
        <v>56.766100000000002</v>
      </c>
      <c r="BF391" s="7">
        <f>64.1628-BD391</f>
        <v>7.3967000000000027</v>
      </c>
      <c r="BG391" s="7" t="s">
        <v>2481</v>
      </c>
      <c r="BH391" s="7">
        <v>24.770600000000002</v>
      </c>
      <c r="BJ391" s="7">
        <f>30.1892-BH391</f>
        <v>5.4185999999999979</v>
      </c>
    </row>
    <row r="392" spans="1:62" x14ac:dyDescent="0.2">
      <c r="A392" s="7">
        <v>99</v>
      </c>
      <c r="B392" s="7" t="s">
        <v>960</v>
      </c>
      <c r="C392" s="7" t="s">
        <v>959</v>
      </c>
      <c r="D392" s="7" t="s">
        <v>958</v>
      </c>
      <c r="E392" s="7" t="s">
        <v>957</v>
      </c>
      <c r="F392" s="7" t="s">
        <v>755</v>
      </c>
      <c r="G392" s="7">
        <v>2013</v>
      </c>
      <c r="H392" s="7">
        <v>41233</v>
      </c>
      <c r="I392" s="7" t="s">
        <v>32</v>
      </c>
      <c r="J392" s="7" t="s">
        <v>32</v>
      </c>
      <c r="K392" s="7" t="s">
        <v>956</v>
      </c>
      <c r="L392" s="7">
        <v>2</v>
      </c>
      <c r="M392" s="7" t="s">
        <v>32</v>
      </c>
      <c r="N392" s="7" t="s">
        <v>794</v>
      </c>
      <c r="O392" s="7" t="s">
        <v>32</v>
      </c>
      <c r="P392" s="7" t="s">
        <v>34</v>
      </c>
      <c r="Q392" s="7" t="s">
        <v>34</v>
      </c>
      <c r="R392" s="7" t="s">
        <v>34</v>
      </c>
      <c r="S392" s="7" t="s">
        <v>34</v>
      </c>
      <c r="T392" s="7" t="s">
        <v>34</v>
      </c>
      <c r="U392" s="7" t="s">
        <v>34</v>
      </c>
      <c r="V392" s="7">
        <v>1</v>
      </c>
      <c r="W392" s="7" t="s">
        <v>178</v>
      </c>
      <c r="X392" s="7">
        <v>1</v>
      </c>
      <c r="Y392" s="7" t="s">
        <v>909</v>
      </c>
      <c r="Z392" s="7" t="s">
        <v>955</v>
      </c>
      <c r="AA392" s="7">
        <v>23159544</v>
      </c>
      <c r="AB392" s="7">
        <v>1</v>
      </c>
      <c r="AD392" s="7">
        <v>4</v>
      </c>
      <c r="AE392" s="24">
        <v>12</v>
      </c>
      <c r="AF392" s="7">
        <v>6</v>
      </c>
      <c r="AG392" s="7">
        <v>6</v>
      </c>
      <c r="AH392" s="7" t="s">
        <v>1642</v>
      </c>
      <c r="AI392" s="7" t="s">
        <v>1642</v>
      </c>
      <c r="AK392" s="7">
        <v>325</v>
      </c>
      <c r="AN392" s="7">
        <v>325</v>
      </c>
      <c r="AP392" s="7">
        <v>15</v>
      </c>
      <c r="AQ392" s="7" t="s">
        <v>2483</v>
      </c>
      <c r="AR392" s="7" t="s">
        <v>1814</v>
      </c>
      <c r="AS392" s="7" t="s">
        <v>1667</v>
      </c>
      <c r="AT392" s="7" t="s">
        <v>1640</v>
      </c>
      <c r="AU392" s="7" t="s">
        <v>178</v>
      </c>
      <c r="AV392" s="7" t="s">
        <v>1653</v>
      </c>
      <c r="AW392" s="7" t="s">
        <v>1639</v>
      </c>
      <c r="AX392" s="7" t="s">
        <v>2482</v>
      </c>
      <c r="AY392" s="36" t="s">
        <v>1881</v>
      </c>
      <c r="AZ392" s="7" t="s">
        <v>1650</v>
      </c>
      <c r="BA392" s="36">
        <v>311</v>
      </c>
      <c r="BB392" s="7">
        <v>304</v>
      </c>
      <c r="BC392" s="7" t="s">
        <v>2484</v>
      </c>
      <c r="BD392" s="36">
        <v>78.055700000000002</v>
      </c>
      <c r="BE392" s="36"/>
      <c r="BF392" s="36">
        <f>90.0616-BD392</f>
        <v>12.005899999999997</v>
      </c>
      <c r="BG392" s="36" t="s">
        <v>2493</v>
      </c>
      <c r="BH392" s="36">
        <v>25.054300000000001</v>
      </c>
      <c r="BI392" s="36"/>
      <c r="BJ392" s="36">
        <f>36.6209-BH392</f>
        <v>11.566599999999998</v>
      </c>
    </row>
    <row r="393" spans="1:62" x14ac:dyDescent="0.2">
      <c r="A393" s="7">
        <v>99</v>
      </c>
      <c r="B393" s="7" t="s">
        <v>960</v>
      </c>
      <c r="C393" s="7" t="s">
        <v>959</v>
      </c>
      <c r="D393" s="7" t="s">
        <v>958</v>
      </c>
      <c r="E393" s="7" t="s">
        <v>957</v>
      </c>
      <c r="F393" s="7" t="s">
        <v>755</v>
      </c>
      <c r="G393" s="7">
        <v>2013</v>
      </c>
      <c r="H393" s="7">
        <v>41233</v>
      </c>
      <c r="I393" s="7" t="s">
        <v>32</v>
      </c>
      <c r="J393" s="7" t="s">
        <v>32</v>
      </c>
      <c r="K393" s="7" t="s">
        <v>956</v>
      </c>
      <c r="L393" s="7">
        <v>2</v>
      </c>
      <c r="M393" s="7" t="s">
        <v>32</v>
      </c>
      <c r="N393" s="7" t="s">
        <v>794</v>
      </c>
      <c r="O393" s="7" t="s">
        <v>32</v>
      </c>
      <c r="P393" s="7" t="s">
        <v>34</v>
      </c>
      <c r="Q393" s="7" t="s">
        <v>34</v>
      </c>
      <c r="R393" s="7" t="s">
        <v>34</v>
      </c>
      <c r="S393" s="7" t="s">
        <v>34</v>
      </c>
      <c r="T393" s="7" t="s">
        <v>34</v>
      </c>
      <c r="U393" s="7" t="s">
        <v>34</v>
      </c>
      <c r="V393" s="7">
        <v>1</v>
      </c>
      <c r="W393" s="7" t="s">
        <v>178</v>
      </c>
      <c r="X393" s="7">
        <v>1</v>
      </c>
      <c r="Y393" s="7" t="s">
        <v>909</v>
      </c>
      <c r="Z393" s="7" t="s">
        <v>955</v>
      </c>
      <c r="AA393" s="7">
        <v>23159544</v>
      </c>
      <c r="AB393" s="7">
        <v>1</v>
      </c>
      <c r="AD393" s="7">
        <v>4</v>
      </c>
      <c r="AE393" s="24">
        <v>12</v>
      </c>
      <c r="AF393" s="7">
        <v>6</v>
      </c>
      <c r="AG393" s="7">
        <v>6</v>
      </c>
      <c r="AH393" s="7" t="s">
        <v>1642</v>
      </c>
      <c r="AI393" s="7" t="s">
        <v>1642</v>
      </c>
      <c r="AK393" s="7">
        <v>325</v>
      </c>
      <c r="AN393" s="7">
        <v>325</v>
      </c>
      <c r="AP393" s="7">
        <v>15</v>
      </c>
      <c r="AQ393" s="7" t="s">
        <v>2483</v>
      </c>
      <c r="AR393" s="7" t="s">
        <v>1814</v>
      </c>
      <c r="AS393" s="7" t="s">
        <v>1667</v>
      </c>
      <c r="AT393" s="7" t="s">
        <v>1640</v>
      </c>
      <c r="AU393" s="7" t="s">
        <v>178</v>
      </c>
      <c r="AV393" s="7" t="s">
        <v>2095</v>
      </c>
      <c r="AW393" s="7" t="s">
        <v>1639</v>
      </c>
      <c r="AX393" s="7" t="s">
        <v>2482</v>
      </c>
      <c r="AY393" s="36" t="s">
        <v>1955</v>
      </c>
      <c r="AZ393" s="7" t="s">
        <v>1650</v>
      </c>
      <c r="BA393" s="36">
        <v>311</v>
      </c>
      <c r="BB393" s="7">
        <v>304</v>
      </c>
      <c r="BC393" s="7" t="s">
        <v>2485</v>
      </c>
      <c r="BD393" s="36">
        <v>64.450100000000006</v>
      </c>
      <c r="BE393" s="36"/>
      <c r="BF393" s="36">
        <f>77.0416-BD393</f>
        <v>12.591499999999996</v>
      </c>
      <c r="BG393" s="36" t="s">
        <v>2494</v>
      </c>
      <c r="BH393" s="36">
        <v>15.401999999999999</v>
      </c>
      <c r="BI393" s="36"/>
      <c r="BJ393" s="36">
        <f>23.8938-BH393</f>
        <v>8.4917999999999996</v>
      </c>
    </row>
    <row r="394" spans="1:62" x14ac:dyDescent="0.2">
      <c r="A394" s="7">
        <v>99</v>
      </c>
      <c r="B394" s="7" t="s">
        <v>960</v>
      </c>
      <c r="C394" s="7" t="s">
        <v>959</v>
      </c>
      <c r="D394" s="7" t="s">
        <v>958</v>
      </c>
      <c r="E394" s="7" t="s">
        <v>957</v>
      </c>
      <c r="F394" s="7" t="s">
        <v>755</v>
      </c>
      <c r="G394" s="7">
        <v>2013</v>
      </c>
      <c r="H394" s="7">
        <v>41233</v>
      </c>
      <c r="I394" s="7" t="s">
        <v>32</v>
      </c>
      <c r="J394" s="7" t="s">
        <v>32</v>
      </c>
      <c r="K394" s="7" t="s">
        <v>956</v>
      </c>
      <c r="L394" s="7">
        <v>2</v>
      </c>
      <c r="M394" s="7" t="s">
        <v>32</v>
      </c>
      <c r="N394" s="7" t="s">
        <v>794</v>
      </c>
      <c r="O394" s="7" t="s">
        <v>32</v>
      </c>
      <c r="P394" s="7" t="s">
        <v>34</v>
      </c>
      <c r="Q394" s="7" t="s">
        <v>34</v>
      </c>
      <c r="R394" s="7" t="s">
        <v>34</v>
      </c>
      <c r="S394" s="7" t="s">
        <v>34</v>
      </c>
      <c r="T394" s="7" t="s">
        <v>34</v>
      </c>
      <c r="U394" s="7" t="s">
        <v>34</v>
      </c>
      <c r="V394" s="7">
        <v>1</v>
      </c>
      <c r="W394" s="7" t="s">
        <v>178</v>
      </c>
      <c r="X394" s="7">
        <v>1</v>
      </c>
      <c r="Y394" s="7" t="s">
        <v>909</v>
      </c>
      <c r="Z394" s="7" t="s">
        <v>955</v>
      </c>
      <c r="AA394" s="7">
        <v>23159544</v>
      </c>
      <c r="AB394" s="7">
        <v>1</v>
      </c>
      <c r="AD394" s="7">
        <v>4</v>
      </c>
      <c r="AE394" s="24">
        <v>12</v>
      </c>
      <c r="AF394" s="7">
        <v>6</v>
      </c>
      <c r="AG394" s="7">
        <v>6</v>
      </c>
      <c r="AH394" s="7" t="s">
        <v>1642</v>
      </c>
      <c r="AI394" s="7" t="s">
        <v>1642</v>
      </c>
      <c r="AK394" s="7">
        <v>325</v>
      </c>
      <c r="AN394" s="7">
        <v>325</v>
      </c>
      <c r="AP394" s="7">
        <v>15</v>
      </c>
      <c r="AQ394" s="7" t="s">
        <v>2483</v>
      </c>
      <c r="AR394" s="7" t="s">
        <v>1814</v>
      </c>
      <c r="AS394" s="7" t="s">
        <v>1667</v>
      </c>
      <c r="AT394" s="7" t="s">
        <v>1640</v>
      </c>
      <c r="AU394" s="7" t="s">
        <v>178</v>
      </c>
      <c r="AV394" s="7" t="s">
        <v>1689</v>
      </c>
      <c r="AW394" s="7" t="s">
        <v>1639</v>
      </c>
      <c r="AX394" s="7" t="s">
        <v>2482</v>
      </c>
      <c r="AY394" s="36" t="s">
        <v>1881</v>
      </c>
      <c r="AZ394" s="7" t="s">
        <v>1650</v>
      </c>
      <c r="BA394" s="36">
        <v>311</v>
      </c>
      <c r="BB394" s="7">
        <v>304</v>
      </c>
      <c r="BC394" s="7" t="s">
        <v>2486</v>
      </c>
      <c r="BD394" s="36">
        <v>35.660600000000002</v>
      </c>
      <c r="BE394" s="36"/>
      <c r="BF394" s="36">
        <f>48.6912-BD394</f>
        <v>13.0306</v>
      </c>
      <c r="BG394" s="36" t="s">
        <v>2495</v>
      </c>
      <c r="BH394" s="36">
        <v>7.9885999999999999</v>
      </c>
      <c r="BI394" s="36"/>
      <c r="BJ394" s="36">
        <f>11.2097-BH394</f>
        <v>3.2210999999999999</v>
      </c>
    </row>
    <row r="395" spans="1:62" x14ac:dyDescent="0.2">
      <c r="A395" s="7">
        <v>99</v>
      </c>
      <c r="B395" s="7" t="s">
        <v>960</v>
      </c>
      <c r="C395" s="7" t="s">
        <v>959</v>
      </c>
      <c r="D395" s="7" t="s">
        <v>958</v>
      </c>
      <c r="E395" s="7" t="s">
        <v>957</v>
      </c>
      <c r="F395" s="7" t="s">
        <v>755</v>
      </c>
      <c r="G395" s="7">
        <v>2013</v>
      </c>
      <c r="H395" s="7">
        <v>41233</v>
      </c>
      <c r="I395" s="7" t="s">
        <v>32</v>
      </c>
      <c r="J395" s="7" t="s">
        <v>32</v>
      </c>
      <c r="K395" s="7" t="s">
        <v>956</v>
      </c>
      <c r="L395" s="7">
        <v>2</v>
      </c>
      <c r="M395" s="7" t="s">
        <v>32</v>
      </c>
      <c r="N395" s="7" t="s">
        <v>794</v>
      </c>
      <c r="O395" s="7" t="s">
        <v>32</v>
      </c>
      <c r="P395" s="7" t="s">
        <v>34</v>
      </c>
      <c r="Q395" s="7" t="s">
        <v>34</v>
      </c>
      <c r="R395" s="7" t="s">
        <v>34</v>
      </c>
      <c r="S395" s="7" t="s">
        <v>34</v>
      </c>
      <c r="T395" s="7" t="s">
        <v>34</v>
      </c>
      <c r="U395" s="7" t="s">
        <v>34</v>
      </c>
      <c r="V395" s="7">
        <v>1</v>
      </c>
      <c r="W395" s="7" t="s">
        <v>178</v>
      </c>
      <c r="X395" s="7">
        <v>1</v>
      </c>
      <c r="Y395" s="7" t="s">
        <v>909</v>
      </c>
      <c r="Z395" s="7" t="s">
        <v>955</v>
      </c>
      <c r="AA395" s="7">
        <v>23159544</v>
      </c>
      <c r="AB395" s="7">
        <v>1</v>
      </c>
      <c r="AD395" s="7">
        <v>4</v>
      </c>
      <c r="AE395" s="24">
        <v>12</v>
      </c>
      <c r="AF395" s="7">
        <v>6</v>
      </c>
      <c r="AG395" s="7">
        <v>6</v>
      </c>
      <c r="AH395" s="7" t="s">
        <v>1642</v>
      </c>
      <c r="AI395" s="7" t="s">
        <v>1642</v>
      </c>
      <c r="AK395" s="7">
        <v>325</v>
      </c>
      <c r="AN395" s="7">
        <v>325</v>
      </c>
      <c r="AP395" s="7">
        <v>15</v>
      </c>
      <c r="AQ395" s="7" t="s">
        <v>2483</v>
      </c>
      <c r="AR395" s="7" t="s">
        <v>1814</v>
      </c>
      <c r="AS395" s="7" t="s">
        <v>1667</v>
      </c>
      <c r="AT395" s="7" t="s">
        <v>1640</v>
      </c>
      <c r="AU395" s="7" t="s">
        <v>178</v>
      </c>
      <c r="AV395" s="7" t="s">
        <v>1964</v>
      </c>
      <c r="AW395" s="7" t="s">
        <v>1639</v>
      </c>
      <c r="AX395" s="7" t="s">
        <v>2482</v>
      </c>
      <c r="AY395" s="36" t="s">
        <v>1881</v>
      </c>
      <c r="AZ395" s="7" t="s">
        <v>1650</v>
      </c>
      <c r="BA395" s="36">
        <v>311</v>
      </c>
      <c r="BB395" s="7">
        <v>304</v>
      </c>
      <c r="BC395" s="7" t="s">
        <v>2487</v>
      </c>
      <c r="BD395" s="36">
        <v>29.868600000000001</v>
      </c>
      <c r="BE395" s="36"/>
      <c r="BF395" s="36">
        <f>46.2666-BD395</f>
        <v>16.397999999999996</v>
      </c>
      <c r="BG395" s="36" t="s">
        <v>2496</v>
      </c>
      <c r="BH395" s="36">
        <v>1.31816</v>
      </c>
      <c r="BI395" s="36"/>
      <c r="BJ395" s="36">
        <f>2.63588-BH395</f>
        <v>1.3177199999999998</v>
      </c>
    </row>
    <row r="396" spans="1:62" x14ac:dyDescent="0.2">
      <c r="A396" s="7">
        <v>99</v>
      </c>
      <c r="B396" s="7" t="s">
        <v>960</v>
      </c>
      <c r="C396" s="7" t="s">
        <v>959</v>
      </c>
      <c r="D396" s="7" t="s">
        <v>958</v>
      </c>
      <c r="E396" s="7" t="s">
        <v>957</v>
      </c>
      <c r="F396" s="7" t="s">
        <v>755</v>
      </c>
      <c r="G396" s="7">
        <v>2013</v>
      </c>
      <c r="H396" s="7">
        <v>41233</v>
      </c>
      <c r="I396" s="7" t="s">
        <v>32</v>
      </c>
      <c r="J396" s="7" t="s">
        <v>32</v>
      </c>
      <c r="K396" s="7" t="s">
        <v>956</v>
      </c>
      <c r="L396" s="7">
        <v>2</v>
      </c>
      <c r="M396" s="7" t="s">
        <v>32</v>
      </c>
      <c r="N396" s="7" t="s">
        <v>794</v>
      </c>
      <c r="O396" s="7" t="s">
        <v>32</v>
      </c>
      <c r="P396" s="7" t="s">
        <v>34</v>
      </c>
      <c r="Q396" s="7" t="s">
        <v>34</v>
      </c>
      <c r="R396" s="7" t="s">
        <v>34</v>
      </c>
      <c r="S396" s="7" t="s">
        <v>34</v>
      </c>
      <c r="T396" s="7" t="s">
        <v>34</v>
      </c>
      <c r="U396" s="7" t="s">
        <v>34</v>
      </c>
      <c r="V396" s="7">
        <v>1</v>
      </c>
      <c r="W396" s="7" t="s">
        <v>178</v>
      </c>
      <c r="X396" s="7">
        <v>1</v>
      </c>
      <c r="Y396" s="7" t="s">
        <v>909</v>
      </c>
      <c r="Z396" s="7" t="s">
        <v>955</v>
      </c>
      <c r="AA396" s="7">
        <v>23159544</v>
      </c>
      <c r="AB396" s="7">
        <v>1</v>
      </c>
      <c r="AD396" s="7">
        <v>4</v>
      </c>
      <c r="AE396" s="24">
        <v>12</v>
      </c>
      <c r="AF396" s="7">
        <v>6</v>
      </c>
      <c r="AG396" s="7">
        <v>6</v>
      </c>
      <c r="AH396" s="7" t="s">
        <v>1642</v>
      </c>
      <c r="AI396" s="7" t="s">
        <v>1642</v>
      </c>
      <c r="AK396" s="7">
        <v>325</v>
      </c>
      <c r="AN396" s="7">
        <v>325</v>
      </c>
      <c r="AP396" s="7">
        <v>15</v>
      </c>
      <c r="AQ396" s="7" t="s">
        <v>2483</v>
      </c>
      <c r="AR396" s="7" t="s">
        <v>1814</v>
      </c>
      <c r="AS396" s="7" t="s">
        <v>1667</v>
      </c>
      <c r="AT396" s="7" t="s">
        <v>1640</v>
      </c>
      <c r="AU396" s="7" t="s">
        <v>178</v>
      </c>
      <c r="AV396" s="7" t="s">
        <v>1653</v>
      </c>
      <c r="AW396" s="7" t="s">
        <v>1639</v>
      </c>
      <c r="AX396" s="7" t="s">
        <v>2482</v>
      </c>
      <c r="AY396" s="36" t="s">
        <v>1881</v>
      </c>
      <c r="AZ396" s="7" t="s">
        <v>1650</v>
      </c>
      <c r="BA396" s="36">
        <v>312</v>
      </c>
      <c r="BB396" s="7">
        <v>305</v>
      </c>
      <c r="BC396" s="7" t="s">
        <v>2488</v>
      </c>
      <c r="BD396" s="36">
        <v>79.688900000000004</v>
      </c>
      <c r="BE396" s="36"/>
      <c r="BF396" s="36">
        <f>86.7111-BD396</f>
        <v>7.022199999999998</v>
      </c>
      <c r="BG396" s="36" t="s">
        <v>2497</v>
      </c>
      <c r="BH396" s="36">
        <v>30</v>
      </c>
      <c r="BI396" s="36"/>
      <c r="BJ396" s="36">
        <f>36.5185-BH396</f>
        <v>6.5185000000000031</v>
      </c>
    </row>
    <row r="397" spans="1:62" x14ac:dyDescent="0.2">
      <c r="A397" s="7">
        <v>99</v>
      </c>
      <c r="B397" s="7" t="s">
        <v>960</v>
      </c>
      <c r="C397" s="7" t="s">
        <v>959</v>
      </c>
      <c r="D397" s="7" t="s">
        <v>958</v>
      </c>
      <c r="E397" s="7" t="s">
        <v>957</v>
      </c>
      <c r="F397" s="7" t="s">
        <v>755</v>
      </c>
      <c r="G397" s="7">
        <v>2013</v>
      </c>
      <c r="H397" s="7">
        <v>41233</v>
      </c>
      <c r="I397" s="7" t="s">
        <v>32</v>
      </c>
      <c r="J397" s="7" t="s">
        <v>32</v>
      </c>
      <c r="K397" s="7" t="s">
        <v>956</v>
      </c>
      <c r="L397" s="7">
        <v>2</v>
      </c>
      <c r="M397" s="7" t="s">
        <v>32</v>
      </c>
      <c r="N397" s="7" t="s">
        <v>794</v>
      </c>
      <c r="O397" s="7" t="s">
        <v>32</v>
      </c>
      <c r="P397" s="7" t="s">
        <v>34</v>
      </c>
      <c r="Q397" s="7" t="s">
        <v>34</v>
      </c>
      <c r="R397" s="7" t="s">
        <v>34</v>
      </c>
      <c r="S397" s="7" t="s">
        <v>34</v>
      </c>
      <c r="T397" s="7" t="s">
        <v>34</v>
      </c>
      <c r="U397" s="7" t="s">
        <v>34</v>
      </c>
      <c r="V397" s="7">
        <v>1</v>
      </c>
      <c r="W397" s="7" t="s">
        <v>178</v>
      </c>
      <c r="X397" s="7">
        <v>1</v>
      </c>
      <c r="Y397" s="7" t="s">
        <v>909</v>
      </c>
      <c r="Z397" s="7" t="s">
        <v>955</v>
      </c>
      <c r="AA397" s="7">
        <v>23159544</v>
      </c>
      <c r="AB397" s="7">
        <v>1</v>
      </c>
      <c r="AD397" s="7">
        <v>4</v>
      </c>
      <c r="AE397" s="24">
        <v>12</v>
      </c>
      <c r="AF397" s="7">
        <v>6</v>
      </c>
      <c r="AG397" s="7">
        <v>6</v>
      </c>
      <c r="AH397" s="7" t="s">
        <v>1642</v>
      </c>
      <c r="AI397" s="7" t="s">
        <v>1642</v>
      </c>
      <c r="AK397" s="7">
        <v>325</v>
      </c>
      <c r="AN397" s="7">
        <v>325</v>
      </c>
      <c r="AP397" s="7">
        <v>15</v>
      </c>
      <c r="AQ397" s="7" t="s">
        <v>2483</v>
      </c>
      <c r="AR397" s="7" t="s">
        <v>1814</v>
      </c>
      <c r="AS397" s="7" t="s">
        <v>1667</v>
      </c>
      <c r="AT397" s="7" t="s">
        <v>1640</v>
      </c>
      <c r="AU397" s="7" t="s">
        <v>178</v>
      </c>
      <c r="AV397" s="7" t="s">
        <v>2095</v>
      </c>
      <c r="AW397" s="7" t="s">
        <v>1639</v>
      </c>
      <c r="AX397" s="7" t="s">
        <v>2482</v>
      </c>
      <c r="AY397" s="36" t="s">
        <v>1955</v>
      </c>
      <c r="AZ397" s="7" t="s">
        <v>1650</v>
      </c>
      <c r="BA397" s="36">
        <v>312</v>
      </c>
      <c r="BB397" s="7">
        <v>305</v>
      </c>
      <c r="BC397" s="7" t="s">
        <v>2489</v>
      </c>
      <c r="BD397" s="36">
        <v>69.022199999999998</v>
      </c>
      <c r="BE397" s="36"/>
      <c r="BF397" s="36">
        <f>77.2-BD397</f>
        <v>8.1778000000000048</v>
      </c>
      <c r="BG397" s="36" t="s">
        <v>2498</v>
      </c>
      <c r="BH397" s="36">
        <v>16.666699999999999</v>
      </c>
      <c r="BI397" s="36"/>
      <c r="BJ397" s="36">
        <f>23.1556-BH397</f>
        <v>6.488900000000001</v>
      </c>
    </row>
    <row r="398" spans="1:62" x14ac:dyDescent="0.2">
      <c r="A398" s="7">
        <v>99</v>
      </c>
      <c r="B398" s="7" t="s">
        <v>960</v>
      </c>
      <c r="C398" s="7" t="s">
        <v>959</v>
      </c>
      <c r="D398" s="7" t="s">
        <v>958</v>
      </c>
      <c r="E398" s="7" t="s">
        <v>957</v>
      </c>
      <c r="F398" s="7" t="s">
        <v>755</v>
      </c>
      <c r="G398" s="7">
        <v>2013</v>
      </c>
      <c r="H398" s="7">
        <v>41233</v>
      </c>
      <c r="I398" s="7" t="s">
        <v>32</v>
      </c>
      <c r="J398" s="7" t="s">
        <v>32</v>
      </c>
      <c r="K398" s="7" t="s">
        <v>956</v>
      </c>
      <c r="L398" s="7">
        <v>2</v>
      </c>
      <c r="M398" s="7" t="s">
        <v>32</v>
      </c>
      <c r="N398" s="7" t="s">
        <v>794</v>
      </c>
      <c r="O398" s="7" t="s">
        <v>32</v>
      </c>
      <c r="P398" s="7" t="s">
        <v>34</v>
      </c>
      <c r="Q398" s="7" t="s">
        <v>34</v>
      </c>
      <c r="R398" s="7" t="s">
        <v>34</v>
      </c>
      <c r="S398" s="7" t="s">
        <v>34</v>
      </c>
      <c r="T398" s="7" t="s">
        <v>34</v>
      </c>
      <c r="U398" s="7" t="s">
        <v>34</v>
      </c>
      <c r="V398" s="7">
        <v>1</v>
      </c>
      <c r="W398" s="7" t="s">
        <v>178</v>
      </c>
      <c r="X398" s="7">
        <v>1</v>
      </c>
      <c r="Y398" s="7" t="s">
        <v>909</v>
      </c>
      <c r="Z398" s="7" t="s">
        <v>955</v>
      </c>
      <c r="AA398" s="7">
        <v>23159544</v>
      </c>
      <c r="AB398" s="7">
        <v>1</v>
      </c>
      <c r="AD398" s="7">
        <v>4</v>
      </c>
      <c r="AE398" s="24">
        <v>12</v>
      </c>
      <c r="AF398" s="7">
        <v>6</v>
      </c>
      <c r="AG398" s="7">
        <v>6</v>
      </c>
      <c r="AH398" s="7" t="s">
        <v>1642</v>
      </c>
      <c r="AI398" s="7" t="s">
        <v>1642</v>
      </c>
      <c r="AK398" s="7">
        <v>325</v>
      </c>
      <c r="AN398" s="7">
        <v>325</v>
      </c>
      <c r="AP398" s="7">
        <v>15</v>
      </c>
      <c r="AQ398" s="7" t="s">
        <v>2483</v>
      </c>
      <c r="AR398" s="7" t="s">
        <v>1814</v>
      </c>
      <c r="AS398" s="7" t="s">
        <v>1667</v>
      </c>
      <c r="AT398" s="7" t="s">
        <v>1640</v>
      </c>
      <c r="AU398" s="7" t="s">
        <v>178</v>
      </c>
      <c r="AV398" s="7" t="s">
        <v>1689</v>
      </c>
      <c r="AW398" s="7" t="s">
        <v>1639</v>
      </c>
      <c r="AX398" s="7" t="s">
        <v>2482</v>
      </c>
      <c r="AY398" s="36" t="s">
        <v>1881</v>
      </c>
      <c r="AZ398" s="7" t="s">
        <v>1650</v>
      </c>
      <c r="BA398" s="36">
        <v>312</v>
      </c>
      <c r="BB398" s="7">
        <v>305</v>
      </c>
      <c r="BC398" s="7" t="s">
        <v>2490</v>
      </c>
      <c r="BD398" s="36">
        <v>47.688899999999997</v>
      </c>
      <c r="BE398" s="36"/>
      <c r="BF398" s="36">
        <f>58.1778-BD398</f>
        <v>10.488900000000001</v>
      </c>
      <c r="BG398" s="36" t="s">
        <v>2499</v>
      </c>
      <c r="BH398" s="36">
        <v>21.2</v>
      </c>
      <c r="BI398" s="36"/>
      <c r="BJ398" s="36">
        <f>33.7333-BH398</f>
        <v>12.533300000000001</v>
      </c>
    </row>
    <row r="399" spans="1:62" x14ac:dyDescent="0.2">
      <c r="A399" s="7">
        <v>99</v>
      </c>
      <c r="B399" s="7" t="s">
        <v>960</v>
      </c>
      <c r="C399" s="7" t="s">
        <v>959</v>
      </c>
      <c r="D399" s="7" t="s">
        <v>958</v>
      </c>
      <c r="E399" s="7" t="s">
        <v>957</v>
      </c>
      <c r="F399" s="7" t="s">
        <v>755</v>
      </c>
      <c r="G399" s="7">
        <v>2013</v>
      </c>
      <c r="H399" s="7">
        <v>41233</v>
      </c>
      <c r="I399" s="7" t="s">
        <v>32</v>
      </c>
      <c r="J399" s="7" t="s">
        <v>32</v>
      </c>
      <c r="K399" s="7" t="s">
        <v>956</v>
      </c>
      <c r="L399" s="7">
        <v>2</v>
      </c>
      <c r="M399" s="7" t="s">
        <v>32</v>
      </c>
      <c r="N399" s="7" t="s">
        <v>794</v>
      </c>
      <c r="O399" s="7" t="s">
        <v>32</v>
      </c>
      <c r="P399" s="7" t="s">
        <v>34</v>
      </c>
      <c r="Q399" s="7" t="s">
        <v>34</v>
      </c>
      <c r="R399" s="7" t="s">
        <v>34</v>
      </c>
      <c r="S399" s="7" t="s">
        <v>34</v>
      </c>
      <c r="T399" s="7" t="s">
        <v>34</v>
      </c>
      <c r="U399" s="7" t="s">
        <v>34</v>
      </c>
      <c r="V399" s="7">
        <v>1</v>
      </c>
      <c r="W399" s="7" t="s">
        <v>178</v>
      </c>
      <c r="X399" s="7">
        <v>1</v>
      </c>
      <c r="Y399" s="7" t="s">
        <v>909</v>
      </c>
      <c r="Z399" s="7" t="s">
        <v>955</v>
      </c>
      <c r="AA399" s="7">
        <v>23159544</v>
      </c>
      <c r="AB399" s="7">
        <v>1</v>
      </c>
      <c r="AD399" s="7">
        <v>4</v>
      </c>
      <c r="AE399" s="24">
        <v>12</v>
      </c>
      <c r="AF399" s="7">
        <v>6</v>
      </c>
      <c r="AG399" s="7">
        <v>6</v>
      </c>
      <c r="AH399" s="7" t="s">
        <v>1642</v>
      </c>
      <c r="AI399" s="7" t="s">
        <v>1642</v>
      </c>
      <c r="AK399" s="7">
        <v>325</v>
      </c>
      <c r="AN399" s="7">
        <v>325</v>
      </c>
      <c r="AP399" s="7">
        <v>15</v>
      </c>
      <c r="AQ399" s="7" t="s">
        <v>2483</v>
      </c>
      <c r="AR399" s="7" t="s">
        <v>1814</v>
      </c>
      <c r="AS399" s="7" t="s">
        <v>1667</v>
      </c>
      <c r="AT399" s="7" t="s">
        <v>1640</v>
      </c>
      <c r="AU399" s="7" t="s">
        <v>178</v>
      </c>
      <c r="AV399" s="7" t="s">
        <v>1964</v>
      </c>
      <c r="AW399" s="7" t="s">
        <v>1639</v>
      </c>
      <c r="AX399" s="7" t="s">
        <v>2482</v>
      </c>
      <c r="AY399" s="36" t="s">
        <v>1881</v>
      </c>
      <c r="AZ399" s="7" t="s">
        <v>1650</v>
      </c>
      <c r="BA399" s="36">
        <v>312</v>
      </c>
      <c r="BB399" s="7">
        <v>305</v>
      </c>
      <c r="BC399" s="7" t="s">
        <v>2491</v>
      </c>
      <c r="BD399" s="36">
        <v>39.066699999999997</v>
      </c>
      <c r="BE399" s="36"/>
      <c r="BF399" s="36">
        <f>44.8444-BD399</f>
        <v>5.7777000000000029</v>
      </c>
      <c r="BG399" s="36" t="s">
        <v>2500</v>
      </c>
      <c r="BH399" s="36">
        <v>13.2889</v>
      </c>
      <c r="BI399" s="36"/>
      <c r="BJ399" s="36">
        <f>17.7333-BH399</f>
        <v>4.4443999999999999</v>
      </c>
    </row>
    <row r="400" spans="1:62" x14ac:dyDescent="0.2">
      <c r="A400" s="7">
        <v>99</v>
      </c>
      <c r="B400" s="7" t="s">
        <v>960</v>
      </c>
      <c r="C400" s="7" t="s">
        <v>959</v>
      </c>
      <c r="D400" s="7" t="s">
        <v>958</v>
      </c>
      <c r="E400" s="7" t="s">
        <v>957</v>
      </c>
      <c r="F400" s="7" t="s">
        <v>755</v>
      </c>
      <c r="G400" s="7">
        <v>2013</v>
      </c>
      <c r="H400" s="7">
        <v>41233</v>
      </c>
      <c r="I400" s="7" t="s">
        <v>32</v>
      </c>
      <c r="J400" s="7" t="s">
        <v>32</v>
      </c>
      <c r="K400" s="7" t="s">
        <v>956</v>
      </c>
      <c r="L400" s="7">
        <v>2</v>
      </c>
      <c r="M400" s="7" t="s">
        <v>32</v>
      </c>
      <c r="N400" s="7" t="s">
        <v>794</v>
      </c>
      <c r="O400" s="7" t="s">
        <v>32</v>
      </c>
      <c r="P400" s="7" t="s">
        <v>34</v>
      </c>
      <c r="Q400" s="7" t="s">
        <v>34</v>
      </c>
      <c r="R400" s="7" t="s">
        <v>34</v>
      </c>
      <c r="S400" s="7" t="s">
        <v>34</v>
      </c>
      <c r="T400" s="7" t="s">
        <v>34</v>
      </c>
      <c r="U400" s="7" t="s">
        <v>34</v>
      </c>
      <c r="V400" s="7">
        <v>1</v>
      </c>
      <c r="W400" s="7" t="s">
        <v>178</v>
      </c>
      <c r="X400" s="7">
        <v>1</v>
      </c>
      <c r="Y400" s="7" t="s">
        <v>909</v>
      </c>
      <c r="Z400" s="7" t="s">
        <v>955</v>
      </c>
      <c r="AA400" s="7">
        <v>23159544</v>
      </c>
      <c r="AB400" s="7">
        <v>1</v>
      </c>
      <c r="AD400" s="7">
        <v>4</v>
      </c>
      <c r="AE400" s="24">
        <v>11</v>
      </c>
      <c r="AF400" s="7">
        <v>5.5</v>
      </c>
      <c r="AG400" s="7">
        <v>5.5</v>
      </c>
      <c r="AH400" s="7" t="s">
        <v>1642</v>
      </c>
      <c r="AI400" s="7" t="s">
        <v>1642</v>
      </c>
      <c r="AK400" s="7">
        <v>325</v>
      </c>
      <c r="AN400" s="7">
        <v>325</v>
      </c>
      <c r="AP400" s="7">
        <v>15</v>
      </c>
      <c r="AQ400" s="7" t="s">
        <v>2483</v>
      </c>
      <c r="AR400" s="7" t="s">
        <v>1814</v>
      </c>
      <c r="AS400" s="7" t="s">
        <v>1667</v>
      </c>
      <c r="AT400" s="7" t="s">
        <v>1640</v>
      </c>
      <c r="AU400" s="7" t="s">
        <v>178</v>
      </c>
      <c r="AV400" s="7" t="s">
        <v>1653</v>
      </c>
      <c r="AW400" s="7" t="s">
        <v>1639</v>
      </c>
      <c r="AX400" s="7" t="s">
        <v>2482</v>
      </c>
      <c r="AY400" s="36" t="s">
        <v>1881</v>
      </c>
      <c r="AZ400" s="7" t="s">
        <v>1650</v>
      </c>
      <c r="BA400" s="36">
        <v>313</v>
      </c>
      <c r="BB400" s="7">
        <v>306</v>
      </c>
      <c r="BC400" s="7" t="s">
        <v>2461</v>
      </c>
      <c r="BD400" s="36">
        <v>61.319899999999997</v>
      </c>
      <c r="BE400" s="36"/>
      <c r="BF400" s="36">
        <f>67.2792-BD400</f>
        <v>5.959300000000006</v>
      </c>
      <c r="BG400" s="36" t="s">
        <v>2479</v>
      </c>
      <c r="BH400" s="36">
        <v>35.593000000000004</v>
      </c>
      <c r="BI400" s="36"/>
      <c r="BJ400" s="36">
        <f>42.1337-BH400</f>
        <v>6.540699999999994</v>
      </c>
    </row>
    <row r="401" spans="1:63" x14ac:dyDescent="0.2">
      <c r="A401" s="7">
        <v>99</v>
      </c>
      <c r="B401" s="7" t="s">
        <v>960</v>
      </c>
      <c r="C401" s="7" t="s">
        <v>959</v>
      </c>
      <c r="D401" s="7" t="s">
        <v>958</v>
      </c>
      <c r="E401" s="7" t="s">
        <v>957</v>
      </c>
      <c r="F401" s="7" t="s">
        <v>755</v>
      </c>
      <c r="G401" s="7">
        <v>2013</v>
      </c>
      <c r="H401" s="7">
        <v>41233</v>
      </c>
      <c r="I401" s="7" t="s">
        <v>32</v>
      </c>
      <c r="J401" s="7" t="s">
        <v>32</v>
      </c>
      <c r="K401" s="7" t="s">
        <v>956</v>
      </c>
      <c r="L401" s="7">
        <v>2</v>
      </c>
      <c r="M401" s="7" t="s">
        <v>32</v>
      </c>
      <c r="N401" s="7" t="s">
        <v>794</v>
      </c>
      <c r="O401" s="7" t="s">
        <v>32</v>
      </c>
      <c r="P401" s="7" t="s">
        <v>34</v>
      </c>
      <c r="Q401" s="7" t="s">
        <v>34</v>
      </c>
      <c r="R401" s="7" t="s">
        <v>34</v>
      </c>
      <c r="S401" s="7" t="s">
        <v>34</v>
      </c>
      <c r="T401" s="7" t="s">
        <v>34</v>
      </c>
      <c r="U401" s="7" t="s">
        <v>34</v>
      </c>
      <c r="V401" s="7">
        <v>1</v>
      </c>
      <c r="W401" s="7" t="s">
        <v>178</v>
      </c>
      <c r="X401" s="7">
        <v>1</v>
      </c>
      <c r="Y401" s="7" t="s">
        <v>909</v>
      </c>
      <c r="Z401" s="7" t="s">
        <v>955</v>
      </c>
      <c r="AA401" s="7">
        <v>23159544</v>
      </c>
      <c r="AB401" s="7">
        <v>1</v>
      </c>
      <c r="AD401" s="7">
        <v>4</v>
      </c>
      <c r="AE401" s="24">
        <v>11</v>
      </c>
      <c r="AF401" s="7">
        <v>5.5</v>
      </c>
      <c r="AG401" s="7">
        <v>5.5</v>
      </c>
      <c r="AH401" s="7" t="s">
        <v>1642</v>
      </c>
      <c r="AI401" s="7" t="s">
        <v>1642</v>
      </c>
      <c r="AK401" s="7">
        <v>325</v>
      </c>
      <c r="AN401" s="7">
        <v>325</v>
      </c>
      <c r="AP401" s="7">
        <v>15</v>
      </c>
      <c r="AQ401" s="7" t="s">
        <v>2483</v>
      </c>
      <c r="AR401" s="7" t="s">
        <v>1814</v>
      </c>
      <c r="AS401" s="7" t="s">
        <v>1667</v>
      </c>
      <c r="AT401" s="7" t="s">
        <v>1640</v>
      </c>
      <c r="AU401" s="7" t="s">
        <v>178</v>
      </c>
      <c r="AV401" s="7" t="s">
        <v>2095</v>
      </c>
      <c r="AW401" s="7" t="s">
        <v>1639</v>
      </c>
      <c r="AX401" s="7" t="s">
        <v>2482</v>
      </c>
      <c r="AY401" s="36" t="s">
        <v>1955</v>
      </c>
      <c r="AZ401" s="7" t="s">
        <v>1650</v>
      </c>
      <c r="BA401" s="36">
        <v>313</v>
      </c>
      <c r="BB401" s="7">
        <v>306</v>
      </c>
      <c r="BC401" s="7" t="s">
        <v>2462</v>
      </c>
      <c r="BD401" s="36">
        <v>40.669800000000002</v>
      </c>
      <c r="BE401" s="36"/>
      <c r="BF401" s="36">
        <f>51.7162-BD401</f>
        <v>11.046399999999998</v>
      </c>
      <c r="BG401" s="36" t="s">
        <v>2480</v>
      </c>
      <c r="BH401" s="36">
        <v>22.646599999999999</v>
      </c>
      <c r="BI401" s="36"/>
      <c r="BJ401" s="36">
        <f>BH401-15.5246</f>
        <v>7.1219999999999999</v>
      </c>
    </row>
    <row r="402" spans="1:63" x14ac:dyDescent="0.2">
      <c r="A402" s="7">
        <v>99</v>
      </c>
      <c r="B402" s="7" t="s">
        <v>960</v>
      </c>
      <c r="C402" s="7" t="s">
        <v>959</v>
      </c>
      <c r="D402" s="7" t="s">
        <v>958</v>
      </c>
      <c r="E402" s="7" t="s">
        <v>957</v>
      </c>
      <c r="F402" s="7" t="s">
        <v>755</v>
      </c>
      <c r="G402" s="7">
        <v>2013</v>
      </c>
      <c r="H402" s="7">
        <v>41233</v>
      </c>
      <c r="I402" s="7" t="s">
        <v>32</v>
      </c>
      <c r="J402" s="7" t="s">
        <v>32</v>
      </c>
      <c r="K402" s="7" t="s">
        <v>956</v>
      </c>
      <c r="L402" s="7">
        <v>2</v>
      </c>
      <c r="M402" s="7" t="s">
        <v>32</v>
      </c>
      <c r="N402" s="7" t="s">
        <v>794</v>
      </c>
      <c r="O402" s="7" t="s">
        <v>32</v>
      </c>
      <c r="P402" s="7" t="s">
        <v>34</v>
      </c>
      <c r="Q402" s="7" t="s">
        <v>34</v>
      </c>
      <c r="R402" s="7" t="s">
        <v>34</v>
      </c>
      <c r="S402" s="7" t="s">
        <v>34</v>
      </c>
      <c r="T402" s="7" t="s">
        <v>34</v>
      </c>
      <c r="U402" s="7" t="s">
        <v>34</v>
      </c>
      <c r="V402" s="7">
        <v>1</v>
      </c>
      <c r="W402" s="7" t="s">
        <v>178</v>
      </c>
      <c r="X402" s="7">
        <v>1</v>
      </c>
      <c r="Y402" s="7" t="s">
        <v>909</v>
      </c>
      <c r="Z402" s="7" t="s">
        <v>955</v>
      </c>
      <c r="AA402" s="7">
        <v>23159544</v>
      </c>
      <c r="AB402" s="7">
        <v>1</v>
      </c>
      <c r="AD402" s="7">
        <v>4</v>
      </c>
      <c r="AE402" s="24">
        <v>11</v>
      </c>
      <c r="AF402" s="7">
        <v>5.5</v>
      </c>
      <c r="AG402" s="7">
        <v>5.5</v>
      </c>
      <c r="AH402" s="7" t="s">
        <v>1642</v>
      </c>
      <c r="AI402" s="7" t="s">
        <v>1642</v>
      </c>
      <c r="AK402" s="7">
        <v>325</v>
      </c>
      <c r="AN402" s="7">
        <v>325</v>
      </c>
      <c r="AP402" s="7">
        <v>15</v>
      </c>
      <c r="AQ402" s="7" t="s">
        <v>2483</v>
      </c>
      <c r="AR402" s="7" t="s">
        <v>1814</v>
      </c>
      <c r="AS402" s="7" t="s">
        <v>1667</v>
      </c>
      <c r="AT402" s="7" t="s">
        <v>1640</v>
      </c>
      <c r="AU402" s="7" t="s">
        <v>178</v>
      </c>
      <c r="AV402" s="7" t="s">
        <v>1689</v>
      </c>
      <c r="AW402" s="7" t="s">
        <v>1639</v>
      </c>
      <c r="AX402" s="7" t="s">
        <v>2482</v>
      </c>
      <c r="AY402" s="36" t="s">
        <v>1881</v>
      </c>
      <c r="AZ402" s="7" t="s">
        <v>1650</v>
      </c>
      <c r="BA402" s="36">
        <v>313</v>
      </c>
      <c r="BB402" s="7">
        <v>306</v>
      </c>
      <c r="BC402" s="7" t="s">
        <v>2463</v>
      </c>
      <c r="BD402" s="36">
        <v>21.866499999999998</v>
      </c>
      <c r="BE402" s="36"/>
      <c r="BF402" s="36">
        <f>27.8256-BD402</f>
        <v>5.959100000000003</v>
      </c>
      <c r="BG402" s="36" t="s">
        <v>2481</v>
      </c>
      <c r="BH402" s="36">
        <v>7.0408999999999997</v>
      </c>
      <c r="BI402" s="36"/>
      <c r="BJ402" s="36">
        <f>9.07593-BH402</f>
        <v>2.0350299999999999</v>
      </c>
    </row>
    <row r="403" spans="1:63" x14ac:dyDescent="0.2">
      <c r="A403" s="7">
        <v>99</v>
      </c>
      <c r="B403" s="7" t="s">
        <v>960</v>
      </c>
      <c r="C403" s="7" t="s">
        <v>959</v>
      </c>
      <c r="D403" s="7" t="s">
        <v>958</v>
      </c>
      <c r="E403" s="7" t="s">
        <v>957</v>
      </c>
      <c r="F403" s="7" t="s">
        <v>755</v>
      </c>
      <c r="G403" s="7">
        <v>2013</v>
      </c>
      <c r="H403" s="7">
        <v>41233</v>
      </c>
      <c r="I403" s="7" t="s">
        <v>32</v>
      </c>
      <c r="J403" s="7" t="s">
        <v>32</v>
      </c>
      <c r="K403" s="7" t="s">
        <v>956</v>
      </c>
      <c r="L403" s="7">
        <v>2</v>
      </c>
      <c r="M403" s="7" t="s">
        <v>32</v>
      </c>
      <c r="N403" s="7" t="s">
        <v>794</v>
      </c>
      <c r="O403" s="7" t="s">
        <v>32</v>
      </c>
      <c r="P403" s="7" t="s">
        <v>34</v>
      </c>
      <c r="Q403" s="7" t="s">
        <v>34</v>
      </c>
      <c r="R403" s="7" t="s">
        <v>34</v>
      </c>
      <c r="S403" s="7" t="s">
        <v>34</v>
      </c>
      <c r="T403" s="7" t="s">
        <v>34</v>
      </c>
      <c r="U403" s="7" t="s">
        <v>34</v>
      </c>
      <c r="V403" s="7">
        <v>1</v>
      </c>
      <c r="W403" s="7" t="s">
        <v>178</v>
      </c>
      <c r="X403" s="7">
        <v>1</v>
      </c>
      <c r="Y403" s="7" t="s">
        <v>909</v>
      </c>
      <c r="Z403" s="7" t="s">
        <v>955</v>
      </c>
      <c r="AA403" s="7">
        <v>23159544</v>
      </c>
      <c r="AB403" s="7">
        <v>1</v>
      </c>
      <c r="AD403" s="7">
        <v>4</v>
      </c>
      <c r="AE403" s="24">
        <v>11</v>
      </c>
      <c r="AF403" s="7">
        <v>5.5</v>
      </c>
      <c r="AG403" s="7">
        <v>5.5</v>
      </c>
      <c r="AH403" s="7" t="s">
        <v>1642</v>
      </c>
      <c r="AI403" s="7" t="s">
        <v>1642</v>
      </c>
      <c r="AK403" s="7">
        <v>325</v>
      </c>
      <c r="AN403" s="7">
        <v>325</v>
      </c>
      <c r="AP403" s="7">
        <v>15</v>
      </c>
      <c r="AQ403" s="7" t="s">
        <v>2483</v>
      </c>
      <c r="AR403" s="7" t="s">
        <v>1814</v>
      </c>
      <c r="AS403" s="7" t="s">
        <v>1667</v>
      </c>
      <c r="AT403" s="7" t="s">
        <v>1640</v>
      </c>
      <c r="AU403" s="7" t="s">
        <v>178</v>
      </c>
      <c r="AV403" s="7" t="s">
        <v>1964</v>
      </c>
      <c r="AW403" s="7" t="s">
        <v>1639</v>
      </c>
      <c r="AX403" s="7" t="s">
        <v>2482</v>
      </c>
      <c r="AY403" s="36" t="s">
        <v>1881</v>
      </c>
      <c r="AZ403" s="7" t="s">
        <v>1650</v>
      </c>
      <c r="BA403" s="36">
        <v>313</v>
      </c>
      <c r="BB403" s="7">
        <v>306</v>
      </c>
      <c r="BC403" s="7" t="s">
        <v>2492</v>
      </c>
      <c r="BD403" s="36">
        <v>11.337400000000001</v>
      </c>
      <c r="BE403" s="36"/>
      <c r="BF403" s="36">
        <f>18.75-BD403</f>
        <v>7.4125999999999994</v>
      </c>
      <c r="BG403" s="36" t="s">
        <v>2501</v>
      </c>
      <c r="BH403" s="36">
        <v>6.9770399999999997</v>
      </c>
      <c r="BI403" s="36"/>
      <c r="BJ403" s="36">
        <f>BH403-4.79651</f>
        <v>2.1805300000000001</v>
      </c>
    </row>
    <row r="404" spans="1:63" x14ac:dyDescent="0.2">
      <c r="A404" s="7">
        <v>99</v>
      </c>
      <c r="B404" s="7" t="s">
        <v>960</v>
      </c>
      <c r="C404" s="7" t="s">
        <v>959</v>
      </c>
      <c r="D404" s="7" t="s">
        <v>958</v>
      </c>
      <c r="E404" s="7" t="s">
        <v>957</v>
      </c>
      <c r="F404" s="7" t="s">
        <v>755</v>
      </c>
      <c r="G404" s="7">
        <v>2013</v>
      </c>
      <c r="H404" s="7">
        <v>41233</v>
      </c>
      <c r="I404" s="7" t="s">
        <v>32</v>
      </c>
      <c r="J404" s="7" t="s">
        <v>32</v>
      </c>
      <c r="K404" s="7" t="s">
        <v>956</v>
      </c>
      <c r="L404" s="7">
        <v>2</v>
      </c>
      <c r="M404" s="7" t="s">
        <v>32</v>
      </c>
      <c r="N404" s="7" t="s">
        <v>794</v>
      </c>
      <c r="O404" s="7" t="s">
        <v>32</v>
      </c>
      <c r="P404" s="7" t="s">
        <v>34</v>
      </c>
      <c r="Q404" s="7" t="s">
        <v>34</v>
      </c>
      <c r="R404" s="7" t="s">
        <v>34</v>
      </c>
      <c r="S404" s="7" t="s">
        <v>34</v>
      </c>
      <c r="T404" s="7" t="s">
        <v>34</v>
      </c>
      <c r="U404" s="7" t="s">
        <v>34</v>
      </c>
      <c r="V404" s="7">
        <v>1</v>
      </c>
      <c r="W404" s="7" t="s">
        <v>178</v>
      </c>
      <c r="X404" s="7">
        <v>1</v>
      </c>
      <c r="Y404" s="7" t="s">
        <v>909</v>
      </c>
      <c r="Z404" s="7" t="s">
        <v>955</v>
      </c>
      <c r="AA404" s="7">
        <v>23159544</v>
      </c>
      <c r="AB404" s="7">
        <v>1</v>
      </c>
      <c r="AD404" s="7">
        <v>4</v>
      </c>
      <c r="AE404" s="24">
        <v>11</v>
      </c>
      <c r="AF404" s="7">
        <v>5.5</v>
      </c>
      <c r="AG404" s="7">
        <v>5.5</v>
      </c>
      <c r="AH404" s="7" t="s">
        <v>1642</v>
      </c>
      <c r="AI404" s="7" t="s">
        <v>1642</v>
      </c>
      <c r="AK404" s="7">
        <v>325</v>
      </c>
      <c r="AN404" s="7">
        <v>325</v>
      </c>
      <c r="AP404" s="7">
        <v>15</v>
      </c>
      <c r="AQ404" s="7" t="s">
        <v>2483</v>
      </c>
      <c r="AR404" s="7" t="s">
        <v>1814</v>
      </c>
      <c r="AS404" s="7" t="s">
        <v>1667</v>
      </c>
      <c r="AT404" s="7" t="s">
        <v>1640</v>
      </c>
      <c r="AU404" s="7" t="s">
        <v>178</v>
      </c>
      <c r="AV404" s="7" t="s">
        <v>1653</v>
      </c>
      <c r="AW404" s="7" t="s">
        <v>1639</v>
      </c>
      <c r="AX404" s="7" t="s">
        <v>2482</v>
      </c>
      <c r="AY404" s="36" t="s">
        <v>1881</v>
      </c>
      <c r="AZ404" s="7" t="s">
        <v>1650</v>
      </c>
      <c r="BA404" s="36">
        <v>314</v>
      </c>
      <c r="BB404" s="7">
        <v>307</v>
      </c>
      <c r="BC404" s="7" t="s">
        <v>2502</v>
      </c>
      <c r="BD404" s="36">
        <v>69.040700000000001</v>
      </c>
      <c r="BE404" s="36"/>
      <c r="BF404" s="36">
        <f>76.0174-BD404</f>
        <v>6.9766999999999939</v>
      </c>
      <c r="BG404" s="36" t="s">
        <v>2506</v>
      </c>
      <c r="BH404" s="36">
        <v>11.4826</v>
      </c>
      <c r="BI404" s="36"/>
      <c r="BJ404" s="36">
        <f>15.2616-BH404</f>
        <v>3.7789999999999999</v>
      </c>
    </row>
    <row r="405" spans="1:63" x14ac:dyDescent="0.2">
      <c r="A405" s="7">
        <v>99</v>
      </c>
      <c r="B405" s="7" t="s">
        <v>960</v>
      </c>
      <c r="C405" s="7" t="s">
        <v>959</v>
      </c>
      <c r="D405" s="7" t="s">
        <v>958</v>
      </c>
      <c r="E405" s="7" t="s">
        <v>957</v>
      </c>
      <c r="F405" s="7" t="s">
        <v>755</v>
      </c>
      <c r="G405" s="7">
        <v>2013</v>
      </c>
      <c r="H405" s="7">
        <v>41233</v>
      </c>
      <c r="I405" s="7" t="s">
        <v>32</v>
      </c>
      <c r="J405" s="7" t="s">
        <v>32</v>
      </c>
      <c r="K405" s="7" t="s">
        <v>956</v>
      </c>
      <c r="L405" s="7">
        <v>2</v>
      </c>
      <c r="M405" s="7" t="s">
        <v>32</v>
      </c>
      <c r="N405" s="7" t="s">
        <v>794</v>
      </c>
      <c r="O405" s="7" t="s">
        <v>32</v>
      </c>
      <c r="P405" s="7" t="s">
        <v>34</v>
      </c>
      <c r="Q405" s="7" t="s">
        <v>34</v>
      </c>
      <c r="R405" s="7" t="s">
        <v>34</v>
      </c>
      <c r="S405" s="7" t="s">
        <v>34</v>
      </c>
      <c r="T405" s="7" t="s">
        <v>34</v>
      </c>
      <c r="U405" s="7" t="s">
        <v>34</v>
      </c>
      <c r="V405" s="7">
        <v>1</v>
      </c>
      <c r="W405" s="7" t="s">
        <v>178</v>
      </c>
      <c r="X405" s="7">
        <v>1</v>
      </c>
      <c r="Y405" s="7" t="s">
        <v>909</v>
      </c>
      <c r="Z405" s="7" t="s">
        <v>955</v>
      </c>
      <c r="AA405" s="7">
        <v>23159544</v>
      </c>
      <c r="AB405" s="7">
        <v>1</v>
      </c>
      <c r="AD405" s="7">
        <v>4</v>
      </c>
      <c r="AE405" s="24">
        <v>11</v>
      </c>
      <c r="AF405" s="7">
        <v>5.5</v>
      </c>
      <c r="AG405" s="7">
        <v>5.5</v>
      </c>
      <c r="AH405" s="7" t="s">
        <v>1642</v>
      </c>
      <c r="AI405" s="7" t="s">
        <v>1642</v>
      </c>
      <c r="AK405" s="7">
        <v>325</v>
      </c>
      <c r="AN405" s="7">
        <v>325</v>
      </c>
      <c r="AP405" s="7">
        <v>15</v>
      </c>
      <c r="AQ405" s="7" t="s">
        <v>2483</v>
      </c>
      <c r="AR405" s="7" t="s">
        <v>1814</v>
      </c>
      <c r="AS405" s="7" t="s">
        <v>1667</v>
      </c>
      <c r="AT405" s="7" t="s">
        <v>1640</v>
      </c>
      <c r="AU405" s="7" t="s">
        <v>178</v>
      </c>
      <c r="AV405" s="7" t="s">
        <v>2095</v>
      </c>
      <c r="AW405" s="7" t="s">
        <v>1639</v>
      </c>
      <c r="AX405" s="7" t="s">
        <v>2482</v>
      </c>
      <c r="AY405" s="36" t="s">
        <v>1955</v>
      </c>
      <c r="AZ405" s="7" t="s">
        <v>1650</v>
      </c>
      <c r="BA405" s="36">
        <v>314</v>
      </c>
      <c r="BB405" s="7">
        <v>307</v>
      </c>
      <c r="BC405" s="7" t="s">
        <v>2503</v>
      </c>
      <c r="BD405" s="36">
        <v>45.639499999999998</v>
      </c>
      <c r="BE405" s="36"/>
      <c r="BF405" s="36">
        <f>54.6512-BD405</f>
        <v>9.0117000000000047</v>
      </c>
      <c r="BG405" s="36" t="s">
        <v>2507</v>
      </c>
      <c r="BH405" s="36">
        <v>5.6685999999999996</v>
      </c>
      <c r="BI405" s="36"/>
      <c r="BJ405" s="36">
        <f>7.12209-BH405</f>
        <v>1.4534900000000004</v>
      </c>
    </row>
    <row r="406" spans="1:63" x14ac:dyDescent="0.2">
      <c r="A406" s="7">
        <v>99</v>
      </c>
      <c r="B406" s="7" t="s">
        <v>960</v>
      </c>
      <c r="C406" s="7" t="s">
        <v>959</v>
      </c>
      <c r="D406" s="7" t="s">
        <v>958</v>
      </c>
      <c r="E406" s="7" t="s">
        <v>957</v>
      </c>
      <c r="F406" s="7" t="s">
        <v>755</v>
      </c>
      <c r="G406" s="7">
        <v>2013</v>
      </c>
      <c r="H406" s="7">
        <v>41233</v>
      </c>
      <c r="I406" s="7" t="s">
        <v>32</v>
      </c>
      <c r="J406" s="7" t="s">
        <v>32</v>
      </c>
      <c r="K406" s="7" t="s">
        <v>956</v>
      </c>
      <c r="L406" s="7">
        <v>2</v>
      </c>
      <c r="M406" s="7" t="s">
        <v>32</v>
      </c>
      <c r="N406" s="7" t="s">
        <v>794</v>
      </c>
      <c r="O406" s="7" t="s">
        <v>32</v>
      </c>
      <c r="P406" s="7" t="s">
        <v>34</v>
      </c>
      <c r="Q406" s="7" t="s">
        <v>34</v>
      </c>
      <c r="R406" s="7" t="s">
        <v>34</v>
      </c>
      <c r="S406" s="7" t="s">
        <v>34</v>
      </c>
      <c r="T406" s="7" t="s">
        <v>34</v>
      </c>
      <c r="U406" s="7" t="s">
        <v>34</v>
      </c>
      <c r="V406" s="7">
        <v>1</v>
      </c>
      <c r="W406" s="7" t="s">
        <v>178</v>
      </c>
      <c r="X406" s="7">
        <v>1</v>
      </c>
      <c r="Y406" s="7" t="s">
        <v>909</v>
      </c>
      <c r="Z406" s="7" t="s">
        <v>955</v>
      </c>
      <c r="AA406" s="7">
        <v>23159544</v>
      </c>
      <c r="AB406" s="7">
        <v>1</v>
      </c>
      <c r="AD406" s="7">
        <v>4</v>
      </c>
      <c r="AE406" s="24">
        <v>11</v>
      </c>
      <c r="AF406" s="7">
        <v>5.5</v>
      </c>
      <c r="AG406" s="7">
        <v>5.5</v>
      </c>
      <c r="AH406" s="7" t="s">
        <v>1642</v>
      </c>
      <c r="AI406" s="7" t="s">
        <v>1642</v>
      </c>
      <c r="AK406" s="7">
        <v>325</v>
      </c>
      <c r="AN406" s="7">
        <v>325</v>
      </c>
      <c r="AP406" s="7">
        <v>15</v>
      </c>
      <c r="AQ406" s="7" t="s">
        <v>2483</v>
      </c>
      <c r="AR406" s="7" t="s">
        <v>1814</v>
      </c>
      <c r="AS406" s="7" t="s">
        <v>1667</v>
      </c>
      <c r="AT406" s="7" t="s">
        <v>1640</v>
      </c>
      <c r="AU406" s="7" t="s">
        <v>178</v>
      </c>
      <c r="AV406" s="7" t="s">
        <v>1689</v>
      </c>
      <c r="AW406" s="7" t="s">
        <v>1639</v>
      </c>
      <c r="AX406" s="7" t="s">
        <v>2482</v>
      </c>
      <c r="AY406" s="36" t="s">
        <v>1881</v>
      </c>
      <c r="AZ406" s="7" t="s">
        <v>1650</v>
      </c>
      <c r="BA406" s="36">
        <v>314</v>
      </c>
      <c r="BB406" s="7">
        <v>307</v>
      </c>
      <c r="BC406" s="7" t="s">
        <v>2504</v>
      </c>
      <c r="BD406" s="36">
        <v>38.953499999999998</v>
      </c>
      <c r="BE406" s="36"/>
      <c r="BF406" s="36">
        <f>50.8721-BD406</f>
        <v>11.918600000000005</v>
      </c>
      <c r="BG406" s="36" t="s">
        <v>2508</v>
      </c>
      <c r="BH406" s="36">
        <v>4.3604700000000003</v>
      </c>
      <c r="BI406" s="36"/>
      <c r="BJ406" s="36">
        <f>5.9593-BH406</f>
        <v>1.5988299999999995</v>
      </c>
    </row>
    <row r="407" spans="1:63" x14ac:dyDescent="0.2">
      <c r="A407" s="7">
        <v>99</v>
      </c>
      <c r="B407" s="7" t="s">
        <v>960</v>
      </c>
      <c r="C407" s="7" t="s">
        <v>959</v>
      </c>
      <c r="D407" s="7" t="s">
        <v>958</v>
      </c>
      <c r="E407" s="7" t="s">
        <v>957</v>
      </c>
      <c r="F407" s="7" t="s">
        <v>755</v>
      </c>
      <c r="G407" s="7">
        <v>2013</v>
      </c>
      <c r="H407" s="7">
        <v>41233</v>
      </c>
      <c r="I407" s="7" t="s">
        <v>32</v>
      </c>
      <c r="J407" s="7" t="s">
        <v>32</v>
      </c>
      <c r="K407" s="7" t="s">
        <v>956</v>
      </c>
      <c r="L407" s="7">
        <v>2</v>
      </c>
      <c r="M407" s="7" t="s">
        <v>32</v>
      </c>
      <c r="N407" s="7" t="s">
        <v>794</v>
      </c>
      <c r="O407" s="7" t="s">
        <v>32</v>
      </c>
      <c r="P407" s="7" t="s">
        <v>34</v>
      </c>
      <c r="Q407" s="7" t="s">
        <v>34</v>
      </c>
      <c r="R407" s="7" t="s">
        <v>34</v>
      </c>
      <c r="S407" s="7" t="s">
        <v>34</v>
      </c>
      <c r="T407" s="7" t="s">
        <v>34</v>
      </c>
      <c r="U407" s="7" t="s">
        <v>34</v>
      </c>
      <c r="V407" s="7">
        <v>1</v>
      </c>
      <c r="W407" s="7" t="s">
        <v>178</v>
      </c>
      <c r="X407" s="7">
        <v>1</v>
      </c>
      <c r="Y407" s="7" t="s">
        <v>909</v>
      </c>
      <c r="Z407" s="7" t="s">
        <v>955</v>
      </c>
      <c r="AA407" s="7">
        <v>23159544</v>
      </c>
      <c r="AB407" s="7">
        <v>1</v>
      </c>
      <c r="AD407" s="7">
        <v>4</v>
      </c>
      <c r="AE407" s="24">
        <v>11</v>
      </c>
      <c r="AF407" s="7">
        <v>5.5</v>
      </c>
      <c r="AG407" s="7">
        <v>5.5</v>
      </c>
      <c r="AH407" s="7" t="s">
        <v>1642</v>
      </c>
      <c r="AI407" s="7" t="s">
        <v>1642</v>
      </c>
      <c r="AK407" s="7">
        <v>325</v>
      </c>
      <c r="AN407" s="7">
        <v>325</v>
      </c>
      <c r="AP407" s="7">
        <v>15</v>
      </c>
      <c r="AQ407" s="7" t="s">
        <v>2483</v>
      </c>
      <c r="AR407" s="7" t="s">
        <v>1814</v>
      </c>
      <c r="AS407" s="7" t="s">
        <v>1667</v>
      </c>
      <c r="AT407" s="7" t="s">
        <v>1640</v>
      </c>
      <c r="AU407" s="7" t="s">
        <v>178</v>
      </c>
      <c r="AV407" s="7" t="s">
        <v>1964</v>
      </c>
      <c r="AW407" s="7" t="s">
        <v>1639</v>
      </c>
      <c r="AX407" s="7" t="s">
        <v>2482</v>
      </c>
      <c r="AY407" s="36" t="s">
        <v>1881</v>
      </c>
      <c r="AZ407" s="7" t="s">
        <v>1650</v>
      </c>
      <c r="BA407" s="36">
        <v>314</v>
      </c>
      <c r="BB407" s="7">
        <v>307</v>
      </c>
      <c r="BC407" s="7" t="s">
        <v>2505</v>
      </c>
      <c r="BD407" s="36">
        <v>17.732600000000001</v>
      </c>
      <c r="BE407" s="36"/>
      <c r="BF407" s="36">
        <f>24.2733-BD407</f>
        <v>6.5406999999999975</v>
      </c>
      <c r="BG407" s="36" t="s">
        <v>2509</v>
      </c>
      <c r="BH407" s="36">
        <v>3.3430200000000001</v>
      </c>
      <c r="BI407" s="36"/>
      <c r="BJ407" s="36">
        <f>4.65116-BH407</f>
        <v>1.3081399999999999</v>
      </c>
    </row>
    <row r="408" spans="1:63" s="20" customFormat="1" x14ac:dyDescent="0.2">
      <c r="A408" s="20">
        <v>100</v>
      </c>
      <c r="B408" s="20" t="s">
        <v>954</v>
      </c>
      <c r="C408" s="20" t="s">
        <v>953</v>
      </c>
      <c r="D408" s="20" t="s">
        <v>952</v>
      </c>
      <c r="E408" s="20" t="s">
        <v>951</v>
      </c>
      <c r="F408" s="20" t="s">
        <v>950</v>
      </c>
      <c r="G408" s="20">
        <v>2013</v>
      </c>
      <c r="H408" s="20">
        <v>41220</v>
      </c>
      <c r="I408" s="20" t="s">
        <v>949</v>
      </c>
      <c r="J408" s="20" t="s">
        <v>948</v>
      </c>
      <c r="K408" s="20" t="s">
        <v>947</v>
      </c>
      <c r="L408" s="20">
        <v>2</v>
      </c>
      <c r="M408" s="20" t="s">
        <v>32</v>
      </c>
      <c r="N408" s="20" t="s">
        <v>795</v>
      </c>
      <c r="O408" s="20" t="s">
        <v>34</v>
      </c>
      <c r="P408" s="20" t="s">
        <v>34</v>
      </c>
      <c r="Q408" s="20" t="s">
        <v>34</v>
      </c>
      <c r="R408" s="20" t="s">
        <v>34</v>
      </c>
      <c r="S408" s="20" t="s">
        <v>34</v>
      </c>
      <c r="T408" s="20" t="s">
        <v>34</v>
      </c>
      <c r="U408" s="20" t="s">
        <v>32</v>
      </c>
      <c r="V408" s="20">
        <v>1</v>
      </c>
      <c r="W408" s="20" t="s">
        <v>32</v>
      </c>
      <c r="X408" s="20" t="s">
        <v>32</v>
      </c>
      <c r="Y408" s="20" t="s">
        <v>32</v>
      </c>
      <c r="Z408" s="20" t="s">
        <v>32</v>
      </c>
      <c r="AA408" s="20">
        <v>23126586</v>
      </c>
      <c r="AB408" s="20">
        <v>0</v>
      </c>
      <c r="AC408" s="20" t="s">
        <v>2510</v>
      </c>
      <c r="AE408" s="26"/>
      <c r="BA408" s="59"/>
      <c r="BK408" s="41"/>
    </row>
    <row r="409" spans="1:63" s="21" customFormat="1" x14ac:dyDescent="0.2">
      <c r="A409" s="21">
        <v>101</v>
      </c>
      <c r="B409" s="21" t="s">
        <v>946</v>
      </c>
      <c r="C409" s="21" t="s">
        <v>945</v>
      </c>
      <c r="D409" s="21" t="s">
        <v>944</v>
      </c>
      <c r="E409" s="21" t="s">
        <v>917</v>
      </c>
      <c r="F409" s="21" t="s">
        <v>324</v>
      </c>
      <c r="G409" s="21">
        <v>2012</v>
      </c>
      <c r="H409" s="21">
        <v>41128</v>
      </c>
      <c r="I409" s="21" t="s">
        <v>32</v>
      </c>
      <c r="J409" s="21" t="s">
        <v>32</v>
      </c>
      <c r="K409" s="21" t="s">
        <v>943</v>
      </c>
      <c r="L409" s="21">
        <v>2</v>
      </c>
      <c r="M409" s="21" t="s">
        <v>942</v>
      </c>
      <c r="N409" s="21" t="s">
        <v>34</v>
      </c>
      <c r="O409" s="21" t="s">
        <v>190</v>
      </c>
      <c r="P409" s="21" t="s">
        <v>34</v>
      </c>
      <c r="Q409" s="21" t="s">
        <v>34</v>
      </c>
      <c r="R409" s="21" t="s">
        <v>34</v>
      </c>
      <c r="S409" s="21" t="s">
        <v>34</v>
      </c>
      <c r="T409" s="21" t="s">
        <v>34</v>
      </c>
      <c r="U409" s="21" t="s">
        <v>32</v>
      </c>
      <c r="V409" s="21">
        <v>1</v>
      </c>
      <c r="W409" s="21" t="s">
        <v>32</v>
      </c>
      <c r="X409" s="21" t="s">
        <v>32</v>
      </c>
      <c r="Y409" s="21" t="s">
        <v>32</v>
      </c>
      <c r="Z409" s="21" t="s">
        <v>32</v>
      </c>
      <c r="AA409" s="21">
        <v>22863672</v>
      </c>
      <c r="AB409" s="21">
        <v>1</v>
      </c>
      <c r="AD409" s="21">
        <v>4</v>
      </c>
      <c r="AE409" s="23">
        <v>16</v>
      </c>
      <c r="AF409" s="21">
        <v>8</v>
      </c>
      <c r="AG409" s="21">
        <v>8</v>
      </c>
      <c r="AH409" s="21" t="s">
        <v>1642</v>
      </c>
      <c r="AI409" s="21" t="s">
        <v>1642</v>
      </c>
      <c r="AK409" s="21">
        <v>150</v>
      </c>
      <c r="AN409" s="21">
        <v>150</v>
      </c>
      <c r="AP409" s="21">
        <v>5</v>
      </c>
      <c r="AQ409" s="21" t="s">
        <v>1942</v>
      </c>
      <c r="AR409" s="21" t="s">
        <v>1637</v>
      </c>
      <c r="AS409" s="21" t="s">
        <v>1638</v>
      </c>
      <c r="AT409" s="21" t="s">
        <v>1640</v>
      </c>
      <c r="AU409" s="21" t="s">
        <v>178</v>
      </c>
      <c r="AV409" s="21" t="s">
        <v>1641</v>
      </c>
      <c r="AW409" s="21" t="s">
        <v>1639</v>
      </c>
      <c r="AX409" s="21" t="s">
        <v>1646</v>
      </c>
      <c r="AY409" s="21" t="s">
        <v>1662</v>
      </c>
      <c r="AZ409" s="21" t="s">
        <v>1650</v>
      </c>
      <c r="BA409" s="38">
        <v>315</v>
      </c>
      <c r="BB409" s="21">
        <v>308</v>
      </c>
      <c r="BC409" s="21" t="s">
        <v>2350</v>
      </c>
      <c r="BD409" s="21">
        <v>55.408799999999999</v>
      </c>
      <c r="BF409" s="21">
        <f>65.7231-BD409</f>
        <v>10.314300000000003</v>
      </c>
      <c r="BG409" s="21" t="s">
        <v>2351</v>
      </c>
      <c r="BH409" s="21">
        <v>58.0503</v>
      </c>
      <c r="BJ409" s="21">
        <f>67.7359-BH409</f>
        <v>9.6856000000000009</v>
      </c>
      <c r="BK409" s="40" t="s">
        <v>2797</v>
      </c>
    </row>
    <row r="410" spans="1:63" s="21" customFormat="1" x14ac:dyDescent="0.2">
      <c r="A410" s="21">
        <v>101</v>
      </c>
      <c r="B410" s="21" t="s">
        <v>946</v>
      </c>
      <c r="C410" s="21" t="s">
        <v>945</v>
      </c>
      <c r="D410" s="21" t="s">
        <v>944</v>
      </c>
      <c r="E410" s="21" t="s">
        <v>917</v>
      </c>
      <c r="F410" s="21" t="s">
        <v>324</v>
      </c>
      <c r="G410" s="21">
        <v>2012</v>
      </c>
      <c r="H410" s="21">
        <v>41128</v>
      </c>
      <c r="I410" s="21" t="s">
        <v>32</v>
      </c>
      <c r="J410" s="21" t="s">
        <v>32</v>
      </c>
      <c r="K410" s="21" t="s">
        <v>943</v>
      </c>
      <c r="L410" s="21">
        <v>2</v>
      </c>
      <c r="M410" s="21" t="s">
        <v>942</v>
      </c>
      <c r="N410" s="21" t="s">
        <v>34</v>
      </c>
      <c r="O410" s="21" t="s">
        <v>190</v>
      </c>
      <c r="P410" s="21" t="s">
        <v>34</v>
      </c>
      <c r="Q410" s="21" t="s">
        <v>34</v>
      </c>
      <c r="R410" s="21" t="s">
        <v>34</v>
      </c>
      <c r="S410" s="21" t="s">
        <v>34</v>
      </c>
      <c r="T410" s="21" t="s">
        <v>34</v>
      </c>
      <c r="U410" s="21" t="s">
        <v>32</v>
      </c>
      <c r="V410" s="21">
        <v>1</v>
      </c>
      <c r="W410" s="21" t="s">
        <v>32</v>
      </c>
      <c r="X410" s="21" t="s">
        <v>32</v>
      </c>
      <c r="Y410" s="21" t="s">
        <v>32</v>
      </c>
      <c r="Z410" s="21" t="s">
        <v>32</v>
      </c>
      <c r="AA410" s="21">
        <v>22863672</v>
      </c>
      <c r="AB410" s="21">
        <v>1</v>
      </c>
      <c r="AD410" s="21">
        <v>4</v>
      </c>
      <c r="AE410" s="23">
        <v>16</v>
      </c>
      <c r="AF410" s="21">
        <v>8</v>
      </c>
      <c r="AG410" s="21">
        <v>8</v>
      </c>
      <c r="AH410" s="21" t="s">
        <v>1642</v>
      </c>
      <c r="AI410" s="21" t="s">
        <v>1642</v>
      </c>
      <c r="AK410" s="21">
        <v>150</v>
      </c>
      <c r="AN410" s="21">
        <v>150</v>
      </c>
      <c r="AP410" s="21">
        <v>5</v>
      </c>
      <c r="AQ410" s="21" t="s">
        <v>1942</v>
      </c>
      <c r="AR410" s="21" t="s">
        <v>1637</v>
      </c>
      <c r="AS410" s="21" t="s">
        <v>1638</v>
      </c>
      <c r="AT410" s="21" t="s">
        <v>1640</v>
      </c>
      <c r="AU410" s="21" t="s">
        <v>178</v>
      </c>
      <c r="AV410" s="21" t="s">
        <v>1641</v>
      </c>
      <c r="AW410" s="21" t="s">
        <v>1639</v>
      </c>
      <c r="AX410" s="21" t="s">
        <v>1646</v>
      </c>
      <c r="AY410" s="21" t="s">
        <v>1662</v>
      </c>
      <c r="AZ410" s="21" t="s">
        <v>1650</v>
      </c>
      <c r="BA410" s="38">
        <v>315</v>
      </c>
      <c r="BB410" s="21">
        <v>308</v>
      </c>
      <c r="BC410" s="21" t="s">
        <v>2352</v>
      </c>
      <c r="BD410" s="21">
        <v>64.119699999999995</v>
      </c>
      <c r="BF410" s="21">
        <f>74.0566-BD410</f>
        <v>9.9369000000000085</v>
      </c>
      <c r="BG410" s="21" t="s">
        <v>2353</v>
      </c>
      <c r="BH410" s="21">
        <v>58.207500000000003</v>
      </c>
      <c r="BJ410" s="21">
        <f>68.2704-BH410</f>
        <v>10.062899999999992</v>
      </c>
      <c r="BK410" s="40" t="s">
        <v>2797</v>
      </c>
    </row>
    <row r="411" spans="1:63" s="21" customFormat="1" x14ac:dyDescent="0.2">
      <c r="A411" s="21">
        <v>101</v>
      </c>
      <c r="B411" s="21" t="s">
        <v>946</v>
      </c>
      <c r="C411" s="21" t="s">
        <v>945</v>
      </c>
      <c r="D411" s="21" t="s">
        <v>944</v>
      </c>
      <c r="E411" s="21" t="s">
        <v>917</v>
      </c>
      <c r="F411" s="21" t="s">
        <v>324</v>
      </c>
      <c r="G411" s="21">
        <v>2012</v>
      </c>
      <c r="H411" s="21">
        <v>41128</v>
      </c>
      <c r="I411" s="21" t="s">
        <v>32</v>
      </c>
      <c r="J411" s="21" t="s">
        <v>32</v>
      </c>
      <c r="K411" s="21" t="s">
        <v>943</v>
      </c>
      <c r="L411" s="21">
        <v>2</v>
      </c>
      <c r="M411" s="21" t="s">
        <v>942</v>
      </c>
      <c r="N411" s="21" t="s">
        <v>34</v>
      </c>
      <c r="O411" s="21" t="s">
        <v>190</v>
      </c>
      <c r="P411" s="21" t="s">
        <v>34</v>
      </c>
      <c r="Q411" s="21" t="s">
        <v>34</v>
      </c>
      <c r="R411" s="21" t="s">
        <v>34</v>
      </c>
      <c r="S411" s="21" t="s">
        <v>34</v>
      </c>
      <c r="T411" s="21" t="s">
        <v>34</v>
      </c>
      <c r="U411" s="21" t="s">
        <v>32</v>
      </c>
      <c r="V411" s="21">
        <v>1</v>
      </c>
      <c r="W411" s="21" t="s">
        <v>32</v>
      </c>
      <c r="X411" s="21" t="s">
        <v>32</v>
      </c>
      <c r="Y411" s="21" t="s">
        <v>32</v>
      </c>
      <c r="Z411" s="21" t="s">
        <v>32</v>
      </c>
      <c r="AA411" s="21">
        <v>22863672</v>
      </c>
      <c r="AB411" s="21">
        <v>1</v>
      </c>
      <c r="AD411" s="21">
        <v>4</v>
      </c>
      <c r="AE411" s="23">
        <v>16</v>
      </c>
      <c r="AF411" s="21">
        <v>8</v>
      </c>
      <c r="AG411" s="21">
        <v>8</v>
      </c>
      <c r="AH411" s="21" t="s">
        <v>1642</v>
      </c>
      <c r="AI411" s="21" t="s">
        <v>1642</v>
      </c>
      <c r="AK411" s="21">
        <v>150</v>
      </c>
      <c r="AN411" s="21">
        <v>150</v>
      </c>
      <c r="AP411" s="21">
        <v>5</v>
      </c>
      <c r="AQ411" s="21" t="s">
        <v>1942</v>
      </c>
      <c r="AR411" s="21" t="s">
        <v>1637</v>
      </c>
      <c r="AS411" s="21" t="s">
        <v>1638</v>
      </c>
      <c r="AT411" s="21" t="s">
        <v>1640</v>
      </c>
      <c r="AU411" s="21" t="s">
        <v>178</v>
      </c>
      <c r="AV411" s="21" t="s">
        <v>1653</v>
      </c>
      <c r="AW411" s="21" t="s">
        <v>1639</v>
      </c>
      <c r="AX411" s="21" t="s">
        <v>1646</v>
      </c>
      <c r="AY411" s="21" t="s">
        <v>1663</v>
      </c>
      <c r="AZ411" s="21" t="s">
        <v>1650</v>
      </c>
      <c r="BA411" s="38">
        <v>315</v>
      </c>
      <c r="BB411" s="21">
        <v>308</v>
      </c>
      <c r="BC411" s="21" t="s">
        <v>2354</v>
      </c>
      <c r="BD411" s="21">
        <v>83.809600000000003</v>
      </c>
      <c r="BF411" s="21">
        <f>93.5434-BD411</f>
        <v>9.7338000000000022</v>
      </c>
      <c r="BG411" s="21" t="s">
        <v>1756</v>
      </c>
      <c r="BH411" s="21">
        <v>59.41</v>
      </c>
      <c r="BJ411" s="21">
        <f>69.0142-BH411</f>
        <v>9.6042000000000058</v>
      </c>
      <c r="BK411" s="40" t="s">
        <v>2797</v>
      </c>
    </row>
    <row r="412" spans="1:63" s="21" customFormat="1" x14ac:dyDescent="0.2">
      <c r="A412" s="21">
        <v>101</v>
      </c>
      <c r="B412" s="21" t="s">
        <v>946</v>
      </c>
      <c r="C412" s="21" t="s">
        <v>945</v>
      </c>
      <c r="D412" s="21" t="s">
        <v>944</v>
      </c>
      <c r="E412" s="21" t="s">
        <v>917</v>
      </c>
      <c r="F412" s="21" t="s">
        <v>324</v>
      </c>
      <c r="G412" s="21">
        <v>2012</v>
      </c>
      <c r="H412" s="21">
        <v>41128</v>
      </c>
      <c r="I412" s="21" t="s">
        <v>32</v>
      </c>
      <c r="J412" s="21" t="s">
        <v>32</v>
      </c>
      <c r="K412" s="21" t="s">
        <v>943</v>
      </c>
      <c r="L412" s="21">
        <v>2</v>
      </c>
      <c r="M412" s="21" t="s">
        <v>942</v>
      </c>
      <c r="N412" s="21" t="s">
        <v>34</v>
      </c>
      <c r="O412" s="21" t="s">
        <v>190</v>
      </c>
      <c r="P412" s="21" t="s">
        <v>34</v>
      </c>
      <c r="Q412" s="21" t="s">
        <v>34</v>
      </c>
      <c r="R412" s="21" t="s">
        <v>34</v>
      </c>
      <c r="S412" s="21" t="s">
        <v>34</v>
      </c>
      <c r="T412" s="21" t="s">
        <v>34</v>
      </c>
      <c r="U412" s="21" t="s">
        <v>32</v>
      </c>
      <c r="V412" s="21">
        <v>1</v>
      </c>
      <c r="W412" s="21" t="s">
        <v>32</v>
      </c>
      <c r="X412" s="21" t="s">
        <v>32</v>
      </c>
      <c r="Y412" s="21" t="s">
        <v>32</v>
      </c>
      <c r="Z412" s="21" t="s">
        <v>32</v>
      </c>
      <c r="AA412" s="21">
        <v>22863672</v>
      </c>
      <c r="AB412" s="21">
        <v>1</v>
      </c>
      <c r="AD412" s="21">
        <v>4</v>
      </c>
      <c r="AE412" s="23">
        <v>16</v>
      </c>
      <c r="AF412" s="21">
        <v>8</v>
      </c>
      <c r="AG412" s="21">
        <v>8</v>
      </c>
      <c r="AH412" s="21" t="s">
        <v>1642</v>
      </c>
      <c r="AI412" s="21" t="s">
        <v>1642</v>
      </c>
      <c r="AK412" s="21">
        <v>150</v>
      </c>
      <c r="AN412" s="21">
        <v>150</v>
      </c>
      <c r="AP412" s="21">
        <v>5</v>
      </c>
      <c r="AQ412" s="21" t="s">
        <v>1942</v>
      </c>
      <c r="AR412" s="21" t="s">
        <v>1637</v>
      </c>
      <c r="AS412" s="21" t="s">
        <v>1638</v>
      </c>
      <c r="AT412" s="21" t="s">
        <v>1640</v>
      </c>
      <c r="AU412" s="21" t="s">
        <v>178</v>
      </c>
      <c r="AV412" s="21" t="s">
        <v>1653</v>
      </c>
      <c r="AW412" s="21" t="s">
        <v>1639</v>
      </c>
      <c r="AX412" s="21" t="s">
        <v>1646</v>
      </c>
      <c r="AY412" s="21" t="s">
        <v>1664</v>
      </c>
      <c r="AZ412" s="21" t="s">
        <v>1650</v>
      </c>
      <c r="BA412" s="38">
        <v>315</v>
      </c>
      <c r="BB412" s="21">
        <v>308</v>
      </c>
      <c r="BC412" s="21" t="s">
        <v>2357</v>
      </c>
      <c r="BD412" s="21">
        <v>74.011600000000001</v>
      </c>
      <c r="BF412" s="21">
        <f>81.9284-BD412</f>
        <v>7.916799999999995</v>
      </c>
      <c r="BG412" s="21" t="s">
        <v>2355</v>
      </c>
      <c r="BH412" s="21">
        <v>50.2607</v>
      </c>
      <c r="BJ412" s="21">
        <f>58.0479-BH412</f>
        <v>7.7871999999999986</v>
      </c>
      <c r="BK412" s="40" t="s">
        <v>2797</v>
      </c>
    </row>
    <row r="413" spans="1:63" s="21" customFormat="1" x14ac:dyDescent="0.2">
      <c r="A413" s="21">
        <v>101</v>
      </c>
      <c r="B413" s="21" t="s">
        <v>946</v>
      </c>
      <c r="C413" s="21" t="s">
        <v>945</v>
      </c>
      <c r="D413" s="21" t="s">
        <v>944</v>
      </c>
      <c r="E413" s="21" t="s">
        <v>917</v>
      </c>
      <c r="F413" s="21" t="s">
        <v>324</v>
      </c>
      <c r="G413" s="21">
        <v>2012</v>
      </c>
      <c r="H413" s="21">
        <v>41128</v>
      </c>
      <c r="I413" s="21" t="s">
        <v>32</v>
      </c>
      <c r="J413" s="21" t="s">
        <v>32</v>
      </c>
      <c r="K413" s="21" t="s">
        <v>943</v>
      </c>
      <c r="L413" s="21">
        <v>2</v>
      </c>
      <c r="M413" s="21" t="s">
        <v>942</v>
      </c>
      <c r="N413" s="21" t="s">
        <v>34</v>
      </c>
      <c r="O413" s="21" t="s">
        <v>190</v>
      </c>
      <c r="P413" s="21" t="s">
        <v>34</v>
      </c>
      <c r="Q413" s="21" t="s">
        <v>34</v>
      </c>
      <c r="R413" s="21" t="s">
        <v>34</v>
      </c>
      <c r="S413" s="21" t="s">
        <v>34</v>
      </c>
      <c r="T413" s="21" t="s">
        <v>34</v>
      </c>
      <c r="U413" s="21" t="s">
        <v>32</v>
      </c>
      <c r="V413" s="21">
        <v>1</v>
      </c>
      <c r="W413" s="21" t="s">
        <v>32</v>
      </c>
      <c r="X413" s="21" t="s">
        <v>32</v>
      </c>
      <c r="Y413" s="21" t="s">
        <v>32</v>
      </c>
      <c r="Z413" s="21" t="s">
        <v>32</v>
      </c>
      <c r="AA413" s="21">
        <v>22863672</v>
      </c>
      <c r="AB413" s="21">
        <v>1</v>
      </c>
      <c r="AD413" s="21">
        <v>4</v>
      </c>
      <c r="AE413" s="23">
        <v>16</v>
      </c>
      <c r="AF413" s="21">
        <v>8</v>
      </c>
      <c r="AG413" s="21">
        <v>8</v>
      </c>
      <c r="AH413" s="21" t="s">
        <v>1642</v>
      </c>
      <c r="AI413" s="21" t="s">
        <v>1642</v>
      </c>
      <c r="AK413" s="21">
        <v>150</v>
      </c>
      <c r="AN413" s="21">
        <v>150</v>
      </c>
      <c r="AP413" s="21">
        <v>5</v>
      </c>
      <c r="AQ413" s="21" t="s">
        <v>1942</v>
      </c>
      <c r="AR413" s="21" t="s">
        <v>1637</v>
      </c>
      <c r="AS413" s="21" t="s">
        <v>1638</v>
      </c>
      <c r="AT413" s="21" t="s">
        <v>1640</v>
      </c>
      <c r="AU413" s="21" t="s">
        <v>178</v>
      </c>
      <c r="AV413" s="21" t="s">
        <v>1653</v>
      </c>
      <c r="AW413" s="21" t="s">
        <v>1639</v>
      </c>
      <c r="AX413" s="21" t="s">
        <v>1646</v>
      </c>
      <c r="AY413" s="21" t="s">
        <v>1664</v>
      </c>
      <c r="AZ413" s="21" t="s">
        <v>1650</v>
      </c>
      <c r="BA413" s="38">
        <v>315</v>
      </c>
      <c r="BB413" s="21">
        <v>308</v>
      </c>
      <c r="BC413" s="21" t="s">
        <v>2358</v>
      </c>
      <c r="BD413" s="21">
        <v>55.2746</v>
      </c>
      <c r="BF413" s="21">
        <f>66.436-BD413</f>
        <v>11.161400000000008</v>
      </c>
      <c r="BG413" s="21" t="s">
        <v>2356</v>
      </c>
      <c r="BH413" s="21">
        <v>49.433999999999997</v>
      </c>
      <c r="BJ413" s="21">
        <f>60.0767-BH413</f>
        <v>10.642700000000005</v>
      </c>
      <c r="BK413" s="40" t="s">
        <v>2797</v>
      </c>
    </row>
    <row r="414" spans="1:63" s="21" customFormat="1" x14ac:dyDescent="0.2">
      <c r="A414" s="21">
        <v>101</v>
      </c>
      <c r="B414" s="21" t="s">
        <v>946</v>
      </c>
      <c r="C414" s="21" t="s">
        <v>945</v>
      </c>
      <c r="D414" s="21" t="s">
        <v>944</v>
      </c>
      <c r="E414" s="21" t="s">
        <v>917</v>
      </c>
      <c r="F414" s="21" t="s">
        <v>324</v>
      </c>
      <c r="G414" s="21">
        <v>2012</v>
      </c>
      <c r="H414" s="21">
        <v>41128</v>
      </c>
      <c r="I414" s="21" t="s">
        <v>32</v>
      </c>
      <c r="J414" s="21" t="s">
        <v>32</v>
      </c>
      <c r="K414" s="21" t="s">
        <v>943</v>
      </c>
      <c r="L414" s="21">
        <v>2</v>
      </c>
      <c r="M414" s="21" t="s">
        <v>942</v>
      </c>
      <c r="N414" s="21" t="s">
        <v>34</v>
      </c>
      <c r="O414" s="21" t="s">
        <v>190</v>
      </c>
      <c r="P414" s="21" t="s">
        <v>34</v>
      </c>
      <c r="Q414" s="21" t="s">
        <v>34</v>
      </c>
      <c r="R414" s="21" t="s">
        <v>34</v>
      </c>
      <c r="S414" s="21" t="s">
        <v>34</v>
      </c>
      <c r="T414" s="21" t="s">
        <v>34</v>
      </c>
      <c r="U414" s="21" t="s">
        <v>32</v>
      </c>
      <c r="V414" s="21">
        <v>1</v>
      </c>
      <c r="W414" s="21" t="s">
        <v>32</v>
      </c>
      <c r="X414" s="21" t="s">
        <v>32</v>
      </c>
      <c r="Y414" s="21" t="s">
        <v>32</v>
      </c>
      <c r="Z414" s="21" t="s">
        <v>32</v>
      </c>
      <c r="AA414" s="21">
        <v>22863672</v>
      </c>
      <c r="AB414" s="21">
        <v>1</v>
      </c>
      <c r="AD414" s="21">
        <v>4</v>
      </c>
      <c r="AE414" s="23">
        <v>16</v>
      </c>
      <c r="AF414" s="21">
        <v>8</v>
      </c>
      <c r="AG414" s="21">
        <v>8</v>
      </c>
      <c r="AH414" s="21" t="s">
        <v>1642</v>
      </c>
      <c r="AI414" s="21" t="s">
        <v>1642</v>
      </c>
      <c r="AK414" s="21">
        <v>150</v>
      </c>
      <c r="AN414" s="21">
        <v>150</v>
      </c>
      <c r="AP414" s="21">
        <v>5</v>
      </c>
      <c r="AQ414" s="21" t="s">
        <v>1942</v>
      </c>
      <c r="AR414" s="21" t="s">
        <v>1637</v>
      </c>
      <c r="AS414" s="21" t="s">
        <v>1638</v>
      </c>
      <c r="AT414" s="21" t="s">
        <v>1640</v>
      </c>
      <c r="AU414" s="21" t="s">
        <v>178</v>
      </c>
      <c r="AV414" s="21" t="s">
        <v>2095</v>
      </c>
      <c r="AW414" s="21" t="s">
        <v>1639</v>
      </c>
      <c r="AX414" s="21" t="s">
        <v>1646</v>
      </c>
      <c r="AY414" s="21" t="s">
        <v>1664</v>
      </c>
      <c r="AZ414" s="21" t="s">
        <v>1650</v>
      </c>
      <c r="BA414" s="38">
        <v>315</v>
      </c>
      <c r="BB414" s="21">
        <v>308</v>
      </c>
      <c r="BC414" s="21" t="s">
        <v>2511</v>
      </c>
      <c r="BD414" s="21">
        <v>68.747900000000001</v>
      </c>
      <c r="BF414" s="21">
        <f>79.727-BD414</f>
        <v>10.979100000000003</v>
      </c>
      <c r="BG414" s="21" t="s">
        <v>2513</v>
      </c>
      <c r="BH414" s="21">
        <v>46.261600000000001</v>
      </c>
      <c r="BJ414" s="21">
        <f>57.1081-BH414</f>
        <v>10.846499999999999</v>
      </c>
      <c r="BK414" s="40" t="s">
        <v>2797</v>
      </c>
    </row>
    <row r="415" spans="1:63" s="21" customFormat="1" x14ac:dyDescent="0.2">
      <c r="A415" s="21">
        <v>101</v>
      </c>
      <c r="B415" s="21" t="s">
        <v>946</v>
      </c>
      <c r="C415" s="21" t="s">
        <v>945</v>
      </c>
      <c r="D415" s="21" t="s">
        <v>944</v>
      </c>
      <c r="E415" s="21" t="s">
        <v>917</v>
      </c>
      <c r="F415" s="21" t="s">
        <v>324</v>
      </c>
      <c r="G415" s="21">
        <v>2012</v>
      </c>
      <c r="H415" s="21">
        <v>41128</v>
      </c>
      <c r="I415" s="21" t="s">
        <v>32</v>
      </c>
      <c r="J415" s="21" t="s">
        <v>32</v>
      </c>
      <c r="K415" s="21" t="s">
        <v>943</v>
      </c>
      <c r="L415" s="21">
        <v>2</v>
      </c>
      <c r="M415" s="21" t="s">
        <v>942</v>
      </c>
      <c r="N415" s="21" t="s">
        <v>34</v>
      </c>
      <c r="O415" s="21" t="s">
        <v>190</v>
      </c>
      <c r="P415" s="21" t="s">
        <v>34</v>
      </c>
      <c r="Q415" s="21" t="s">
        <v>34</v>
      </c>
      <c r="R415" s="21" t="s">
        <v>34</v>
      </c>
      <c r="S415" s="21" t="s">
        <v>34</v>
      </c>
      <c r="T415" s="21" t="s">
        <v>34</v>
      </c>
      <c r="U415" s="21" t="s">
        <v>32</v>
      </c>
      <c r="V415" s="21">
        <v>1</v>
      </c>
      <c r="W415" s="21" t="s">
        <v>32</v>
      </c>
      <c r="X415" s="21" t="s">
        <v>32</v>
      </c>
      <c r="Y415" s="21" t="s">
        <v>32</v>
      </c>
      <c r="Z415" s="21" t="s">
        <v>32</v>
      </c>
      <c r="AA415" s="21">
        <v>22863672</v>
      </c>
      <c r="AB415" s="21">
        <v>1</v>
      </c>
      <c r="AD415" s="21">
        <v>4</v>
      </c>
      <c r="AE415" s="23">
        <v>16</v>
      </c>
      <c r="AF415" s="21">
        <v>8</v>
      </c>
      <c r="AG415" s="21">
        <v>8</v>
      </c>
      <c r="AH415" s="21" t="s">
        <v>1642</v>
      </c>
      <c r="AI415" s="21" t="s">
        <v>1642</v>
      </c>
      <c r="AK415" s="21">
        <v>150</v>
      </c>
      <c r="AN415" s="21">
        <v>150</v>
      </c>
      <c r="AP415" s="21">
        <v>5</v>
      </c>
      <c r="AQ415" s="21" t="s">
        <v>1942</v>
      </c>
      <c r="AR415" s="21" t="s">
        <v>1637</v>
      </c>
      <c r="AS415" s="21" t="s">
        <v>1638</v>
      </c>
      <c r="AT415" s="21" t="s">
        <v>1640</v>
      </c>
      <c r="AU415" s="21" t="s">
        <v>178</v>
      </c>
      <c r="AV415" s="21" t="s">
        <v>2095</v>
      </c>
      <c r="AW415" s="21" t="s">
        <v>1639</v>
      </c>
      <c r="AX415" s="21" t="s">
        <v>1646</v>
      </c>
      <c r="AY415" s="21" t="s">
        <v>1664</v>
      </c>
      <c r="AZ415" s="21" t="s">
        <v>1650</v>
      </c>
      <c r="BA415" s="38">
        <v>315</v>
      </c>
      <c r="BB415" s="21">
        <v>308</v>
      </c>
      <c r="BC415" s="21" t="s">
        <v>2512</v>
      </c>
      <c r="BD415" s="21">
        <v>60.3474</v>
      </c>
      <c r="BF415" s="21">
        <f>70.5325-BD415</f>
        <v>10.185099999999998</v>
      </c>
      <c r="BG415" s="21" t="s">
        <v>2514</v>
      </c>
      <c r="BH415" s="21">
        <v>42.358400000000003</v>
      </c>
      <c r="BJ415" s="21">
        <f>51.2212-BH415</f>
        <v>8.8628</v>
      </c>
      <c r="BK415" s="40" t="s">
        <v>2797</v>
      </c>
    </row>
    <row r="416" spans="1:63" s="21" customFormat="1" x14ac:dyDescent="0.2">
      <c r="A416" s="21">
        <v>101</v>
      </c>
      <c r="B416" s="21" t="s">
        <v>946</v>
      </c>
      <c r="C416" s="21" t="s">
        <v>945</v>
      </c>
      <c r="D416" s="21" t="s">
        <v>944</v>
      </c>
      <c r="E416" s="21" t="s">
        <v>917</v>
      </c>
      <c r="F416" s="21" t="s">
        <v>324</v>
      </c>
      <c r="G416" s="21">
        <v>2012</v>
      </c>
      <c r="H416" s="21">
        <v>41128</v>
      </c>
      <c r="I416" s="21" t="s">
        <v>32</v>
      </c>
      <c r="J416" s="21" t="s">
        <v>32</v>
      </c>
      <c r="K416" s="21" t="s">
        <v>943</v>
      </c>
      <c r="L416" s="21">
        <v>2</v>
      </c>
      <c r="M416" s="21" t="s">
        <v>942</v>
      </c>
      <c r="N416" s="21" t="s">
        <v>34</v>
      </c>
      <c r="O416" s="21" t="s">
        <v>190</v>
      </c>
      <c r="P416" s="21" t="s">
        <v>34</v>
      </c>
      <c r="Q416" s="21" t="s">
        <v>34</v>
      </c>
      <c r="R416" s="21" t="s">
        <v>34</v>
      </c>
      <c r="S416" s="21" t="s">
        <v>34</v>
      </c>
      <c r="T416" s="21" t="s">
        <v>34</v>
      </c>
      <c r="U416" s="21" t="s">
        <v>32</v>
      </c>
      <c r="V416" s="21">
        <v>1</v>
      </c>
      <c r="W416" s="21" t="s">
        <v>32</v>
      </c>
      <c r="X416" s="21" t="s">
        <v>32</v>
      </c>
      <c r="Y416" s="21" t="s">
        <v>32</v>
      </c>
      <c r="Z416" s="21" t="s">
        <v>32</v>
      </c>
      <c r="AA416" s="21">
        <v>22863672</v>
      </c>
      <c r="AB416" s="21">
        <v>1</v>
      </c>
      <c r="AD416" s="21">
        <v>4</v>
      </c>
      <c r="AE416" s="23">
        <v>16</v>
      </c>
      <c r="AF416" s="21">
        <v>8</v>
      </c>
      <c r="AG416" s="21">
        <v>8</v>
      </c>
      <c r="AH416" s="21" t="s">
        <v>1642</v>
      </c>
      <c r="AI416" s="21" t="s">
        <v>1642</v>
      </c>
      <c r="AK416" s="21">
        <v>150</v>
      </c>
      <c r="AN416" s="21">
        <v>150</v>
      </c>
      <c r="AP416" s="21">
        <v>5</v>
      </c>
      <c r="AQ416" s="21" t="s">
        <v>1942</v>
      </c>
      <c r="AR416" s="21" t="s">
        <v>2782</v>
      </c>
      <c r="AS416" s="21" t="s">
        <v>1638</v>
      </c>
      <c r="AT416" s="21" t="s">
        <v>1640</v>
      </c>
      <c r="AU416" s="21" t="s">
        <v>178</v>
      </c>
      <c r="AV416" s="21" t="s">
        <v>1641</v>
      </c>
      <c r="AW416" s="21" t="s">
        <v>1639</v>
      </c>
      <c r="AX416" s="21" t="s">
        <v>1646</v>
      </c>
      <c r="AY416" s="21" t="s">
        <v>1662</v>
      </c>
      <c r="AZ416" s="21" t="s">
        <v>1650</v>
      </c>
      <c r="BA416" s="38">
        <v>1315</v>
      </c>
      <c r="BB416" s="21">
        <v>308</v>
      </c>
      <c r="BC416" s="21" t="s">
        <v>2783</v>
      </c>
      <c r="BD416" s="21">
        <v>74.494900000000001</v>
      </c>
      <c r="BF416" s="21">
        <f>83.2071-BD416</f>
        <v>8.7121999999999957</v>
      </c>
      <c r="BG416" s="21" t="s">
        <v>2784</v>
      </c>
      <c r="BH416" s="21">
        <v>58.0503</v>
      </c>
      <c r="BJ416" s="21">
        <f>67.7359-BH416</f>
        <v>9.6856000000000009</v>
      </c>
      <c r="BK416" s="40" t="s">
        <v>2798</v>
      </c>
    </row>
    <row r="417" spans="1:63" s="21" customFormat="1" x14ac:dyDescent="0.2">
      <c r="A417" s="21">
        <v>101</v>
      </c>
      <c r="B417" s="21" t="s">
        <v>946</v>
      </c>
      <c r="C417" s="21" t="s">
        <v>945</v>
      </c>
      <c r="D417" s="21" t="s">
        <v>944</v>
      </c>
      <c r="E417" s="21" t="s">
        <v>917</v>
      </c>
      <c r="F417" s="21" t="s">
        <v>324</v>
      </c>
      <c r="G417" s="21">
        <v>2012</v>
      </c>
      <c r="H417" s="21">
        <v>41128</v>
      </c>
      <c r="I417" s="21" t="s">
        <v>32</v>
      </c>
      <c r="J417" s="21" t="s">
        <v>32</v>
      </c>
      <c r="K417" s="21" t="s">
        <v>943</v>
      </c>
      <c r="L417" s="21">
        <v>2</v>
      </c>
      <c r="M417" s="21" t="s">
        <v>942</v>
      </c>
      <c r="N417" s="21" t="s">
        <v>34</v>
      </c>
      <c r="O417" s="21" t="s">
        <v>190</v>
      </c>
      <c r="P417" s="21" t="s">
        <v>34</v>
      </c>
      <c r="Q417" s="21" t="s">
        <v>34</v>
      </c>
      <c r="R417" s="21" t="s">
        <v>34</v>
      </c>
      <c r="S417" s="21" t="s">
        <v>34</v>
      </c>
      <c r="T417" s="21" t="s">
        <v>34</v>
      </c>
      <c r="U417" s="21" t="s">
        <v>32</v>
      </c>
      <c r="V417" s="21">
        <v>1</v>
      </c>
      <c r="W417" s="21" t="s">
        <v>32</v>
      </c>
      <c r="X417" s="21" t="s">
        <v>32</v>
      </c>
      <c r="Y417" s="21" t="s">
        <v>32</v>
      </c>
      <c r="Z417" s="21" t="s">
        <v>32</v>
      </c>
      <c r="AA417" s="21">
        <v>22863672</v>
      </c>
      <c r="AB417" s="21">
        <v>1</v>
      </c>
      <c r="AD417" s="21">
        <v>4</v>
      </c>
      <c r="AE417" s="23">
        <v>16</v>
      </c>
      <c r="AF417" s="21">
        <v>8</v>
      </c>
      <c r="AG417" s="21">
        <v>8</v>
      </c>
      <c r="AH417" s="21" t="s">
        <v>1642</v>
      </c>
      <c r="AI417" s="21" t="s">
        <v>1642</v>
      </c>
      <c r="AK417" s="21">
        <v>150</v>
      </c>
      <c r="AN417" s="21">
        <v>150</v>
      </c>
      <c r="AP417" s="21">
        <v>5</v>
      </c>
      <c r="AQ417" s="21" t="s">
        <v>1942</v>
      </c>
      <c r="AR417" s="21" t="s">
        <v>2782</v>
      </c>
      <c r="AS417" s="21" t="s">
        <v>1638</v>
      </c>
      <c r="AT417" s="21" t="s">
        <v>1640</v>
      </c>
      <c r="AU417" s="21" t="s">
        <v>178</v>
      </c>
      <c r="AV417" s="21" t="s">
        <v>1641</v>
      </c>
      <c r="AW417" s="21" t="s">
        <v>1639</v>
      </c>
      <c r="AX417" s="21" t="s">
        <v>1646</v>
      </c>
      <c r="AY417" s="21" t="s">
        <v>1662</v>
      </c>
      <c r="AZ417" s="21" t="s">
        <v>1650</v>
      </c>
      <c r="BA417" s="38">
        <v>1315</v>
      </c>
      <c r="BB417" s="21">
        <v>308</v>
      </c>
      <c r="BC417" s="21" t="s">
        <v>2785</v>
      </c>
      <c r="BD417" s="21">
        <v>76.515199999999993</v>
      </c>
      <c r="BF417" s="21">
        <f>86.9949-BD417</f>
        <v>10.479700000000008</v>
      </c>
      <c r="BG417" s="21" t="s">
        <v>2786</v>
      </c>
      <c r="BH417" s="21">
        <v>58.207500000000003</v>
      </c>
      <c r="BJ417" s="21">
        <f>68.2704-BH417</f>
        <v>10.062899999999992</v>
      </c>
      <c r="BK417" s="40" t="s">
        <v>2798</v>
      </c>
    </row>
    <row r="418" spans="1:63" s="21" customFormat="1" x14ac:dyDescent="0.2">
      <c r="A418" s="21">
        <v>101</v>
      </c>
      <c r="B418" s="21" t="s">
        <v>946</v>
      </c>
      <c r="C418" s="21" t="s">
        <v>945</v>
      </c>
      <c r="D418" s="21" t="s">
        <v>944</v>
      </c>
      <c r="E418" s="21" t="s">
        <v>917</v>
      </c>
      <c r="F418" s="21" t="s">
        <v>324</v>
      </c>
      <c r="G418" s="21">
        <v>2012</v>
      </c>
      <c r="H418" s="21">
        <v>41128</v>
      </c>
      <c r="I418" s="21" t="s">
        <v>32</v>
      </c>
      <c r="J418" s="21" t="s">
        <v>32</v>
      </c>
      <c r="K418" s="21" t="s">
        <v>943</v>
      </c>
      <c r="L418" s="21">
        <v>2</v>
      </c>
      <c r="M418" s="21" t="s">
        <v>942</v>
      </c>
      <c r="N418" s="21" t="s">
        <v>34</v>
      </c>
      <c r="O418" s="21" t="s">
        <v>190</v>
      </c>
      <c r="P418" s="21" t="s">
        <v>34</v>
      </c>
      <c r="Q418" s="21" t="s">
        <v>34</v>
      </c>
      <c r="R418" s="21" t="s">
        <v>34</v>
      </c>
      <c r="S418" s="21" t="s">
        <v>34</v>
      </c>
      <c r="T418" s="21" t="s">
        <v>34</v>
      </c>
      <c r="U418" s="21" t="s">
        <v>32</v>
      </c>
      <c r="V418" s="21">
        <v>1</v>
      </c>
      <c r="W418" s="21" t="s">
        <v>32</v>
      </c>
      <c r="X418" s="21" t="s">
        <v>32</v>
      </c>
      <c r="Y418" s="21" t="s">
        <v>32</v>
      </c>
      <c r="Z418" s="21" t="s">
        <v>32</v>
      </c>
      <c r="AA418" s="21">
        <v>22863672</v>
      </c>
      <c r="AB418" s="21">
        <v>1</v>
      </c>
      <c r="AD418" s="21">
        <v>4</v>
      </c>
      <c r="AE418" s="23">
        <v>16</v>
      </c>
      <c r="AF418" s="21">
        <v>8</v>
      </c>
      <c r="AG418" s="21">
        <v>8</v>
      </c>
      <c r="AH418" s="21" t="s">
        <v>1642</v>
      </c>
      <c r="AI418" s="21" t="s">
        <v>1642</v>
      </c>
      <c r="AK418" s="21">
        <v>150</v>
      </c>
      <c r="AN418" s="21">
        <v>150</v>
      </c>
      <c r="AP418" s="21">
        <v>5</v>
      </c>
      <c r="AQ418" s="21" t="s">
        <v>1942</v>
      </c>
      <c r="AR418" s="21" t="s">
        <v>2782</v>
      </c>
      <c r="AS418" s="21" t="s">
        <v>1638</v>
      </c>
      <c r="AT418" s="21" t="s">
        <v>1640</v>
      </c>
      <c r="AU418" s="21" t="s">
        <v>178</v>
      </c>
      <c r="AV418" s="21" t="s">
        <v>1653</v>
      </c>
      <c r="AW418" s="21" t="s">
        <v>1639</v>
      </c>
      <c r="AX418" s="21" t="s">
        <v>1646</v>
      </c>
      <c r="AY418" s="21" t="s">
        <v>1663</v>
      </c>
      <c r="AZ418" s="21" t="s">
        <v>1650</v>
      </c>
      <c r="BA418" s="38">
        <v>1315</v>
      </c>
      <c r="BB418" s="21">
        <v>308</v>
      </c>
      <c r="BC418" s="21" t="s">
        <v>2787</v>
      </c>
      <c r="BD418" s="21">
        <v>79.423299999999998</v>
      </c>
      <c r="BF418" s="21">
        <f>89.253-BD418</f>
        <v>9.8297000000000025</v>
      </c>
      <c r="BG418" s="21" t="s">
        <v>2788</v>
      </c>
      <c r="BH418" s="21">
        <v>59.41</v>
      </c>
      <c r="BJ418" s="21">
        <f>69.0142-BH418</f>
        <v>9.6042000000000058</v>
      </c>
      <c r="BK418" s="40" t="s">
        <v>2798</v>
      </c>
    </row>
    <row r="419" spans="1:63" s="21" customFormat="1" x14ac:dyDescent="0.2">
      <c r="A419" s="21">
        <v>101</v>
      </c>
      <c r="B419" s="21" t="s">
        <v>946</v>
      </c>
      <c r="C419" s="21" t="s">
        <v>945</v>
      </c>
      <c r="D419" s="21" t="s">
        <v>944</v>
      </c>
      <c r="E419" s="21" t="s">
        <v>917</v>
      </c>
      <c r="F419" s="21" t="s">
        <v>324</v>
      </c>
      <c r="G419" s="21">
        <v>2012</v>
      </c>
      <c r="H419" s="21">
        <v>41128</v>
      </c>
      <c r="I419" s="21" t="s">
        <v>32</v>
      </c>
      <c r="J419" s="21" t="s">
        <v>32</v>
      </c>
      <c r="K419" s="21" t="s">
        <v>943</v>
      </c>
      <c r="L419" s="21">
        <v>2</v>
      </c>
      <c r="M419" s="21" t="s">
        <v>942</v>
      </c>
      <c r="N419" s="21" t="s">
        <v>34</v>
      </c>
      <c r="O419" s="21" t="s">
        <v>190</v>
      </c>
      <c r="P419" s="21" t="s">
        <v>34</v>
      </c>
      <c r="Q419" s="21" t="s">
        <v>34</v>
      </c>
      <c r="R419" s="21" t="s">
        <v>34</v>
      </c>
      <c r="S419" s="21" t="s">
        <v>34</v>
      </c>
      <c r="T419" s="21" t="s">
        <v>34</v>
      </c>
      <c r="U419" s="21" t="s">
        <v>32</v>
      </c>
      <c r="V419" s="21">
        <v>1</v>
      </c>
      <c r="W419" s="21" t="s">
        <v>32</v>
      </c>
      <c r="X419" s="21" t="s">
        <v>32</v>
      </c>
      <c r="Y419" s="21" t="s">
        <v>32</v>
      </c>
      <c r="Z419" s="21" t="s">
        <v>32</v>
      </c>
      <c r="AA419" s="21">
        <v>22863672</v>
      </c>
      <c r="AB419" s="21">
        <v>1</v>
      </c>
      <c r="AD419" s="21">
        <v>4</v>
      </c>
      <c r="AE419" s="23">
        <v>16</v>
      </c>
      <c r="AF419" s="21">
        <v>8</v>
      </c>
      <c r="AG419" s="21">
        <v>8</v>
      </c>
      <c r="AH419" s="21" t="s">
        <v>1642</v>
      </c>
      <c r="AI419" s="21" t="s">
        <v>1642</v>
      </c>
      <c r="AK419" s="21">
        <v>150</v>
      </c>
      <c r="AN419" s="21">
        <v>150</v>
      </c>
      <c r="AP419" s="21">
        <v>5</v>
      </c>
      <c r="AQ419" s="21" t="s">
        <v>1942</v>
      </c>
      <c r="AR419" s="21" t="s">
        <v>2782</v>
      </c>
      <c r="AS419" s="21" t="s">
        <v>1638</v>
      </c>
      <c r="AT419" s="21" t="s">
        <v>1640</v>
      </c>
      <c r="AU419" s="21" t="s">
        <v>178</v>
      </c>
      <c r="AV419" s="21" t="s">
        <v>1653</v>
      </c>
      <c r="AW419" s="21" t="s">
        <v>1639</v>
      </c>
      <c r="AX419" s="21" t="s">
        <v>1646</v>
      </c>
      <c r="AY419" s="21" t="s">
        <v>1664</v>
      </c>
      <c r="AZ419" s="21" t="s">
        <v>1650</v>
      </c>
      <c r="BA419" s="38">
        <v>1315</v>
      </c>
      <c r="BB419" s="21">
        <v>308</v>
      </c>
      <c r="BC419" s="21" t="s">
        <v>2789</v>
      </c>
      <c r="BD419" s="21">
        <v>69.986900000000006</v>
      </c>
      <c r="BF419" s="21">
        <f>78.768-BD419</f>
        <v>8.781099999999995</v>
      </c>
      <c r="BG419" s="21" t="s">
        <v>2790</v>
      </c>
      <c r="BH419" s="21">
        <v>50.2607</v>
      </c>
      <c r="BJ419" s="21">
        <f>58.0479-BH419</f>
        <v>7.7871999999999986</v>
      </c>
      <c r="BK419" s="40" t="s">
        <v>2798</v>
      </c>
    </row>
    <row r="420" spans="1:63" s="21" customFormat="1" x14ac:dyDescent="0.2">
      <c r="A420" s="21">
        <v>101</v>
      </c>
      <c r="B420" s="21" t="s">
        <v>946</v>
      </c>
      <c r="C420" s="21" t="s">
        <v>945</v>
      </c>
      <c r="D420" s="21" t="s">
        <v>944</v>
      </c>
      <c r="E420" s="21" t="s">
        <v>917</v>
      </c>
      <c r="F420" s="21" t="s">
        <v>324</v>
      </c>
      <c r="G420" s="21">
        <v>2012</v>
      </c>
      <c r="H420" s="21">
        <v>41128</v>
      </c>
      <c r="I420" s="21" t="s">
        <v>32</v>
      </c>
      <c r="J420" s="21" t="s">
        <v>32</v>
      </c>
      <c r="K420" s="21" t="s">
        <v>943</v>
      </c>
      <c r="L420" s="21">
        <v>2</v>
      </c>
      <c r="M420" s="21" t="s">
        <v>942</v>
      </c>
      <c r="N420" s="21" t="s">
        <v>34</v>
      </c>
      <c r="O420" s="21" t="s">
        <v>190</v>
      </c>
      <c r="P420" s="21" t="s">
        <v>34</v>
      </c>
      <c r="Q420" s="21" t="s">
        <v>34</v>
      </c>
      <c r="R420" s="21" t="s">
        <v>34</v>
      </c>
      <c r="S420" s="21" t="s">
        <v>34</v>
      </c>
      <c r="T420" s="21" t="s">
        <v>34</v>
      </c>
      <c r="U420" s="21" t="s">
        <v>32</v>
      </c>
      <c r="V420" s="21">
        <v>1</v>
      </c>
      <c r="W420" s="21" t="s">
        <v>32</v>
      </c>
      <c r="X420" s="21" t="s">
        <v>32</v>
      </c>
      <c r="Y420" s="21" t="s">
        <v>32</v>
      </c>
      <c r="Z420" s="21" t="s">
        <v>32</v>
      </c>
      <c r="AA420" s="21">
        <v>22863672</v>
      </c>
      <c r="AB420" s="21">
        <v>1</v>
      </c>
      <c r="AD420" s="21">
        <v>4</v>
      </c>
      <c r="AE420" s="23">
        <v>16</v>
      </c>
      <c r="AF420" s="21">
        <v>8</v>
      </c>
      <c r="AG420" s="21">
        <v>8</v>
      </c>
      <c r="AH420" s="21" t="s">
        <v>1642</v>
      </c>
      <c r="AI420" s="21" t="s">
        <v>1642</v>
      </c>
      <c r="AK420" s="21">
        <v>150</v>
      </c>
      <c r="AN420" s="21">
        <v>150</v>
      </c>
      <c r="AP420" s="21">
        <v>5</v>
      </c>
      <c r="AQ420" s="21" t="s">
        <v>1942</v>
      </c>
      <c r="AR420" s="21" t="s">
        <v>2782</v>
      </c>
      <c r="AS420" s="21" t="s">
        <v>1638</v>
      </c>
      <c r="AT420" s="21" t="s">
        <v>1640</v>
      </c>
      <c r="AU420" s="21" t="s">
        <v>178</v>
      </c>
      <c r="AV420" s="21" t="s">
        <v>1653</v>
      </c>
      <c r="AW420" s="21" t="s">
        <v>1639</v>
      </c>
      <c r="AX420" s="21" t="s">
        <v>1646</v>
      </c>
      <c r="AY420" s="21" t="s">
        <v>1664</v>
      </c>
      <c r="AZ420" s="21" t="s">
        <v>1650</v>
      </c>
      <c r="BA420" s="38">
        <v>1315</v>
      </c>
      <c r="BB420" s="21">
        <v>308</v>
      </c>
      <c r="BC420" s="21" t="s">
        <v>2791</v>
      </c>
      <c r="BD420" s="21">
        <v>45.347299999999997</v>
      </c>
      <c r="BF420" s="21">
        <f>60.0262-BD420</f>
        <v>14.678900000000006</v>
      </c>
      <c r="BG420" s="21" t="s">
        <v>2792</v>
      </c>
      <c r="BH420" s="21">
        <v>49.433999999999997</v>
      </c>
      <c r="BJ420" s="21">
        <f>60.0767-BH420</f>
        <v>10.642700000000005</v>
      </c>
      <c r="BK420" s="40" t="s">
        <v>2798</v>
      </c>
    </row>
    <row r="421" spans="1:63" s="21" customFormat="1" x14ac:dyDescent="0.2">
      <c r="A421" s="21">
        <v>101</v>
      </c>
      <c r="B421" s="21" t="s">
        <v>946</v>
      </c>
      <c r="C421" s="21" t="s">
        <v>945</v>
      </c>
      <c r="D421" s="21" t="s">
        <v>944</v>
      </c>
      <c r="E421" s="21" t="s">
        <v>917</v>
      </c>
      <c r="F421" s="21" t="s">
        <v>324</v>
      </c>
      <c r="G421" s="21">
        <v>2012</v>
      </c>
      <c r="H421" s="21">
        <v>41128</v>
      </c>
      <c r="I421" s="21" t="s">
        <v>32</v>
      </c>
      <c r="J421" s="21" t="s">
        <v>32</v>
      </c>
      <c r="K421" s="21" t="s">
        <v>943</v>
      </c>
      <c r="L421" s="21">
        <v>2</v>
      </c>
      <c r="M421" s="21" t="s">
        <v>942</v>
      </c>
      <c r="N421" s="21" t="s">
        <v>34</v>
      </c>
      <c r="O421" s="21" t="s">
        <v>190</v>
      </c>
      <c r="P421" s="21" t="s">
        <v>34</v>
      </c>
      <c r="Q421" s="21" t="s">
        <v>34</v>
      </c>
      <c r="R421" s="21" t="s">
        <v>34</v>
      </c>
      <c r="S421" s="21" t="s">
        <v>34</v>
      </c>
      <c r="T421" s="21" t="s">
        <v>34</v>
      </c>
      <c r="U421" s="21" t="s">
        <v>32</v>
      </c>
      <c r="V421" s="21">
        <v>1</v>
      </c>
      <c r="W421" s="21" t="s">
        <v>32</v>
      </c>
      <c r="X421" s="21" t="s">
        <v>32</v>
      </c>
      <c r="Y421" s="21" t="s">
        <v>32</v>
      </c>
      <c r="Z421" s="21" t="s">
        <v>32</v>
      </c>
      <c r="AA421" s="21">
        <v>22863672</v>
      </c>
      <c r="AB421" s="21">
        <v>1</v>
      </c>
      <c r="AD421" s="21">
        <v>4</v>
      </c>
      <c r="AE421" s="23">
        <v>16</v>
      </c>
      <c r="AF421" s="21">
        <v>8</v>
      </c>
      <c r="AG421" s="21">
        <v>8</v>
      </c>
      <c r="AH421" s="21" t="s">
        <v>1642</v>
      </c>
      <c r="AI421" s="21" t="s">
        <v>1642</v>
      </c>
      <c r="AK421" s="21">
        <v>150</v>
      </c>
      <c r="AN421" s="21">
        <v>150</v>
      </c>
      <c r="AP421" s="21">
        <v>5</v>
      </c>
      <c r="AQ421" s="21" t="s">
        <v>1942</v>
      </c>
      <c r="AR421" s="21" t="s">
        <v>2782</v>
      </c>
      <c r="AS421" s="21" t="s">
        <v>1638</v>
      </c>
      <c r="AT421" s="21" t="s">
        <v>1640</v>
      </c>
      <c r="AU421" s="21" t="s">
        <v>178</v>
      </c>
      <c r="AV421" s="21" t="s">
        <v>2095</v>
      </c>
      <c r="AW421" s="21" t="s">
        <v>1639</v>
      </c>
      <c r="AX421" s="21" t="s">
        <v>1646</v>
      </c>
      <c r="AY421" s="21" t="s">
        <v>1664</v>
      </c>
      <c r="AZ421" s="21" t="s">
        <v>1650</v>
      </c>
      <c r="BA421" s="38">
        <v>1315</v>
      </c>
      <c r="BB421" s="21">
        <v>308</v>
      </c>
      <c r="BC421" s="21" t="s">
        <v>2793</v>
      </c>
      <c r="BD421" s="21">
        <v>56.557400000000001</v>
      </c>
      <c r="BF421" s="21">
        <f>67.8962-BD421</f>
        <v>11.338799999999992</v>
      </c>
      <c r="BG421" s="21" t="s">
        <v>2794</v>
      </c>
      <c r="BH421" s="21">
        <v>46.261600000000001</v>
      </c>
      <c r="BJ421" s="21">
        <f>57.1081-BH421</f>
        <v>10.846499999999999</v>
      </c>
      <c r="BK421" s="40" t="s">
        <v>2798</v>
      </c>
    </row>
    <row r="422" spans="1:63" s="21" customFormat="1" x14ac:dyDescent="0.2">
      <c r="A422" s="21">
        <v>101</v>
      </c>
      <c r="B422" s="21" t="s">
        <v>946</v>
      </c>
      <c r="C422" s="21" t="s">
        <v>945</v>
      </c>
      <c r="D422" s="21" t="s">
        <v>944</v>
      </c>
      <c r="E422" s="21" t="s">
        <v>917</v>
      </c>
      <c r="F422" s="21" t="s">
        <v>324</v>
      </c>
      <c r="G422" s="21">
        <v>2012</v>
      </c>
      <c r="H422" s="21">
        <v>41128</v>
      </c>
      <c r="I422" s="21" t="s">
        <v>32</v>
      </c>
      <c r="J422" s="21" t="s">
        <v>32</v>
      </c>
      <c r="K422" s="21" t="s">
        <v>943</v>
      </c>
      <c r="L422" s="21">
        <v>2</v>
      </c>
      <c r="M422" s="21" t="s">
        <v>942</v>
      </c>
      <c r="N422" s="21" t="s">
        <v>34</v>
      </c>
      <c r="O422" s="21" t="s">
        <v>190</v>
      </c>
      <c r="P422" s="21" t="s">
        <v>34</v>
      </c>
      <c r="Q422" s="21" t="s">
        <v>34</v>
      </c>
      <c r="R422" s="21" t="s">
        <v>34</v>
      </c>
      <c r="S422" s="21" t="s">
        <v>34</v>
      </c>
      <c r="T422" s="21" t="s">
        <v>34</v>
      </c>
      <c r="U422" s="21" t="s">
        <v>32</v>
      </c>
      <c r="V422" s="21">
        <v>1</v>
      </c>
      <c r="W422" s="21" t="s">
        <v>32</v>
      </c>
      <c r="X422" s="21" t="s">
        <v>32</v>
      </c>
      <c r="Y422" s="21" t="s">
        <v>32</v>
      </c>
      <c r="Z422" s="21" t="s">
        <v>32</v>
      </c>
      <c r="AA422" s="21">
        <v>22863672</v>
      </c>
      <c r="AB422" s="21">
        <v>1</v>
      </c>
      <c r="AD422" s="21">
        <v>4</v>
      </c>
      <c r="AE422" s="23">
        <v>16</v>
      </c>
      <c r="AF422" s="21">
        <v>8</v>
      </c>
      <c r="AG422" s="21">
        <v>8</v>
      </c>
      <c r="AH422" s="21" t="s">
        <v>1642</v>
      </c>
      <c r="AI422" s="21" t="s">
        <v>1642</v>
      </c>
      <c r="AK422" s="21">
        <v>150</v>
      </c>
      <c r="AN422" s="21">
        <v>150</v>
      </c>
      <c r="AP422" s="21">
        <v>5</v>
      </c>
      <c r="AQ422" s="21" t="s">
        <v>1942</v>
      </c>
      <c r="AR422" s="21" t="s">
        <v>2782</v>
      </c>
      <c r="AS422" s="21" t="s">
        <v>1638</v>
      </c>
      <c r="AT422" s="21" t="s">
        <v>1640</v>
      </c>
      <c r="AU422" s="21" t="s">
        <v>178</v>
      </c>
      <c r="AV422" s="21" t="s">
        <v>2095</v>
      </c>
      <c r="AW422" s="21" t="s">
        <v>1639</v>
      </c>
      <c r="AX422" s="21" t="s">
        <v>1646</v>
      </c>
      <c r="AY422" s="21" t="s">
        <v>1664</v>
      </c>
      <c r="AZ422" s="21" t="s">
        <v>1650</v>
      </c>
      <c r="BA422" s="38">
        <v>1315</v>
      </c>
      <c r="BB422" s="21">
        <v>308</v>
      </c>
      <c r="BC422" s="21" t="s">
        <v>2795</v>
      </c>
      <c r="BD422" s="21">
        <v>53.278700000000001</v>
      </c>
      <c r="BF422" s="21">
        <f>61.8852-BD422</f>
        <v>8.6064999999999969</v>
      </c>
      <c r="BG422" s="21" t="s">
        <v>2796</v>
      </c>
      <c r="BH422" s="21">
        <v>42.358400000000003</v>
      </c>
      <c r="BJ422" s="21">
        <f>51.2212-BH422</f>
        <v>8.8628</v>
      </c>
      <c r="BK422" s="40" t="s">
        <v>2798</v>
      </c>
    </row>
    <row r="423" spans="1:63" s="21" customFormat="1" x14ac:dyDescent="0.2">
      <c r="A423" s="21">
        <v>101</v>
      </c>
      <c r="B423" s="21" t="s">
        <v>946</v>
      </c>
      <c r="C423" s="21" t="s">
        <v>945</v>
      </c>
      <c r="D423" s="21" t="s">
        <v>944</v>
      </c>
      <c r="E423" s="21" t="s">
        <v>917</v>
      </c>
      <c r="F423" s="21" t="s">
        <v>324</v>
      </c>
      <c r="G423" s="21">
        <v>2012</v>
      </c>
      <c r="H423" s="21">
        <v>41128</v>
      </c>
      <c r="I423" s="21" t="s">
        <v>32</v>
      </c>
      <c r="J423" s="21" t="s">
        <v>32</v>
      </c>
      <c r="K423" s="21" t="s">
        <v>943</v>
      </c>
      <c r="L423" s="21">
        <v>2</v>
      </c>
      <c r="M423" s="21" t="s">
        <v>942</v>
      </c>
      <c r="N423" s="21" t="s">
        <v>34</v>
      </c>
      <c r="O423" s="21" t="s">
        <v>190</v>
      </c>
      <c r="P423" s="21" t="s">
        <v>34</v>
      </c>
      <c r="Q423" s="21" t="s">
        <v>34</v>
      </c>
      <c r="R423" s="21" t="s">
        <v>34</v>
      </c>
      <c r="S423" s="21" t="s">
        <v>34</v>
      </c>
      <c r="T423" s="21" t="s">
        <v>34</v>
      </c>
      <c r="U423" s="21" t="s">
        <v>32</v>
      </c>
      <c r="V423" s="21">
        <v>1</v>
      </c>
      <c r="W423" s="21" t="s">
        <v>32</v>
      </c>
      <c r="X423" s="21" t="s">
        <v>32</v>
      </c>
      <c r="Y423" s="21" t="s">
        <v>32</v>
      </c>
      <c r="Z423" s="21" t="s">
        <v>32</v>
      </c>
      <c r="AA423" s="21">
        <v>22863672</v>
      </c>
      <c r="AB423" s="21">
        <v>1</v>
      </c>
      <c r="AD423" s="21">
        <v>4</v>
      </c>
      <c r="AE423" s="23">
        <v>16</v>
      </c>
      <c r="AF423" s="21">
        <v>8</v>
      </c>
      <c r="AG423" s="21">
        <v>8</v>
      </c>
      <c r="AH423" s="21" t="s">
        <v>1642</v>
      </c>
      <c r="AI423" s="21" t="s">
        <v>1642</v>
      </c>
      <c r="AK423" s="21">
        <v>150</v>
      </c>
      <c r="AN423" s="21">
        <v>150</v>
      </c>
      <c r="AP423" s="21">
        <v>5</v>
      </c>
      <c r="AQ423" s="21" t="s">
        <v>1942</v>
      </c>
      <c r="AR423" s="21" t="s">
        <v>2829</v>
      </c>
      <c r="AS423" s="21" t="s">
        <v>1638</v>
      </c>
      <c r="AT423" s="21" t="s">
        <v>1640</v>
      </c>
      <c r="AU423" s="21" t="s">
        <v>178</v>
      </c>
      <c r="AV423" s="21" t="s">
        <v>1641</v>
      </c>
      <c r="AW423" s="21" t="s">
        <v>1639</v>
      </c>
      <c r="AX423" s="21" t="s">
        <v>1646</v>
      </c>
      <c r="AY423" s="21" t="s">
        <v>1662</v>
      </c>
      <c r="AZ423" s="21" t="s">
        <v>1650</v>
      </c>
      <c r="BA423" s="38">
        <v>2315</v>
      </c>
      <c r="BB423" s="21">
        <v>308</v>
      </c>
      <c r="BC423" s="21" t="s">
        <v>2801</v>
      </c>
      <c r="BD423" s="21">
        <v>59.854900000000001</v>
      </c>
      <c r="BF423" s="21">
        <f>69.7097-BD423</f>
        <v>9.8547999999999973</v>
      </c>
      <c r="BG423" s="21" t="s">
        <v>2802</v>
      </c>
      <c r="BH423" s="21">
        <v>58.0503</v>
      </c>
      <c r="BJ423" s="21">
        <f>67.7359-BH423</f>
        <v>9.6856000000000009</v>
      </c>
      <c r="BK423" s="40" t="s">
        <v>2799</v>
      </c>
    </row>
    <row r="424" spans="1:63" s="21" customFormat="1" x14ac:dyDescent="0.2">
      <c r="A424" s="21">
        <v>101</v>
      </c>
      <c r="B424" s="21" t="s">
        <v>946</v>
      </c>
      <c r="C424" s="21" t="s">
        <v>945</v>
      </c>
      <c r="D424" s="21" t="s">
        <v>944</v>
      </c>
      <c r="E424" s="21" t="s">
        <v>917</v>
      </c>
      <c r="F424" s="21" t="s">
        <v>324</v>
      </c>
      <c r="G424" s="21">
        <v>2012</v>
      </c>
      <c r="H424" s="21">
        <v>41128</v>
      </c>
      <c r="I424" s="21" t="s">
        <v>32</v>
      </c>
      <c r="J424" s="21" t="s">
        <v>32</v>
      </c>
      <c r="K424" s="21" t="s">
        <v>943</v>
      </c>
      <c r="L424" s="21">
        <v>2</v>
      </c>
      <c r="M424" s="21" t="s">
        <v>942</v>
      </c>
      <c r="N424" s="21" t="s">
        <v>34</v>
      </c>
      <c r="O424" s="21" t="s">
        <v>190</v>
      </c>
      <c r="P424" s="21" t="s">
        <v>34</v>
      </c>
      <c r="Q424" s="21" t="s">
        <v>34</v>
      </c>
      <c r="R424" s="21" t="s">
        <v>34</v>
      </c>
      <c r="S424" s="21" t="s">
        <v>34</v>
      </c>
      <c r="T424" s="21" t="s">
        <v>34</v>
      </c>
      <c r="U424" s="21" t="s">
        <v>32</v>
      </c>
      <c r="V424" s="21">
        <v>1</v>
      </c>
      <c r="W424" s="21" t="s">
        <v>32</v>
      </c>
      <c r="X424" s="21" t="s">
        <v>32</v>
      </c>
      <c r="Y424" s="21" t="s">
        <v>32</v>
      </c>
      <c r="Z424" s="21" t="s">
        <v>32</v>
      </c>
      <c r="AA424" s="21">
        <v>22863672</v>
      </c>
      <c r="AB424" s="21">
        <v>1</v>
      </c>
      <c r="AD424" s="21">
        <v>4</v>
      </c>
      <c r="AE424" s="23">
        <v>16</v>
      </c>
      <c r="AF424" s="21">
        <v>8</v>
      </c>
      <c r="AG424" s="21">
        <v>8</v>
      </c>
      <c r="AH424" s="21" t="s">
        <v>1642</v>
      </c>
      <c r="AI424" s="21" t="s">
        <v>1642</v>
      </c>
      <c r="AK424" s="21">
        <v>150</v>
      </c>
      <c r="AN424" s="21">
        <v>150</v>
      </c>
      <c r="AP424" s="21">
        <v>5</v>
      </c>
      <c r="AQ424" s="21" t="s">
        <v>1942</v>
      </c>
      <c r="AR424" s="21" t="s">
        <v>2829</v>
      </c>
      <c r="AS424" s="21" t="s">
        <v>1638</v>
      </c>
      <c r="AT424" s="21" t="s">
        <v>1640</v>
      </c>
      <c r="AU424" s="21" t="s">
        <v>178</v>
      </c>
      <c r="AV424" s="21" t="s">
        <v>1641</v>
      </c>
      <c r="AW424" s="21" t="s">
        <v>1639</v>
      </c>
      <c r="AX424" s="21" t="s">
        <v>1646</v>
      </c>
      <c r="AY424" s="21" t="s">
        <v>1662</v>
      </c>
      <c r="AZ424" s="21" t="s">
        <v>1650</v>
      </c>
      <c r="BA424" s="38">
        <v>2315</v>
      </c>
      <c r="BB424" s="21">
        <v>308</v>
      </c>
      <c r="BC424" s="21" t="s">
        <v>2803</v>
      </c>
      <c r="BD424" s="21">
        <v>69.346599999999995</v>
      </c>
      <c r="BF424" s="21">
        <f>79.5802-BD424</f>
        <v>10.23360000000001</v>
      </c>
      <c r="BG424" s="21" t="s">
        <v>2804</v>
      </c>
      <c r="BH424" s="21">
        <v>58.207500000000003</v>
      </c>
      <c r="BJ424" s="21">
        <f>68.2704-BH424</f>
        <v>10.062899999999992</v>
      </c>
      <c r="BK424" s="40" t="s">
        <v>2799</v>
      </c>
    </row>
    <row r="425" spans="1:63" s="21" customFormat="1" x14ac:dyDescent="0.2">
      <c r="A425" s="21">
        <v>101</v>
      </c>
      <c r="B425" s="21" t="s">
        <v>946</v>
      </c>
      <c r="C425" s="21" t="s">
        <v>945</v>
      </c>
      <c r="D425" s="21" t="s">
        <v>944</v>
      </c>
      <c r="E425" s="21" t="s">
        <v>917</v>
      </c>
      <c r="F425" s="21" t="s">
        <v>324</v>
      </c>
      <c r="G425" s="21">
        <v>2012</v>
      </c>
      <c r="H425" s="21">
        <v>41128</v>
      </c>
      <c r="I425" s="21" t="s">
        <v>32</v>
      </c>
      <c r="J425" s="21" t="s">
        <v>32</v>
      </c>
      <c r="K425" s="21" t="s">
        <v>943</v>
      </c>
      <c r="L425" s="21">
        <v>2</v>
      </c>
      <c r="M425" s="21" t="s">
        <v>942</v>
      </c>
      <c r="N425" s="21" t="s">
        <v>34</v>
      </c>
      <c r="O425" s="21" t="s">
        <v>190</v>
      </c>
      <c r="P425" s="21" t="s">
        <v>34</v>
      </c>
      <c r="Q425" s="21" t="s">
        <v>34</v>
      </c>
      <c r="R425" s="21" t="s">
        <v>34</v>
      </c>
      <c r="S425" s="21" t="s">
        <v>34</v>
      </c>
      <c r="T425" s="21" t="s">
        <v>34</v>
      </c>
      <c r="U425" s="21" t="s">
        <v>32</v>
      </c>
      <c r="V425" s="21">
        <v>1</v>
      </c>
      <c r="W425" s="21" t="s">
        <v>32</v>
      </c>
      <c r="X425" s="21" t="s">
        <v>32</v>
      </c>
      <c r="Y425" s="21" t="s">
        <v>32</v>
      </c>
      <c r="Z425" s="21" t="s">
        <v>32</v>
      </c>
      <c r="AA425" s="21">
        <v>22863672</v>
      </c>
      <c r="AB425" s="21">
        <v>1</v>
      </c>
      <c r="AD425" s="21">
        <v>4</v>
      </c>
      <c r="AE425" s="23">
        <v>16</v>
      </c>
      <c r="AF425" s="21">
        <v>8</v>
      </c>
      <c r="AG425" s="21">
        <v>8</v>
      </c>
      <c r="AH425" s="21" t="s">
        <v>1642</v>
      </c>
      <c r="AI425" s="21" t="s">
        <v>1642</v>
      </c>
      <c r="AK425" s="21">
        <v>150</v>
      </c>
      <c r="AN425" s="21">
        <v>150</v>
      </c>
      <c r="AP425" s="21">
        <v>5</v>
      </c>
      <c r="AQ425" s="21" t="s">
        <v>1942</v>
      </c>
      <c r="AR425" s="21" t="s">
        <v>2829</v>
      </c>
      <c r="AS425" s="21" t="s">
        <v>1638</v>
      </c>
      <c r="AT425" s="21" t="s">
        <v>1640</v>
      </c>
      <c r="AU425" s="21" t="s">
        <v>178</v>
      </c>
      <c r="AV425" s="21" t="s">
        <v>1653</v>
      </c>
      <c r="AW425" s="21" t="s">
        <v>1639</v>
      </c>
      <c r="AX425" s="21" t="s">
        <v>1646</v>
      </c>
      <c r="AY425" s="21" t="s">
        <v>1663</v>
      </c>
      <c r="AZ425" s="21" t="s">
        <v>1650</v>
      </c>
      <c r="BA425" s="38">
        <v>2315</v>
      </c>
      <c r="BB425" s="21">
        <v>308</v>
      </c>
      <c r="BC425" s="21" t="s">
        <v>2805</v>
      </c>
      <c r="BD425" s="21">
        <v>77.0227</v>
      </c>
      <c r="BF425" s="21">
        <f>86.9248-BD425</f>
        <v>9.9021000000000043</v>
      </c>
      <c r="BG425" s="21" t="s">
        <v>2806</v>
      </c>
      <c r="BH425" s="21">
        <v>59.41</v>
      </c>
      <c r="BJ425" s="21">
        <f>69.0142-BH425</f>
        <v>9.6042000000000058</v>
      </c>
      <c r="BK425" s="40" t="s">
        <v>2799</v>
      </c>
    </row>
    <row r="426" spans="1:63" s="21" customFormat="1" x14ac:dyDescent="0.2">
      <c r="A426" s="21">
        <v>101</v>
      </c>
      <c r="B426" s="21" t="s">
        <v>946</v>
      </c>
      <c r="C426" s="21" t="s">
        <v>945</v>
      </c>
      <c r="D426" s="21" t="s">
        <v>944</v>
      </c>
      <c r="E426" s="21" t="s">
        <v>917</v>
      </c>
      <c r="F426" s="21" t="s">
        <v>324</v>
      </c>
      <c r="G426" s="21">
        <v>2012</v>
      </c>
      <c r="H426" s="21">
        <v>41128</v>
      </c>
      <c r="I426" s="21" t="s">
        <v>32</v>
      </c>
      <c r="J426" s="21" t="s">
        <v>32</v>
      </c>
      <c r="K426" s="21" t="s">
        <v>943</v>
      </c>
      <c r="L426" s="21">
        <v>2</v>
      </c>
      <c r="M426" s="21" t="s">
        <v>942</v>
      </c>
      <c r="N426" s="21" t="s">
        <v>34</v>
      </c>
      <c r="O426" s="21" t="s">
        <v>190</v>
      </c>
      <c r="P426" s="21" t="s">
        <v>34</v>
      </c>
      <c r="Q426" s="21" t="s">
        <v>34</v>
      </c>
      <c r="R426" s="21" t="s">
        <v>34</v>
      </c>
      <c r="S426" s="21" t="s">
        <v>34</v>
      </c>
      <c r="T426" s="21" t="s">
        <v>34</v>
      </c>
      <c r="U426" s="21" t="s">
        <v>32</v>
      </c>
      <c r="V426" s="21">
        <v>1</v>
      </c>
      <c r="W426" s="21" t="s">
        <v>32</v>
      </c>
      <c r="X426" s="21" t="s">
        <v>32</v>
      </c>
      <c r="Y426" s="21" t="s">
        <v>32</v>
      </c>
      <c r="Z426" s="21" t="s">
        <v>32</v>
      </c>
      <c r="AA426" s="21">
        <v>22863672</v>
      </c>
      <c r="AB426" s="21">
        <v>1</v>
      </c>
      <c r="AD426" s="21">
        <v>4</v>
      </c>
      <c r="AE426" s="23">
        <v>16</v>
      </c>
      <c r="AF426" s="21">
        <v>8</v>
      </c>
      <c r="AG426" s="21">
        <v>8</v>
      </c>
      <c r="AH426" s="21" t="s">
        <v>1642</v>
      </c>
      <c r="AI426" s="21" t="s">
        <v>1642</v>
      </c>
      <c r="AK426" s="21">
        <v>150</v>
      </c>
      <c r="AN426" s="21">
        <v>150</v>
      </c>
      <c r="AP426" s="21">
        <v>5</v>
      </c>
      <c r="AQ426" s="21" t="s">
        <v>1942</v>
      </c>
      <c r="AR426" s="21" t="s">
        <v>2829</v>
      </c>
      <c r="AS426" s="21" t="s">
        <v>1638</v>
      </c>
      <c r="AT426" s="21" t="s">
        <v>1640</v>
      </c>
      <c r="AU426" s="21" t="s">
        <v>178</v>
      </c>
      <c r="AV426" s="21" t="s">
        <v>1653</v>
      </c>
      <c r="AW426" s="21" t="s">
        <v>1639</v>
      </c>
      <c r="AX426" s="21" t="s">
        <v>1646</v>
      </c>
      <c r="AY426" s="21" t="s">
        <v>1664</v>
      </c>
      <c r="AZ426" s="21" t="s">
        <v>1650</v>
      </c>
      <c r="BA426" s="38">
        <v>2315</v>
      </c>
      <c r="BB426" s="21">
        <v>308</v>
      </c>
      <c r="BC426" s="21" t="s">
        <v>2807</v>
      </c>
      <c r="BD426" s="21">
        <v>64.122200000000007</v>
      </c>
      <c r="BF426" s="21">
        <f>72.7692-BD426</f>
        <v>8.6469999999999914</v>
      </c>
      <c r="BG426" s="21" t="s">
        <v>2808</v>
      </c>
      <c r="BH426" s="21">
        <v>50.2607</v>
      </c>
      <c r="BJ426" s="21">
        <f>58.0479-BH426</f>
        <v>7.7871999999999986</v>
      </c>
      <c r="BK426" s="40" t="s">
        <v>2799</v>
      </c>
    </row>
    <row r="427" spans="1:63" s="21" customFormat="1" x14ac:dyDescent="0.2">
      <c r="A427" s="21">
        <v>101</v>
      </c>
      <c r="B427" s="21" t="s">
        <v>946</v>
      </c>
      <c r="C427" s="21" t="s">
        <v>945</v>
      </c>
      <c r="D427" s="21" t="s">
        <v>944</v>
      </c>
      <c r="E427" s="21" t="s">
        <v>917</v>
      </c>
      <c r="F427" s="21" t="s">
        <v>324</v>
      </c>
      <c r="G427" s="21">
        <v>2012</v>
      </c>
      <c r="H427" s="21">
        <v>41128</v>
      </c>
      <c r="I427" s="21" t="s">
        <v>32</v>
      </c>
      <c r="J427" s="21" t="s">
        <v>32</v>
      </c>
      <c r="K427" s="21" t="s">
        <v>943</v>
      </c>
      <c r="L427" s="21">
        <v>2</v>
      </c>
      <c r="M427" s="21" t="s">
        <v>942</v>
      </c>
      <c r="N427" s="21" t="s">
        <v>34</v>
      </c>
      <c r="O427" s="21" t="s">
        <v>190</v>
      </c>
      <c r="P427" s="21" t="s">
        <v>34</v>
      </c>
      <c r="Q427" s="21" t="s">
        <v>34</v>
      </c>
      <c r="R427" s="21" t="s">
        <v>34</v>
      </c>
      <c r="S427" s="21" t="s">
        <v>34</v>
      </c>
      <c r="T427" s="21" t="s">
        <v>34</v>
      </c>
      <c r="U427" s="21" t="s">
        <v>32</v>
      </c>
      <c r="V427" s="21">
        <v>1</v>
      </c>
      <c r="W427" s="21" t="s">
        <v>32</v>
      </c>
      <c r="X427" s="21" t="s">
        <v>32</v>
      </c>
      <c r="Y427" s="21" t="s">
        <v>32</v>
      </c>
      <c r="Z427" s="21" t="s">
        <v>32</v>
      </c>
      <c r="AA427" s="21">
        <v>22863672</v>
      </c>
      <c r="AB427" s="21">
        <v>1</v>
      </c>
      <c r="AD427" s="21">
        <v>4</v>
      </c>
      <c r="AE427" s="23">
        <v>16</v>
      </c>
      <c r="AF427" s="21">
        <v>8</v>
      </c>
      <c r="AG427" s="21">
        <v>8</v>
      </c>
      <c r="AH427" s="21" t="s">
        <v>1642</v>
      </c>
      <c r="AI427" s="21" t="s">
        <v>1642</v>
      </c>
      <c r="AK427" s="21">
        <v>150</v>
      </c>
      <c r="AN427" s="21">
        <v>150</v>
      </c>
      <c r="AP427" s="21">
        <v>5</v>
      </c>
      <c r="AQ427" s="21" t="s">
        <v>1942</v>
      </c>
      <c r="AR427" s="21" t="s">
        <v>2829</v>
      </c>
      <c r="AS427" s="21" t="s">
        <v>1638</v>
      </c>
      <c r="AT427" s="21" t="s">
        <v>1640</v>
      </c>
      <c r="AU427" s="21" t="s">
        <v>178</v>
      </c>
      <c r="AV427" s="21" t="s">
        <v>1653</v>
      </c>
      <c r="AW427" s="21" t="s">
        <v>1639</v>
      </c>
      <c r="AX427" s="21" t="s">
        <v>1646</v>
      </c>
      <c r="AY427" s="21" t="s">
        <v>1664</v>
      </c>
      <c r="AZ427" s="21" t="s">
        <v>1650</v>
      </c>
      <c r="BA427" s="38">
        <v>2315</v>
      </c>
      <c r="BB427" s="21">
        <v>308</v>
      </c>
      <c r="BC427" s="21" t="s">
        <v>2809</v>
      </c>
      <c r="BD427" s="21">
        <v>65.047499999999999</v>
      </c>
      <c r="BF427" s="21">
        <f>75.647-BD427</f>
        <v>10.599500000000006</v>
      </c>
      <c r="BG427" s="21" t="s">
        <v>2810</v>
      </c>
      <c r="BH427" s="21">
        <v>49.433999999999997</v>
      </c>
      <c r="BJ427" s="21">
        <f>60.0767-BH427</f>
        <v>10.642700000000005</v>
      </c>
      <c r="BK427" s="40" t="s">
        <v>2799</v>
      </c>
    </row>
    <row r="428" spans="1:63" s="21" customFormat="1" x14ac:dyDescent="0.2">
      <c r="A428" s="21">
        <v>101</v>
      </c>
      <c r="B428" s="21" t="s">
        <v>946</v>
      </c>
      <c r="C428" s="21" t="s">
        <v>945</v>
      </c>
      <c r="D428" s="21" t="s">
        <v>944</v>
      </c>
      <c r="E428" s="21" t="s">
        <v>917</v>
      </c>
      <c r="F428" s="21" t="s">
        <v>324</v>
      </c>
      <c r="G428" s="21">
        <v>2012</v>
      </c>
      <c r="H428" s="21">
        <v>41128</v>
      </c>
      <c r="I428" s="21" t="s">
        <v>32</v>
      </c>
      <c r="J428" s="21" t="s">
        <v>32</v>
      </c>
      <c r="K428" s="21" t="s">
        <v>943</v>
      </c>
      <c r="L428" s="21">
        <v>2</v>
      </c>
      <c r="M428" s="21" t="s">
        <v>942</v>
      </c>
      <c r="N428" s="21" t="s">
        <v>34</v>
      </c>
      <c r="O428" s="21" t="s">
        <v>190</v>
      </c>
      <c r="P428" s="21" t="s">
        <v>34</v>
      </c>
      <c r="Q428" s="21" t="s">
        <v>34</v>
      </c>
      <c r="R428" s="21" t="s">
        <v>34</v>
      </c>
      <c r="S428" s="21" t="s">
        <v>34</v>
      </c>
      <c r="T428" s="21" t="s">
        <v>34</v>
      </c>
      <c r="U428" s="21" t="s">
        <v>32</v>
      </c>
      <c r="V428" s="21">
        <v>1</v>
      </c>
      <c r="W428" s="21" t="s">
        <v>32</v>
      </c>
      <c r="X428" s="21" t="s">
        <v>32</v>
      </c>
      <c r="Y428" s="21" t="s">
        <v>32</v>
      </c>
      <c r="Z428" s="21" t="s">
        <v>32</v>
      </c>
      <c r="AA428" s="21">
        <v>22863672</v>
      </c>
      <c r="AB428" s="21">
        <v>1</v>
      </c>
      <c r="AD428" s="21">
        <v>4</v>
      </c>
      <c r="AE428" s="23">
        <v>16</v>
      </c>
      <c r="AF428" s="21">
        <v>8</v>
      </c>
      <c r="AG428" s="21">
        <v>8</v>
      </c>
      <c r="AH428" s="21" t="s">
        <v>1642</v>
      </c>
      <c r="AI428" s="21" t="s">
        <v>1642</v>
      </c>
      <c r="AK428" s="21">
        <v>150</v>
      </c>
      <c r="AN428" s="21">
        <v>150</v>
      </c>
      <c r="AP428" s="21">
        <v>5</v>
      </c>
      <c r="AQ428" s="21" t="s">
        <v>1942</v>
      </c>
      <c r="AR428" s="21" t="s">
        <v>2829</v>
      </c>
      <c r="AS428" s="21" t="s">
        <v>1638</v>
      </c>
      <c r="AT428" s="21" t="s">
        <v>1640</v>
      </c>
      <c r="AU428" s="21" t="s">
        <v>178</v>
      </c>
      <c r="AV428" s="21" t="s">
        <v>2095</v>
      </c>
      <c r="AW428" s="21" t="s">
        <v>1639</v>
      </c>
      <c r="AX428" s="21" t="s">
        <v>1646</v>
      </c>
      <c r="AY428" s="21" t="s">
        <v>1664</v>
      </c>
      <c r="AZ428" s="21" t="s">
        <v>1650</v>
      </c>
      <c r="BA428" s="38">
        <v>2315</v>
      </c>
      <c r="BB428" s="21">
        <v>308</v>
      </c>
      <c r="BC428" s="21" t="s">
        <v>2811</v>
      </c>
      <c r="BD428" s="21">
        <v>66.180400000000006</v>
      </c>
      <c r="BF428" s="21">
        <f>78.382-BD428</f>
        <v>12.201599999999999</v>
      </c>
      <c r="BG428" s="21" t="s">
        <v>2812</v>
      </c>
      <c r="BH428" s="21">
        <v>46.261600000000001</v>
      </c>
      <c r="BJ428" s="21">
        <f>57.1081-BH428</f>
        <v>10.846499999999999</v>
      </c>
      <c r="BK428" s="40" t="s">
        <v>2799</v>
      </c>
    </row>
    <row r="429" spans="1:63" s="21" customFormat="1" x14ac:dyDescent="0.2">
      <c r="A429" s="21">
        <v>101</v>
      </c>
      <c r="B429" s="21" t="s">
        <v>946</v>
      </c>
      <c r="C429" s="21" t="s">
        <v>945</v>
      </c>
      <c r="D429" s="21" t="s">
        <v>944</v>
      </c>
      <c r="E429" s="21" t="s">
        <v>917</v>
      </c>
      <c r="F429" s="21" t="s">
        <v>324</v>
      </c>
      <c r="G429" s="21">
        <v>2012</v>
      </c>
      <c r="H429" s="21">
        <v>41128</v>
      </c>
      <c r="I429" s="21" t="s">
        <v>32</v>
      </c>
      <c r="J429" s="21" t="s">
        <v>32</v>
      </c>
      <c r="K429" s="21" t="s">
        <v>943</v>
      </c>
      <c r="L429" s="21">
        <v>2</v>
      </c>
      <c r="M429" s="21" t="s">
        <v>942</v>
      </c>
      <c r="N429" s="21" t="s">
        <v>34</v>
      </c>
      <c r="O429" s="21" t="s">
        <v>190</v>
      </c>
      <c r="P429" s="21" t="s">
        <v>34</v>
      </c>
      <c r="Q429" s="21" t="s">
        <v>34</v>
      </c>
      <c r="R429" s="21" t="s">
        <v>34</v>
      </c>
      <c r="S429" s="21" t="s">
        <v>34</v>
      </c>
      <c r="T429" s="21" t="s">
        <v>34</v>
      </c>
      <c r="U429" s="21" t="s">
        <v>32</v>
      </c>
      <c r="V429" s="21">
        <v>1</v>
      </c>
      <c r="W429" s="21" t="s">
        <v>32</v>
      </c>
      <c r="X429" s="21" t="s">
        <v>32</v>
      </c>
      <c r="Y429" s="21" t="s">
        <v>32</v>
      </c>
      <c r="Z429" s="21" t="s">
        <v>32</v>
      </c>
      <c r="AA429" s="21">
        <v>22863672</v>
      </c>
      <c r="AB429" s="21">
        <v>1</v>
      </c>
      <c r="AD429" s="21">
        <v>4</v>
      </c>
      <c r="AE429" s="23">
        <v>16</v>
      </c>
      <c r="AF429" s="21">
        <v>8</v>
      </c>
      <c r="AG429" s="21">
        <v>8</v>
      </c>
      <c r="AH429" s="21" t="s">
        <v>1642</v>
      </c>
      <c r="AI429" s="21" t="s">
        <v>1642</v>
      </c>
      <c r="AK429" s="21">
        <v>150</v>
      </c>
      <c r="AN429" s="21">
        <v>150</v>
      </c>
      <c r="AP429" s="21">
        <v>5</v>
      </c>
      <c r="AQ429" s="21" t="s">
        <v>1942</v>
      </c>
      <c r="AR429" s="21" t="s">
        <v>2829</v>
      </c>
      <c r="AS429" s="21" t="s">
        <v>1638</v>
      </c>
      <c r="AT429" s="21" t="s">
        <v>1640</v>
      </c>
      <c r="AU429" s="21" t="s">
        <v>178</v>
      </c>
      <c r="AV429" s="21" t="s">
        <v>2095</v>
      </c>
      <c r="AW429" s="21" t="s">
        <v>1639</v>
      </c>
      <c r="AX429" s="21" t="s">
        <v>1646</v>
      </c>
      <c r="AY429" s="21" t="s">
        <v>1664</v>
      </c>
      <c r="AZ429" s="21" t="s">
        <v>1650</v>
      </c>
      <c r="BA429" s="38">
        <v>2315</v>
      </c>
      <c r="BB429" s="21">
        <v>308</v>
      </c>
      <c r="BC429" s="21" t="s">
        <v>2813</v>
      </c>
      <c r="BD429" s="21">
        <v>51.061</v>
      </c>
      <c r="BF429" s="21">
        <f>60.7427-BD429</f>
        <v>9.6816999999999993</v>
      </c>
      <c r="BG429" s="21" t="s">
        <v>2814</v>
      </c>
      <c r="BH429" s="21">
        <v>42.358400000000003</v>
      </c>
      <c r="BJ429" s="21">
        <f>51.2212-BH429</f>
        <v>8.8628</v>
      </c>
      <c r="BK429" s="40" t="s">
        <v>2799</v>
      </c>
    </row>
    <row r="430" spans="1:63" s="21" customFormat="1" x14ac:dyDescent="0.2">
      <c r="A430" s="21">
        <v>101</v>
      </c>
      <c r="B430" s="21" t="s">
        <v>946</v>
      </c>
      <c r="C430" s="21" t="s">
        <v>945</v>
      </c>
      <c r="D430" s="21" t="s">
        <v>944</v>
      </c>
      <c r="E430" s="21" t="s">
        <v>917</v>
      </c>
      <c r="F430" s="21" t="s">
        <v>324</v>
      </c>
      <c r="G430" s="21">
        <v>2012</v>
      </c>
      <c r="H430" s="21">
        <v>41128</v>
      </c>
      <c r="I430" s="21" t="s">
        <v>32</v>
      </c>
      <c r="J430" s="21" t="s">
        <v>32</v>
      </c>
      <c r="K430" s="21" t="s">
        <v>943</v>
      </c>
      <c r="L430" s="21">
        <v>2</v>
      </c>
      <c r="M430" s="21" t="s">
        <v>942</v>
      </c>
      <c r="N430" s="21" t="s">
        <v>34</v>
      </c>
      <c r="O430" s="21" t="s">
        <v>190</v>
      </c>
      <c r="P430" s="21" t="s">
        <v>34</v>
      </c>
      <c r="Q430" s="21" t="s">
        <v>34</v>
      </c>
      <c r="R430" s="21" t="s">
        <v>34</v>
      </c>
      <c r="S430" s="21" t="s">
        <v>34</v>
      </c>
      <c r="T430" s="21" t="s">
        <v>34</v>
      </c>
      <c r="U430" s="21" t="s">
        <v>32</v>
      </c>
      <c r="V430" s="21">
        <v>1</v>
      </c>
      <c r="W430" s="21" t="s">
        <v>32</v>
      </c>
      <c r="X430" s="21" t="s">
        <v>32</v>
      </c>
      <c r="Y430" s="21" t="s">
        <v>32</v>
      </c>
      <c r="Z430" s="21" t="s">
        <v>32</v>
      </c>
      <c r="AA430" s="21">
        <v>22863672</v>
      </c>
      <c r="AB430" s="21">
        <v>1</v>
      </c>
      <c r="AD430" s="21">
        <v>4</v>
      </c>
      <c r="AE430" s="23">
        <v>16</v>
      </c>
      <c r="AF430" s="21">
        <v>8</v>
      </c>
      <c r="AG430" s="21">
        <v>8</v>
      </c>
      <c r="AH430" s="21" t="s">
        <v>1642</v>
      </c>
      <c r="AI430" s="21" t="s">
        <v>1642</v>
      </c>
      <c r="AK430" s="21">
        <v>150</v>
      </c>
      <c r="AN430" s="21">
        <v>150</v>
      </c>
      <c r="AP430" s="21">
        <v>5</v>
      </c>
      <c r="AQ430" s="21" t="s">
        <v>1942</v>
      </c>
      <c r="AR430" s="21" t="s">
        <v>1637</v>
      </c>
      <c r="AS430" s="21" t="s">
        <v>1638</v>
      </c>
      <c r="AT430" s="21" t="s">
        <v>1640</v>
      </c>
      <c r="AU430" s="21" t="s">
        <v>178</v>
      </c>
      <c r="AV430" s="21" t="s">
        <v>1641</v>
      </c>
      <c r="AW430" s="21" t="s">
        <v>1639</v>
      </c>
      <c r="AX430" s="21" t="s">
        <v>1646</v>
      </c>
      <c r="AY430" s="21" t="s">
        <v>1662</v>
      </c>
      <c r="AZ430" s="21" t="s">
        <v>1650</v>
      </c>
      <c r="BA430" s="38">
        <v>3315</v>
      </c>
      <c r="BB430" s="21">
        <v>308</v>
      </c>
      <c r="BC430" s="21" t="s">
        <v>2815</v>
      </c>
      <c r="BD430" s="21">
        <v>60.096600000000002</v>
      </c>
      <c r="BF430" s="21">
        <f>71.6781-BD430</f>
        <v>11.581499999999998</v>
      </c>
      <c r="BG430" s="21" t="s">
        <v>2816</v>
      </c>
      <c r="BH430" s="21">
        <v>58.0503</v>
      </c>
      <c r="BJ430" s="21">
        <f>67.7359-BH430</f>
        <v>9.6856000000000009</v>
      </c>
      <c r="BK430" s="40" t="s">
        <v>2800</v>
      </c>
    </row>
    <row r="431" spans="1:63" s="21" customFormat="1" x14ac:dyDescent="0.2">
      <c r="A431" s="21">
        <v>101</v>
      </c>
      <c r="B431" s="21" t="s">
        <v>946</v>
      </c>
      <c r="C431" s="21" t="s">
        <v>945</v>
      </c>
      <c r="D431" s="21" t="s">
        <v>944</v>
      </c>
      <c r="E431" s="21" t="s">
        <v>917</v>
      </c>
      <c r="F431" s="21" t="s">
        <v>324</v>
      </c>
      <c r="G431" s="21">
        <v>2012</v>
      </c>
      <c r="H431" s="21">
        <v>41128</v>
      </c>
      <c r="I431" s="21" t="s">
        <v>32</v>
      </c>
      <c r="J431" s="21" t="s">
        <v>32</v>
      </c>
      <c r="K431" s="21" t="s">
        <v>943</v>
      </c>
      <c r="L431" s="21">
        <v>2</v>
      </c>
      <c r="M431" s="21" t="s">
        <v>942</v>
      </c>
      <c r="N431" s="21" t="s">
        <v>34</v>
      </c>
      <c r="O431" s="21" t="s">
        <v>190</v>
      </c>
      <c r="P431" s="21" t="s">
        <v>34</v>
      </c>
      <c r="Q431" s="21" t="s">
        <v>34</v>
      </c>
      <c r="R431" s="21" t="s">
        <v>34</v>
      </c>
      <c r="S431" s="21" t="s">
        <v>34</v>
      </c>
      <c r="T431" s="21" t="s">
        <v>34</v>
      </c>
      <c r="U431" s="21" t="s">
        <v>32</v>
      </c>
      <c r="V431" s="21">
        <v>1</v>
      </c>
      <c r="W431" s="21" t="s">
        <v>32</v>
      </c>
      <c r="X431" s="21" t="s">
        <v>32</v>
      </c>
      <c r="Y431" s="21" t="s">
        <v>32</v>
      </c>
      <c r="Z431" s="21" t="s">
        <v>32</v>
      </c>
      <c r="AA431" s="21">
        <v>22863672</v>
      </c>
      <c r="AB431" s="21">
        <v>1</v>
      </c>
      <c r="AD431" s="21">
        <v>4</v>
      </c>
      <c r="AE431" s="23">
        <v>16</v>
      </c>
      <c r="AF431" s="21">
        <v>8</v>
      </c>
      <c r="AG431" s="21">
        <v>8</v>
      </c>
      <c r="AH431" s="21" t="s">
        <v>1642</v>
      </c>
      <c r="AI431" s="21" t="s">
        <v>1642</v>
      </c>
      <c r="AK431" s="21">
        <v>150</v>
      </c>
      <c r="AN431" s="21">
        <v>150</v>
      </c>
      <c r="AP431" s="21">
        <v>5</v>
      </c>
      <c r="AQ431" s="21" t="s">
        <v>1942</v>
      </c>
      <c r="AR431" s="21" t="s">
        <v>1637</v>
      </c>
      <c r="AS431" s="21" t="s">
        <v>1638</v>
      </c>
      <c r="AT431" s="21" t="s">
        <v>1640</v>
      </c>
      <c r="AU431" s="21" t="s">
        <v>178</v>
      </c>
      <c r="AV431" s="21" t="s">
        <v>1641</v>
      </c>
      <c r="AW431" s="21" t="s">
        <v>1639</v>
      </c>
      <c r="AX431" s="21" t="s">
        <v>1646</v>
      </c>
      <c r="AY431" s="21" t="s">
        <v>1662</v>
      </c>
      <c r="AZ431" s="21" t="s">
        <v>1650</v>
      </c>
      <c r="BA431" s="38">
        <v>3315</v>
      </c>
      <c r="BB431" s="21">
        <v>308</v>
      </c>
      <c r="BC431" s="21" t="s">
        <v>2817</v>
      </c>
      <c r="BD431" s="21">
        <v>69.846100000000007</v>
      </c>
      <c r="BF431" s="21">
        <f>81.1784-BD431</f>
        <v>11.332299999999989</v>
      </c>
      <c r="BG431" s="21" t="s">
        <v>2818</v>
      </c>
      <c r="BH431" s="21">
        <v>58.207500000000003</v>
      </c>
      <c r="BJ431" s="21">
        <f>68.2704-BH431</f>
        <v>10.062899999999992</v>
      </c>
      <c r="BK431" s="40" t="s">
        <v>2800</v>
      </c>
    </row>
    <row r="432" spans="1:63" s="21" customFormat="1" x14ac:dyDescent="0.2">
      <c r="A432" s="21">
        <v>101</v>
      </c>
      <c r="B432" s="21" t="s">
        <v>946</v>
      </c>
      <c r="C432" s="21" t="s">
        <v>945</v>
      </c>
      <c r="D432" s="21" t="s">
        <v>944</v>
      </c>
      <c r="E432" s="21" t="s">
        <v>917</v>
      </c>
      <c r="F432" s="21" t="s">
        <v>324</v>
      </c>
      <c r="G432" s="21">
        <v>2012</v>
      </c>
      <c r="H432" s="21">
        <v>41128</v>
      </c>
      <c r="I432" s="21" t="s">
        <v>32</v>
      </c>
      <c r="J432" s="21" t="s">
        <v>32</v>
      </c>
      <c r="K432" s="21" t="s">
        <v>943</v>
      </c>
      <c r="L432" s="21">
        <v>2</v>
      </c>
      <c r="M432" s="21" t="s">
        <v>942</v>
      </c>
      <c r="N432" s="21" t="s">
        <v>34</v>
      </c>
      <c r="O432" s="21" t="s">
        <v>190</v>
      </c>
      <c r="P432" s="21" t="s">
        <v>34</v>
      </c>
      <c r="Q432" s="21" t="s">
        <v>34</v>
      </c>
      <c r="R432" s="21" t="s">
        <v>34</v>
      </c>
      <c r="S432" s="21" t="s">
        <v>34</v>
      </c>
      <c r="T432" s="21" t="s">
        <v>34</v>
      </c>
      <c r="U432" s="21" t="s">
        <v>32</v>
      </c>
      <c r="V432" s="21">
        <v>1</v>
      </c>
      <c r="W432" s="21" t="s">
        <v>32</v>
      </c>
      <c r="X432" s="21" t="s">
        <v>32</v>
      </c>
      <c r="Y432" s="21" t="s">
        <v>32</v>
      </c>
      <c r="Z432" s="21" t="s">
        <v>32</v>
      </c>
      <c r="AA432" s="21">
        <v>22863672</v>
      </c>
      <c r="AB432" s="21">
        <v>1</v>
      </c>
      <c r="AD432" s="21">
        <v>4</v>
      </c>
      <c r="AE432" s="23">
        <v>16</v>
      </c>
      <c r="AF432" s="21">
        <v>8</v>
      </c>
      <c r="AG432" s="21">
        <v>8</v>
      </c>
      <c r="AH432" s="21" t="s">
        <v>1642</v>
      </c>
      <c r="AI432" s="21" t="s">
        <v>1642</v>
      </c>
      <c r="AK432" s="21">
        <v>150</v>
      </c>
      <c r="AN432" s="21">
        <v>150</v>
      </c>
      <c r="AP432" s="21">
        <v>5</v>
      </c>
      <c r="AQ432" s="21" t="s">
        <v>1942</v>
      </c>
      <c r="AR432" s="21" t="s">
        <v>1637</v>
      </c>
      <c r="AS432" s="21" t="s">
        <v>1638</v>
      </c>
      <c r="AT432" s="21" t="s">
        <v>1640</v>
      </c>
      <c r="AU432" s="21" t="s">
        <v>178</v>
      </c>
      <c r="AV432" s="21" t="s">
        <v>1653</v>
      </c>
      <c r="AW432" s="21" t="s">
        <v>1639</v>
      </c>
      <c r="AX432" s="21" t="s">
        <v>1646</v>
      </c>
      <c r="AY432" s="21" t="s">
        <v>1663</v>
      </c>
      <c r="AZ432" s="21" t="s">
        <v>1650</v>
      </c>
      <c r="BA432" s="38">
        <v>3315</v>
      </c>
      <c r="BB432" s="21">
        <v>308</v>
      </c>
      <c r="BC432" s="21" t="s">
        <v>2819</v>
      </c>
      <c r="BD432" s="21">
        <v>59.4452</v>
      </c>
      <c r="BF432" s="21">
        <f>69.6169-BD432</f>
        <v>10.171700000000001</v>
      </c>
      <c r="BG432" s="21" t="s">
        <v>2820</v>
      </c>
      <c r="BH432" s="21">
        <v>59.41</v>
      </c>
      <c r="BJ432" s="21">
        <f>69.0142-BH432</f>
        <v>9.6042000000000058</v>
      </c>
      <c r="BK432" s="40" t="s">
        <v>2800</v>
      </c>
    </row>
    <row r="433" spans="1:63" s="21" customFormat="1" x14ac:dyDescent="0.2">
      <c r="A433" s="21">
        <v>101</v>
      </c>
      <c r="B433" s="21" t="s">
        <v>946</v>
      </c>
      <c r="C433" s="21" t="s">
        <v>945</v>
      </c>
      <c r="D433" s="21" t="s">
        <v>944</v>
      </c>
      <c r="E433" s="21" t="s">
        <v>917</v>
      </c>
      <c r="F433" s="21" t="s">
        <v>324</v>
      </c>
      <c r="G433" s="21">
        <v>2012</v>
      </c>
      <c r="H433" s="21">
        <v>41128</v>
      </c>
      <c r="I433" s="21" t="s">
        <v>32</v>
      </c>
      <c r="J433" s="21" t="s">
        <v>32</v>
      </c>
      <c r="K433" s="21" t="s">
        <v>943</v>
      </c>
      <c r="L433" s="21">
        <v>2</v>
      </c>
      <c r="M433" s="21" t="s">
        <v>942</v>
      </c>
      <c r="N433" s="21" t="s">
        <v>34</v>
      </c>
      <c r="O433" s="21" t="s">
        <v>190</v>
      </c>
      <c r="P433" s="21" t="s">
        <v>34</v>
      </c>
      <c r="Q433" s="21" t="s">
        <v>34</v>
      </c>
      <c r="R433" s="21" t="s">
        <v>34</v>
      </c>
      <c r="S433" s="21" t="s">
        <v>34</v>
      </c>
      <c r="T433" s="21" t="s">
        <v>34</v>
      </c>
      <c r="U433" s="21" t="s">
        <v>32</v>
      </c>
      <c r="V433" s="21">
        <v>1</v>
      </c>
      <c r="W433" s="21" t="s">
        <v>32</v>
      </c>
      <c r="X433" s="21" t="s">
        <v>32</v>
      </c>
      <c r="Y433" s="21" t="s">
        <v>32</v>
      </c>
      <c r="Z433" s="21" t="s">
        <v>32</v>
      </c>
      <c r="AA433" s="21">
        <v>22863672</v>
      </c>
      <c r="AB433" s="21">
        <v>1</v>
      </c>
      <c r="AD433" s="21">
        <v>4</v>
      </c>
      <c r="AE433" s="23">
        <v>16</v>
      </c>
      <c r="AF433" s="21">
        <v>8</v>
      </c>
      <c r="AG433" s="21">
        <v>8</v>
      </c>
      <c r="AH433" s="21" t="s">
        <v>1642</v>
      </c>
      <c r="AI433" s="21" t="s">
        <v>1642</v>
      </c>
      <c r="AK433" s="21">
        <v>150</v>
      </c>
      <c r="AN433" s="21">
        <v>150</v>
      </c>
      <c r="AP433" s="21">
        <v>5</v>
      </c>
      <c r="AQ433" s="21" t="s">
        <v>1942</v>
      </c>
      <c r="AR433" s="21" t="s">
        <v>1637</v>
      </c>
      <c r="AS433" s="21" t="s">
        <v>1638</v>
      </c>
      <c r="AT433" s="21" t="s">
        <v>1640</v>
      </c>
      <c r="AU433" s="21" t="s">
        <v>178</v>
      </c>
      <c r="AV433" s="21" t="s">
        <v>1653</v>
      </c>
      <c r="AW433" s="21" t="s">
        <v>1639</v>
      </c>
      <c r="AX433" s="21" t="s">
        <v>1646</v>
      </c>
      <c r="AY433" s="21" t="s">
        <v>1664</v>
      </c>
      <c r="AZ433" s="21" t="s">
        <v>1650</v>
      </c>
      <c r="BA433" s="38">
        <v>3315</v>
      </c>
      <c r="BB433" s="21">
        <v>308</v>
      </c>
      <c r="BC433" s="21" t="s">
        <v>2821</v>
      </c>
      <c r="BD433" s="21">
        <v>44.517800000000001</v>
      </c>
      <c r="BF433" s="21">
        <f>53.1044-BD433</f>
        <v>8.5865999999999971</v>
      </c>
      <c r="BG433" s="21" t="s">
        <v>2822</v>
      </c>
      <c r="BH433" s="21">
        <v>50.2607</v>
      </c>
      <c r="BJ433" s="21">
        <f>58.0479-BH433</f>
        <v>7.7871999999999986</v>
      </c>
      <c r="BK433" s="40" t="s">
        <v>2800</v>
      </c>
    </row>
    <row r="434" spans="1:63" s="21" customFormat="1" x14ac:dyDescent="0.2">
      <c r="A434" s="21">
        <v>101</v>
      </c>
      <c r="B434" s="21" t="s">
        <v>946</v>
      </c>
      <c r="C434" s="21" t="s">
        <v>945</v>
      </c>
      <c r="D434" s="21" t="s">
        <v>944</v>
      </c>
      <c r="E434" s="21" t="s">
        <v>917</v>
      </c>
      <c r="F434" s="21" t="s">
        <v>324</v>
      </c>
      <c r="G434" s="21">
        <v>2012</v>
      </c>
      <c r="H434" s="21">
        <v>41128</v>
      </c>
      <c r="I434" s="21" t="s">
        <v>32</v>
      </c>
      <c r="J434" s="21" t="s">
        <v>32</v>
      </c>
      <c r="K434" s="21" t="s">
        <v>943</v>
      </c>
      <c r="L434" s="21">
        <v>2</v>
      </c>
      <c r="M434" s="21" t="s">
        <v>942</v>
      </c>
      <c r="N434" s="21" t="s">
        <v>34</v>
      </c>
      <c r="O434" s="21" t="s">
        <v>190</v>
      </c>
      <c r="P434" s="21" t="s">
        <v>34</v>
      </c>
      <c r="Q434" s="21" t="s">
        <v>34</v>
      </c>
      <c r="R434" s="21" t="s">
        <v>34</v>
      </c>
      <c r="S434" s="21" t="s">
        <v>34</v>
      </c>
      <c r="T434" s="21" t="s">
        <v>34</v>
      </c>
      <c r="U434" s="21" t="s">
        <v>32</v>
      </c>
      <c r="V434" s="21">
        <v>1</v>
      </c>
      <c r="W434" s="21" t="s">
        <v>32</v>
      </c>
      <c r="X434" s="21" t="s">
        <v>32</v>
      </c>
      <c r="Y434" s="21" t="s">
        <v>32</v>
      </c>
      <c r="Z434" s="21" t="s">
        <v>32</v>
      </c>
      <c r="AA434" s="21">
        <v>22863672</v>
      </c>
      <c r="AB434" s="21">
        <v>1</v>
      </c>
      <c r="AD434" s="21">
        <v>4</v>
      </c>
      <c r="AE434" s="23">
        <v>16</v>
      </c>
      <c r="AF434" s="21">
        <v>8</v>
      </c>
      <c r="AG434" s="21">
        <v>8</v>
      </c>
      <c r="AH434" s="21" t="s">
        <v>1642</v>
      </c>
      <c r="AI434" s="21" t="s">
        <v>1642</v>
      </c>
      <c r="AK434" s="21">
        <v>150</v>
      </c>
      <c r="AN434" s="21">
        <v>150</v>
      </c>
      <c r="AP434" s="21">
        <v>5</v>
      </c>
      <c r="AQ434" s="21" t="s">
        <v>1942</v>
      </c>
      <c r="AR434" s="21" t="s">
        <v>1637</v>
      </c>
      <c r="AS434" s="21" t="s">
        <v>1638</v>
      </c>
      <c r="AT434" s="21" t="s">
        <v>1640</v>
      </c>
      <c r="AU434" s="21" t="s">
        <v>178</v>
      </c>
      <c r="AV434" s="21" t="s">
        <v>1653</v>
      </c>
      <c r="AW434" s="21" t="s">
        <v>1639</v>
      </c>
      <c r="AX434" s="21" t="s">
        <v>1646</v>
      </c>
      <c r="AY434" s="21" t="s">
        <v>1664</v>
      </c>
      <c r="AZ434" s="21" t="s">
        <v>1650</v>
      </c>
      <c r="BA434" s="38">
        <v>3315</v>
      </c>
      <c r="BB434" s="21">
        <v>308</v>
      </c>
      <c r="BC434" s="21" t="s">
        <v>2823</v>
      </c>
      <c r="BD434" s="21">
        <v>67.371200000000002</v>
      </c>
      <c r="BF434" s="21">
        <f>75.9577-BD434</f>
        <v>8.5865000000000009</v>
      </c>
      <c r="BG434" s="21" t="s">
        <v>2824</v>
      </c>
      <c r="BH434" s="21">
        <v>49.433999999999997</v>
      </c>
      <c r="BJ434" s="21">
        <f>60.0767-BH434</f>
        <v>10.642700000000005</v>
      </c>
      <c r="BK434" s="40" t="s">
        <v>2800</v>
      </c>
    </row>
    <row r="435" spans="1:63" s="21" customFormat="1" x14ac:dyDescent="0.2">
      <c r="A435" s="21">
        <v>101</v>
      </c>
      <c r="B435" s="21" t="s">
        <v>946</v>
      </c>
      <c r="C435" s="21" t="s">
        <v>945</v>
      </c>
      <c r="D435" s="21" t="s">
        <v>944</v>
      </c>
      <c r="E435" s="21" t="s">
        <v>917</v>
      </c>
      <c r="F435" s="21" t="s">
        <v>324</v>
      </c>
      <c r="G435" s="21">
        <v>2012</v>
      </c>
      <c r="H435" s="21">
        <v>41128</v>
      </c>
      <c r="I435" s="21" t="s">
        <v>32</v>
      </c>
      <c r="J435" s="21" t="s">
        <v>32</v>
      </c>
      <c r="K435" s="21" t="s">
        <v>943</v>
      </c>
      <c r="L435" s="21">
        <v>2</v>
      </c>
      <c r="M435" s="21" t="s">
        <v>942</v>
      </c>
      <c r="N435" s="21" t="s">
        <v>34</v>
      </c>
      <c r="O435" s="21" t="s">
        <v>190</v>
      </c>
      <c r="P435" s="21" t="s">
        <v>34</v>
      </c>
      <c r="Q435" s="21" t="s">
        <v>34</v>
      </c>
      <c r="R435" s="21" t="s">
        <v>34</v>
      </c>
      <c r="S435" s="21" t="s">
        <v>34</v>
      </c>
      <c r="T435" s="21" t="s">
        <v>34</v>
      </c>
      <c r="U435" s="21" t="s">
        <v>32</v>
      </c>
      <c r="V435" s="21">
        <v>1</v>
      </c>
      <c r="W435" s="21" t="s">
        <v>32</v>
      </c>
      <c r="X435" s="21" t="s">
        <v>32</v>
      </c>
      <c r="Y435" s="21" t="s">
        <v>32</v>
      </c>
      <c r="Z435" s="21" t="s">
        <v>32</v>
      </c>
      <c r="AA435" s="21">
        <v>22863672</v>
      </c>
      <c r="AB435" s="21">
        <v>1</v>
      </c>
      <c r="AD435" s="21">
        <v>4</v>
      </c>
      <c r="AE435" s="23">
        <v>16</v>
      </c>
      <c r="AF435" s="21">
        <v>8</v>
      </c>
      <c r="AG435" s="21">
        <v>8</v>
      </c>
      <c r="AH435" s="21" t="s">
        <v>1642</v>
      </c>
      <c r="AI435" s="21" t="s">
        <v>1642</v>
      </c>
      <c r="AK435" s="21">
        <v>150</v>
      </c>
      <c r="AN435" s="21">
        <v>150</v>
      </c>
      <c r="AP435" s="21">
        <v>5</v>
      </c>
      <c r="AQ435" s="21" t="s">
        <v>1942</v>
      </c>
      <c r="AR435" s="21" t="s">
        <v>1637</v>
      </c>
      <c r="AS435" s="21" t="s">
        <v>1638</v>
      </c>
      <c r="AT435" s="21" t="s">
        <v>1640</v>
      </c>
      <c r="AU435" s="21" t="s">
        <v>178</v>
      </c>
      <c r="AV435" s="21" t="s">
        <v>2095</v>
      </c>
      <c r="AW435" s="21" t="s">
        <v>1639</v>
      </c>
      <c r="AX435" s="21" t="s">
        <v>1646</v>
      </c>
      <c r="AY435" s="21" t="s">
        <v>1664</v>
      </c>
      <c r="AZ435" s="21" t="s">
        <v>1650</v>
      </c>
      <c r="BA435" s="38">
        <v>3315</v>
      </c>
      <c r="BB435" s="21">
        <v>308</v>
      </c>
      <c r="BC435" s="21" t="s">
        <v>2825</v>
      </c>
      <c r="BD435" s="21">
        <v>52.704599999999999</v>
      </c>
      <c r="BF435" s="21">
        <f>64.4938-BD435</f>
        <v>11.789199999999994</v>
      </c>
      <c r="BG435" s="21" t="s">
        <v>2826</v>
      </c>
      <c r="BH435" s="21">
        <v>46.261600000000001</v>
      </c>
      <c r="BJ435" s="21">
        <f>57.1081-BH435</f>
        <v>10.846499999999999</v>
      </c>
      <c r="BK435" s="40" t="s">
        <v>2800</v>
      </c>
    </row>
    <row r="436" spans="1:63" s="21" customFormat="1" x14ac:dyDescent="0.2">
      <c r="A436" s="21">
        <v>101</v>
      </c>
      <c r="B436" s="21" t="s">
        <v>946</v>
      </c>
      <c r="C436" s="21" t="s">
        <v>945</v>
      </c>
      <c r="D436" s="21" t="s">
        <v>944</v>
      </c>
      <c r="E436" s="21" t="s">
        <v>917</v>
      </c>
      <c r="F436" s="21" t="s">
        <v>324</v>
      </c>
      <c r="G436" s="21">
        <v>2012</v>
      </c>
      <c r="H436" s="21">
        <v>41128</v>
      </c>
      <c r="I436" s="21" t="s">
        <v>32</v>
      </c>
      <c r="J436" s="21" t="s">
        <v>32</v>
      </c>
      <c r="K436" s="21" t="s">
        <v>943</v>
      </c>
      <c r="L436" s="21">
        <v>2</v>
      </c>
      <c r="M436" s="21" t="s">
        <v>942</v>
      </c>
      <c r="N436" s="21" t="s">
        <v>34</v>
      </c>
      <c r="O436" s="21" t="s">
        <v>190</v>
      </c>
      <c r="P436" s="21" t="s">
        <v>34</v>
      </c>
      <c r="Q436" s="21" t="s">
        <v>34</v>
      </c>
      <c r="R436" s="21" t="s">
        <v>34</v>
      </c>
      <c r="S436" s="21" t="s">
        <v>34</v>
      </c>
      <c r="T436" s="21" t="s">
        <v>34</v>
      </c>
      <c r="U436" s="21" t="s">
        <v>32</v>
      </c>
      <c r="V436" s="21">
        <v>1</v>
      </c>
      <c r="W436" s="21" t="s">
        <v>32</v>
      </c>
      <c r="X436" s="21" t="s">
        <v>32</v>
      </c>
      <c r="Y436" s="21" t="s">
        <v>32</v>
      </c>
      <c r="Z436" s="21" t="s">
        <v>32</v>
      </c>
      <c r="AA436" s="21">
        <v>22863672</v>
      </c>
      <c r="AB436" s="21">
        <v>1</v>
      </c>
      <c r="AD436" s="21">
        <v>4</v>
      </c>
      <c r="AE436" s="23">
        <v>16</v>
      </c>
      <c r="AF436" s="21">
        <v>8</v>
      </c>
      <c r="AG436" s="21">
        <v>8</v>
      </c>
      <c r="AH436" s="21" t="s">
        <v>1642</v>
      </c>
      <c r="AI436" s="21" t="s">
        <v>1642</v>
      </c>
      <c r="AK436" s="21">
        <v>150</v>
      </c>
      <c r="AN436" s="21">
        <v>150</v>
      </c>
      <c r="AP436" s="21">
        <v>5</v>
      </c>
      <c r="AQ436" s="21" t="s">
        <v>1942</v>
      </c>
      <c r="AR436" s="21" t="s">
        <v>1637</v>
      </c>
      <c r="AS436" s="21" t="s">
        <v>1638</v>
      </c>
      <c r="AT436" s="21" t="s">
        <v>1640</v>
      </c>
      <c r="AU436" s="21" t="s">
        <v>178</v>
      </c>
      <c r="AV436" s="21" t="s">
        <v>2095</v>
      </c>
      <c r="AW436" s="21" t="s">
        <v>1639</v>
      </c>
      <c r="AX436" s="21" t="s">
        <v>1646</v>
      </c>
      <c r="AY436" s="21" t="s">
        <v>1664</v>
      </c>
      <c r="AZ436" s="21" t="s">
        <v>1650</v>
      </c>
      <c r="BA436" s="38">
        <v>3315</v>
      </c>
      <c r="BB436" s="21">
        <v>308</v>
      </c>
      <c r="BC436" s="21" t="s">
        <v>2827</v>
      </c>
      <c r="BD436" s="21">
        <v>45.076300000000003</v>
      </c>
      <c r="BF436" s="21">
        <f>52.4272-BD436</f>
        <v>7.3508999999999958</v>
      </c>
      <c r="BG436" s="21" t="s">
        <v>2828</v>
      </c>
      <c r="BH436" s="21">
        <v>42.358400000000003</v>
      </c>
      <c r="BJ436" s="21">
        <f>51.2212-BH436</f>
        <v>8.8628</v>
      </c>
      <c r="BK436" s="40" t="s">
        <v>2800</v>
      </c>
    </row>
    <row r="437" spans="1:63" x14ac:dyDescent="0.2">
      <c r="A437" s="7">
        <v>102</v>
      </c>
      <c r="B437" s="7" t="s">
        <v>941</v>
      </c>
      <c r="C437" s="7" t="s">
        <v>940</v>
      </c>
      <c r="D437" s="7" t="s">
        <v>939</v>
      </c>
      <c r="E437" s="7" t="s">
        <v>938</v>
      </c>
      <c r="F437" s="7" t="s">
        <v>167</v>
      </c>
      <c r="G437" s="7">
        <v>2012</v>
      </c>
      <c r="H437" s="7">
        <v>41065</v>
      </c>
      <c r="I437" s="7" t="s">
        <v>32</v>
      </c>
      <c r="J437" s="7" t="s">
        <v>32</v>
      </c>
      <c r="K437" s="7" t="s">
        <v>937</v>
      </c>
      <c r="L437" s="7">
        <v>2</v>
      </c>
      <c r="M437" s="7" t="s">
        <v>936</v>
      </c>
      <c r="N437" s="7" t="s">
        <v>34</v>
      </c>
      <c r="O437" s="7" t="s">
        <v>190</v>
      </c>
      <c r="P437" s="7" t="s">
        <v>34</v>
      </c>
      <c r="Q437" s="7" t="s">
        <v>34</v>
      </c>
      <c r="R437" s="7" t="s">
        <v>34</v>
      </c>
      <c r="S437" s="7" t="s">
        <v>34</v>
      </c>
      <c r="T437" s="7" t="s">
        <v>34</v>
      </c>
      <c r="U437" s="7" t="s">
        <v>32</v>
      </c>
      <c r="V437" s="7">
        <v>1</v>
      </c>
      <c r="W437" s="7" t="s">
        <v>32</v>
      </c>
      <c r="X437" s="7" t="s">
        <v>32</v>
      </c>
      <c r="Y437" s="7" t="s">
        <v>32</v>
      </c>
      <c r="Z437" s="7" t="s">
        <v>32</v>
      </c>
      <c r="AA437" s="7">
        <v>22659395</v>
      </c>
      <c r="AB437" s="7">
        <v>1</v>
      </c>
      <c r="AD437" s="7">
        <v>5</v>
      </c>
      <c r="AE437" s="24">
        <v>23</v>
      </c>
      <c r="AF437" s="7">
        <v>15</v>
      </c>
      <c r="AG437" s="7">
        <v>8</v>
      </c>
      <c r="AH437" s="7" t="s">
        <v>1642</v>
      </c>
      <c r="AI437" s="7" t="s">
        <v>1642</v>
      </c>
      <c r="AJ437" s="7" t="s">
        <v>1719</v>
      </c>
      <c r="AM437" s="7" t="s">
        <v>1719</v>
      </c>
      <c r="AP437" s="7">
        <v>1</v>
      </c>
      <c r="AQ437" s="7" t="s">
        <v>1787</v>
      </c>
      <c r="AR437" s="7" t="s">
        <v>1814</v>
      </c>
      <c r="AS437" s="7" t="s">
        <v>1667</v>
      </c>
      <c r="AT437" s="7" t="s">
        <v>2167</v>
      </c>
      <c r="AU437" s="7" t="s">
        <v>178</v>
      </c>
      <c r="AV437" s="7" t="s">
        <v>1816</v>
      </c>
      <c r="AW437" s="7" t="s">
        <v>1678</v>
      </c>
      <c r="AX437" s="7" t="s">
        <v>2515</v>
      </c>
      <c r="AY437" s="7" t="s">
        <v>1750</v>
      </c>
      <c r="AZ437" s="7" t="s">
        <v>1650</v>
      </c>
      <c r="BA437" s="36">
        <v>316</v>
      </c>
      <c r="BB437" s="7">
        <v>309</v>
      </c>
      <c r="BC437" s="7" t="s">
        <v>2516</v>
      </c>
      <c r="BD437" s="7">
        <v>54.961799999999997</v>
      </c>
      <c r="BF437" s="7">
        <f>61.2595-BD437</f>
        <v>6.2977000000000061</v>
      </c>
      <c r="BG437" s="7" t="s">
        <v>2520</v>
      </c>
      <c r="BH437" s="7">
        <v>11.6412</v>
      </c>
      <c r="BJ437" s="7">
        <f>19.2748-BH437</f>
        <v>7.6335999999999995</v>
      </c>
    </row>
    <row r="438" spans="1:63" x14ac:dyDescent="0.2">
      <c r="A438" s="7">
        <v>102</v>
      </c>
      <c r="B438" s="7" t="s">
        <v>941</v>
      </c>
      <c r="C438" s="7" t="s">
        <v>940</v>
      </c>
      <c r="D438" s="7" t="s">
        <v>939</v>
      </c>
      <c r="E438" s="7" t="s">
        <v>938</v>
      </c>
      <c r="F438" s="7" t="s">
        <v>167</v>
      </c>
      <c r="G438" s="7">
        <v>2012</v>
      </c>
      <c r="H438" s="7">
        <v>41065</v>
      </c>
      <c r="I438" s="7" t="s">
        <v>32</v>
      </c>
      <c r="J438" s="7" t="s">
        <v>32</v>
      </c>
      <c r="K438" s="7" t="s">
        <v>937</v>
      </c>
      <c r="L438" s="7">
        <v>2</v>
      </c>
      <c r="M438" s="7" t="s">
        <v>936</v>
      </c>
      <c r="N438" s="7" t="s">
        <v>34</v>
      </c>
      <c r="O438" s="7" t="s">
        <v>190</v>
      </c>
      <c r="P438" s="7" t="s">
        <v>34</v>
      </c>
      <c r="Q438" s="7" t="s">
        <v>34</v>
      </c>
      <c r="R438" s="7" t="s">
        <v>34</v>
      </c>
      <c r="S438" s="7" t="s">
        <v>34</v>
      </c>
      <c r="T438" s="7" t="s">
        <v>34</v>
      </c>
      <c r="U438" s="7" t="s">
        <v>32</v>
      </c>
      <c r="V438" s="7">
        <v>1</v>
      </c>
      <c r="W438" s="7" t="s">
        <v>32</v>
      </c>
      <c r="X438" s="7" t="s">
        <v>32</v>
      </c>
      <c r="Y438" s="7" t="s">
        <v>32</v>
      </c>
      <c r="Z438" s="7" t="s">
        <v>32</v>
      </c>
      <c r="AA438" s="7">
        <v>22659395</v>
      </c>
      <c r="AB438" s="7">
        <v>1</v>
      </c>
      <c r="AD438" s="7">
        <v>5</v>
      </c>
      <c r="AE438" s="24">
        <v>23</v>
      </c>
      <c r="AF438" s="7">
        <v>15</v>
      </c>
      <c r="AG438" s="7">
        <v>8</v>
      </c>
      <c r="AH438" s="7" t="s">
        <v>1642</v>
      </c>
      <c r="AI438" s="7" t="s">
        <v>1642</v>
      </c>
      <c r="AJ438" s="7" t="s">
        <v>1719</v>
      </c>
      <c r="AM438" s="7" t="s">
        <v>1719</v>
      </c>
      <c r="AP438" s="7">
        <v>1</v>
      </c>
      <c r="AQ438" s="7" t="s">
        <v>1787</v>
      </c>
      <c r="AR438" s="7" t="s">
        <v>1814</v>
      </c>
      <c r="AS438" s="7" t="s">
        <v>1667</v>
      </c>
      <c r="AT438" s="7" t="s">
        <v>2167</v>
      </c>
      <c r="AU438" s="7" t="s">
        <v>178</v>
      </c>
      <c r="AV438" s="7" t="s">
        <v>1816</v>
      </c>
      <c r="AW438" s="7" t="s">
        <v>1678</v>
      </c>
      <c r="AX438" s="7" t="s">
        <v>2515</v>
      </c>
      <c r="AY438" s="7" t="s">
        <v>1750</v>
      </c>
      <c r="AZ438" s="7" t="s">
        <v>1650</v>
      </c>
      <c r="BA438" s="36">
        <v>317</v>
      </c>
      <c r="BB438" s="7">
        <v>310</v>
      </c>
      <c r="BC438" s="7" t="s">
        <v>2517</v>
      </c>
      <c r="BD438" s="7">
        <v>26.717600000000001</v>
      </c>
      <c r="BF438" s="7">
        <f>31.4886-BD438</f>
        <v>4.7710000000000008</v>
      </c>
      <c r="BG438" s="7" t="s">
        <v>2521</v>
      </c>
      <c r="BH438" s="7">
        <v>3.8167900000000001</v>
      </c>
      <c r="BJ438" s="7">
        <f>6.29771-BH438</f>
        <v>2.4809200000000002</v>
      </c>
    </row>
    <row r="439" spans="1:63" x14ac:dyDescent="0.2">
      <c r="A439" s="7">
        <v>102</v>
      </c>
      <c r="B439" s="7" t="s">
        <v>941</v>
      </c>
      <c r="C439" s="7" t="s">
        <v>940</v>
      </c>
      <c r="D439" s="7" t="s">
        <v>939</v>
      </c>
      <c r="E439" s="7" t="s">
        <v>938</v>
      </c>
      <c r="F439" s="7" t="s">
        <v>167</v>
      </c>
      <c r="G439" s="7">
        <v>2012</v>
      </c>
      <c r="H439" s="7">
        <v>41065</v>
      </c>
      <c r="I439" s="7" t="s">
        <v>32</v>
      </c>
      <c r="J439" s="7" t="s">
        <v>32</v>
      </c>
      <c r="K439" s="7" t="s">
        <v>937</v>
      </c>
      <c r="L439" s="7">
        <v>2</v>
      </c>
      <c r="M439" s="7" t="s">
        <v>936</v>
      </c>
      <c r="N439" s="7" t="s">
        <v>34</v>
      </c>
      <c r="O439" s="7" t="s">
        <v>190</v>
      </c>
      <c r="P439" s="7" t="s">
        <v>34</v>
      </c>
      <c r="Q439" s="7" t="s">
        <v>34</v>
      </c>
      <c r="R439" s="7" t="s">
        <v>34</v>
      </c>
      <c r="S439" s="7" t="s">
        <v>34</v>
      </c>
      <c r="T439" s="7" t="s">
        <v>34</v>
      </c>
      <c r="U439" s="7" t="s">
        <v>32</v>
      </c>
      <c r="V439" s="7">
        <v>1</v>
      </c>
      <c r="W439" s="7" t="s">
        <v>32</v>
      </c>
      <c r="X439" s="7" t="s">
        <v>32</v>
      </c>
      <c r="Y439" s="7" t="s">
        <v>32</v>
      </c>
      <c r="Z439" s="7" t="s">
        <v>32</v>
      </c>
      <c r="AA439" s="7">
        <v>22659395</v>
      </c>
      <c r="AB439" s="7">
        <v>1</v>
      </c>
      <c r="AD439" s="7">
        <v>5</v>
      </c>
      <c r="AE439" s="24">
        <v>23</v>
      </c>
      <c r="AF439" s="7">
        <v>15</v>
      </c>
      <c r="AG439" s="7">
        <v>8</v>
      </c>
      <c r="AH439" s="7" t="s">
        <v>1642</v>
      </c>
      <c r="AI439" s="7" t="s">
        <v>1642</v>
      </c>
      <c r="AJ439" s="7" t="s">
        <v>1719</v>
      </c>
      <c r="AM439" s="7" t="s">
        <v>1719</v>
      </c>
      <c r="AP439" s="7">
        <v>1</v>
      </c>
      <c r="AQ439" s="7" t="s">
        <v>1787</v>
      </c>
      <c r="AR439" s="7" t="s">
        <v>1814</v>
      </c>
      <c r="AS439" s="7" t="s">
        <v>1667</v>
      </c>
      <c r="AT439" s="7" t="s">
        <v>2167</v>
      </c>
      <c r="AU439" s="7" t="s">
        <v>178</v>
      </c>
      <c r="AV439" s="7" t="s">
        <v>2041</v>
      </c>
      <c r="AW439" s="7" t="s">
        <v>1678</v>
      </c>
      <c r="AX439" s="7" t="s">
        <v>2515</v>
      </c>
      <c r="AY439" s="7" t="s">
        <v>1750</v>
      </c>
      <c r="AZ439" s="7" t="s">
        <v>1650</v>
      </c>
      <c r="BA439" s="36">
        <v>316</v>
      </c>
      <c r="BB439" s="7">
        <v>309</v>
      </c>
      <c r="BC439" s="7" t="s">
        <v>2518</v>
      </c>
      <c r="BD439" s="7">
        <v>61.069800000000001</v>
      </c>
      <c r="BF439" s="7">
        <f>67.4096-BD439</f>
        <v>6.3397999999999968</v>
      </c>
      <c r="BG439" s="7" t="s">
        <v>2522</v>
      </c>
      <c r="BH439" s="7">
        <v>21.545300000000001</v>
      </c>
      <c r="BJ439" s="7">
        <f>26.7459-BH439</f>
        <v>5.2005999999999979</v>
      </c>
    </row>
    <row r="440" spans="1:63" x14ac:dyDescent="0.2">
      <c r="A440" s="7">
        <v>102</v>
      </c>
      <c r="B440" s="7" t="s">
        <v>941</v>
      </c>
      <c r="C440" s="7" t="s">
        <v>940</v>
      </c>
      <c r="D440" s="7" t="s">
        <v>939</v>
      </c>
      <c r="E440" s="7" t="s">
        <v>938</v>
      </c>
      <c r="F440" s="7" t="s">
        <v>167</v>
      </c>
      <c r="G440" s="7">
        <v>2012</v>
      </c>
      <c r="H440" s="7">
        <v>41065</v>
      </c>
      <c r="I440" s="7" t="s">
        <v>32</v>
      </c>
      <c r="J440" s="7" t="s">
        <v>32</v>
      </c>
      <c r="K440" s="7" t="s">
        <v>937</v>
      </c>
      <c r="L440" s="7">
        <v>2</v>
      </c>
      <c r="M440" s="7" t="s">
        <v>936</v>
      </c>
      <c r="N440" s="7" t="s">
        <v>34</v>
      </c>
      <c r="O440" s="7" t="s">
        <v>190</v>
      </c>
      <c r="P440" s="7" t="s">
        <v>34</v>
      </c>
      <c r="Q440" s="7" t="s">
        <v>34</v>
      </c>
      <c r="R440" s="7" t="s">
        <v>34</v>
      </c>
      <c r="S440" s="7" t="s">
        <v>34</v>
      </c>
      <c r="T440" s="7" t="s">
        <v>34</v>
      </c>
      <c r="U440" s="7" t="s">
        <v>32</v>
      </c>
      <c r="V440" s="7">
        <v>1</v>
      </c>
      <c r="W440" s="7" t="s">
        <v>32</v>
      </c>
      <c r="X440" s="7" t="s">
        <v>32</v>
      </c>
      <c r="Y440" s="7" t="s">
        <v>32</v>
      </c>
      <c r="Z440" s="7" t="s">
        <v>32</v>
      </c>
      <c r="AA440" s="7">
        <v>22659395</v>
      </c>
      <c r="AB440" s="7">
        <v>1</v>
      </c>
      <c r="AD440" s="7">
        <v>5</v>
      </c>
      <c r="AE440" s="24">
        <v>23</v>
      </c>
      <c r="AF440" s="7">
        <v>15</v>
      </c>
      <c r="AG440" s="7">
        <v>8</v>
      </c>
      <c r="AH440" s="7" t="s">
        <v>1642</v>
      </c>
      <c r="AI440" s="7" t="s">
        <v>1642</v>
      </c>
      <c r="AJ440" s="7" t="s">
        <v>1719</v>
      </c>
      <c r="AM440" s="7" t="s">
        <v>1719</v>
      </c>
      <c r="AP440" s="7">
        <v>1</v>
      </c>
      <c r="AQ440" s="7" t="s">
        <v>1787</v>
      </c>
      <c r="AR440" s="7" t="s">
        <v>1814</v>
      </c>
      <c r="AS440" s="7" t="s">
        <v>1667</v>
      </c>
      <c r="AT440" s="7" t="s">
        <v>2167</v>
      </c>
      <c r="AU440" s="7" t="s">
        <v>178</v>
      </c>
      <c r="AV440" s="7" t="s">
        <v>2041</v>
      </c>
      <c r="AW440" s="7" t="s">
        <v>1678</v>
      </c>
      <c r="AX440" s="7" t="s">
        <v>2515</v>
      </c>
      <c r="AY440" s="7" t="s">
        <v>1750</v>
      </c>
      <c r="AZ440" s="7" t="s">
        <v>1650</v>
      </c>
      <c r="BA440" s="36">
        <v>317</v>
      </c>
      <c r="BB440" s="7">
        <v>310</v>
      </c>
      <c r="BC440" s="7" t="s">
        <v>2519</v>
      </c>
      <c r="BD440" s="7">
        <v>26.894500000000001</v>
      </c>
      <c r="BF440" s="7">
        <f>33.4324-BD440</f>
        <v>6.5379000000000005</v>
      </c>
      <c r="BG440" s="7" t="s">
        <v>2523</v>
      </c>
      <c r="BH440" s="7">
        <v>7.0827099999999996</v>
      </c>
      <c r="BJ440" s="7">
        <f>8.66766-BH440</f>
        <v>1.5849500000000001</v>
      </c>
    </row>
    <row r="441" spans="1:63" s="20" customFormat="1" x14ac:dyDescent="0.2">
      <c r="A441" s="20">
        <v>103</v>
      </c>
      <c r="B441" s="20" t="s">
        <v>935</v>
      </c>
      <c r="C441" s="20" t="s">
        <v>934</v>
      </c>
      <c r="D441" s="20" t="s">
        <v>933</v>
      </c>
      <c r="E441" s="20" t="s">
        <v>932</v>
      </c>
      <c r="F441" s="20" t="s">
        <v>167</v>
      </c>
      <c r="G441" s="20">
        <v>2012</v>
      </c>
      <c r="H441" s="20">
        <v>41002</v>
      </c>
      <c r="I441" s="20" t="s">
        <v>32</v>
      </c>
      <c r="J441" s="20" t="s">
        <v>32</v>
      </c>
      <c r="K441" s="20" t="s">
        <v>931</v>
      </c>
      <c r="L441" s="20">
        <v>2</v>
      </c>
      <c r="M441" s="20" t="s">
        <v>32</v>
      </c>
      <c r="N441" s="20" t="s">
        <v>34</v>
      </c>
      <c r="O441" s="20" t="s">
        <v>34</v>
      </c>
      <c r="P441" s="20" t="s">
        <v>34</v>
      </c>
      <c r="Q441" s="20" t="s">
        <v>34</v>
      </c>
      <c r="R441" s="20" t="s">
        <v>34</v>
      </c>
      <c r="S441" s="20" t="s">
        <v>34</v>
      </c>
      <c r="T441" s="20" t="s">
        <v>34</v>
      </c>
      <c r="U441" s="20" t="s">
        <v>34</v>
      </c>
      <c r="V441" s="20">
        <v>1</v>
      </c>
      <c r="W441" s="20" t="s">
        <v>178</v>
      </c>
      <c r="X441" s="20">
        <v>1</v>
      </c>
      <c r="Y441" s="20" t="s">
        <v>930</v>
      </c>
      <c r="Z441" s="20" t="s">
        <v>929</v>
      </c>
      <c r="AA441" s="20">
        <v>22465354</v>
      </c>
      <c r="AB441" s="20">
        <v>0</v>
      </c>
      <c r="AC441" s="20" t="s">
        <v>2524</v>
      </c>
      <c r="AE441" s="26"/>
      <c r="BA441" s="59"/>
      <c r="BK441" s="41"/>
    </row>
    <row r="442" spans="1:63" x14ac:dyDescent="0.2">
      <c r="A442" s="21">
        <v>104</v>
      </c>
      <c r="B442" s="21" t="s">
        <v>928</v>
      </c>
      <c r="C442" s="21" t="s">
        <v>927</v>
      </c>
      <c r="D442" s="21" t="s">
        <v>926</v>
      </c>
      <c r="E442" s="21" t="s">
        <v>925</v>
      </c>
      <c r="F442" s="21" t="s">
        <v>924</v>
      </c>
      <c r="G442" s="21">
        <v>2012</v>
      </c>
      <c r="H442" s="21">
        <v>40988</v>
      </c>
      <c r="I442" s="21" t="s">
        <v>32</v>
      </c>
      <c r="J442" s="21" t="s">
        <v>32</v>
      </c>
      <c r="K442" s="21" t="s">
        <v>923</v>
      </c>
      <c r="L442" s="21">
        <v>2</v>
      </c>
      <c r="M442" s="21" t="s">
        <v>922</v>
      </c>
      <c r="N442" s="21" t="s">
        <v>921</v>
      </c>
      <c r="O442" s="21" t="s">
        <v>190</v>
      </c>
      <c r="P442" s="21" t="s">
        <v>34</v>
      </c>
      <c r="Q442" s="21" t="s">
        <v>34</v>
      </c>
      <c r="R442" s="21" t="s">
        <v>34</v>
      </c>
      <c r="S442" s="21" t="s">
        <v>34</v>
      </c>
      <c r="T442" s="21" t="s">
        <v>34</v>
      </c>
      <c r="U442" s="21" t="s">
        <v>32</v>
      </c>
      <c r="V442" s="21">
        <v>1</v>
      </c>
      <c r="W442" s="21" t="s">
        <v>32</v>
      </c>
      <c r="X442" s="21" t="s">
        <v>32</v>
      </c>
      <c r="Y442" s="21" t="s">
        <v>32</v>
      </c>
      <c r="Z442" s="21" t="s">
        <v>32</v>
      </c>
      <c r="AA442" s="21">
        <v>22426496</v>
      </c>
      <c r="AB442" s="21">
        <v>1</v>
      </c>
      <c r="AC442" s="21"/>
      <c r="AD442" s="21">
        <v>5</v>
      </c>
      <c r="AE442" s="23">
        <v>24</v>
      </c>
      <c r="AF442" s="21">
        <v>12</v>
      </c>
      <c r="AG442" s="21">
        <v>12</v>
      </c>
      <c r="AH442" s="21" t="s">
        <v>1642</v>
      </c>
      <c r="AI442" s="21" t="s">
        <v>1642</v>
      </c>
      <c r="AJ442" s="21" t="s">
        <v>2526</v>
      </c>
      <c r="AK442" s="21">
        <v>13</v>
      </c>
      <c r="AL442" s="21"/>
      <c r="AM442" s="21" t="s">
        <v>2526</v>
      </c>
      <c r="AN442" s="21">
        <v>13</v>
      </c>
      <c r="AO442" s="21"/>
      <c r="AR442" s="7" t="s">
        <v>1637</v>
      </c>
      <c r="AS442" s="7" t="s">
        <v>1638</v>
      </c>
      <c r="AT442" s="7" t="s">
        <v>2527</v>
      </c>
      <c r="AU442" s="7" t="s">
        <v>178</v>
      </c>
      <c r="AV442" s="21" t="s">
        <v>2532</v>
      </c>
      <c r="AW442" s="21" t="s">
        <v>1690</v>
      </c>
      <c r="AX442" s="21" t="s">
        <v>2525</v>
      </c>
      <c r="AY442" s="21" t="s">
        <v>2544</v>
      </c>
      <c r="AZ442" s="21" t="s">
        <v>1650</v>
      </c>
      <c r="BA442" s="38">
        <v>318</v>
      </c>
      <c r="BB442" s="21">
        <v>311</v>
      </c>
      <c r="BC442" s="21" t="s">
        <v>2530</v>
      </c>
      <c r="BD442" s="7">
        <v>43.241199999999999</v>
      </c>
      <c r="BE442" s="7">
        <f>49.4337-BD442</f>
        <v>6.1925000000000026</v>
      </c>
      <c r="BG442" s="21" t="s">
        <v>2533</v>
      </c>
      <c r="BH442" s="7">
        <v>43.331400000000002</v>
      </c>
      <c r="BI442" s="7">
        <f>54.6339-BH442</f>
        <v>11.302499999999995</v>
      </c>
    </row>
    <row r="443" spans="1:63" x14ac:dyDescent="0.2">
      <c r="A443" s="21">
        <v>104</v>
      </c>
      <c r="B443" s="21" t="s">
        <v>928</v>
      </c>
      <c r="C443" s="21" t="s">
        <v>927</v>
      </c>
      <c r="D443" s="21" t="s">
        <v>926</v>
      </c>
      <c r="E443" s="21" t="s">
        <v>925</v>
      </c>
      <c r="F443" s="21" t="s">
        <v>924</v>
      </c>
      <c r="G443" s="21">
        <v>2012</v>
      </c>
      <c r="H443" s="21">
        <v>40988</v>
      </c>
      <c r="I443" s="21" t="s">
        <v>32</v>
      </c>
      <c r="J443" s="21" t="s">
        <v>32</v>
      </c>
      <c r="K443" s="21" t="s">
        <v>923</v>
      </c>
      <c r="L443" s="21">
        <v>2</v>
      </c>
      <c r="M443" s="21" t="s">
        <v>922</v>
      </c>
      <c r="N443" s="21" t="s">
        <v>921</v>
      </c>
      <c r="O443" s="21" t="s">
        <v>190</v>
      </c>
      <c r="P443" s="21" t="s">
        <v>34</v>
      </c>
      <c r="Q443" s="21" t="s">
        <v>34</v>
      </c>
      <c r="R443" s="21" t="s">
        <v>34</v>
      </c>
      <c r="S443" s="21" t="s">
        <v>34</v>
      </c>
      <c r="T443" s="21" t="s">
        <v>34</v>
      </c>
      <c r="U443" s="21" t="s">
        <v>32</v>
      </c>
      <c r="V443" s="21">
        <v>1</v>
      </c>
      <c r="W443" s="21" t="s">
        <v>32</v>
      </c>
      <c r="X443" s="21" t="s">
        <v>32</v>
      </c>
      <c r="Y443" s="21" t="s">
        <v>32</v>
      </c>
      <c r="Z443" s="21" t="s">
        <v>32</v>
      </c>
      <c r="AA443" s="21">
        <v>22426496</v>
      </c>
      <c r="AB443" s="21">
        <v>1</v>
      </c>
      <c r="AC443" s="21"/>
      <c r="AD443" s="21">
        <v>5</v>
      </c>
      <c r="AE443" s="23">
        <v>24</v>
      </c>
      <c r="AF443" s="21">
        <v>12</v>
      </c>
      <c r="AG443" s="21">
        <v>12</v>
      </c>
      <c r="AH443" s="21" t="s">
        <v>1642</v>
      </c>
      <c r="AI443" s="21" t="s">
        <v>1642</v>
      </c>
      <c r="AJ443" s="21" t="s">
        <v>2526</v>
      </c>
      <c r="AK443" s="21">
        <v>13</v>
      </c>
      <c r="AL443" s="21"/>
      <c r="AM443" s="21" t="s">
        <v>2526</v>
      </c>
      <c r="AN443" s="21">
        <v>13</v>
      </c>
      <c r="AO443" s="21"/>
      <c r="AP443" s="7">
        <v>1</v>
      </c>
      <c r="AQ443" s="7" t="s">
        <v>2297</v>
      </c>
      <c r="AR443" s="7" t="s">
        <v>1814</v>
      </c>
      <c r="AS443" s="7" t="s">
        <v>1638</v>
      </c>
      <c r="AT443" s="7" t="s">
        <v>2527</v>
      </c>
      <c r="AU443" s="7" t="s">
        <v>178</v>
      </c>
      <c r="AV443" s="21" t="s">
        <v>1689</v>
      </c>
      <c r="AW443" s="21" t="s">
        <v>1678</v>
      </c>
      <c r="AX443" s="21" t="s">
        <v>2525</v>
      </c>
      <c r="AY443" s="21" t="s">
        <v>1750</v>
      </c>
      <c r="AZ443" s="21" t="s">
        <v>1650</v>
      </c>
      <c r="BA443" s="38">
        <v>319</v>
      </c>
      <c r="BB443" s="21">
        <v>311</v>
      </c>
      <c r="BC443" s="21" t="s">
        <v>2528</v>
      </c>
      <c r="BD443" s="7">
        <v>47.756799999999998</v>
      </c>
      <c r="BE443" s="7">
        <f>56.5135-BD443</f>
        <v>8.7567000000000021</v>
      </c>
      <c r="BG443" s="21" t="s">
        <v>2534</v>
      </c>
      <c r="BH443" s="7">
        <v>17.5946</v>
      </c>
      <c r="BI443" s="7">
        <f>23.4324-BH443</f>
        <v>5.8378000000000014</v>
      </c>
    </row>
    <row r="444" spans="1:63" x14ac:dyDescent="0.2">
      <c r="A444" s="21">
        <v>104</v>
      </c>
      <c r="B444" s="21" t="s">
        <v>928</v>
      </c>
      <c r="C444" s="21" t="s">
        <v>927</v>
      </c>
      <c r="D444" s="21" t="s">
        <v>926</v>
      </c>
      <c r="E444" s="21" t="s">
        <v>925</v>
      </c>
      <c r="F444" s="21" t="s">
        <v>924</v>
      </c>
      <c r="G444" s="21">
        <v>2012</v>
      </c>
      <c r="H444" s="21">
        <v>40988</v>
      </c>
      <c r="I444" s="21" t="s">
        <v>32</v>
      </c>
      <c r="J444" s="21" t="s">
        <v>32</v>
      </c>
      <c r="K444" s="21" t="s">
        <v>923</v>
      </c>
      <c r="L444" s="21">
        <v>2</v>
      </c>
      <c r="M444" s="21" t="s">
        <v>922</v>
      </c>
      <c r="N444" s="21" t="s">
        <v>921</v>
      </c>
      <c r="O444" s="21" t="s">
        <v>190</v>
      </c>
      <c r="P444" s="21" t="s">
        <v>34</v>
      </c>
      <c r="Q444" s="21" t="s">
        <v>34</v>
      </c>
      <c r="R444" s="21" t="s">
        <v>34</v>
      </c>
      <c r="S444" s="21" t="s">
        <v>34</v>
      </c>
      <c r="T444" s="21" t="s">
        <v>34</v>
      </c>
      <c r="U444" s="21" t="s">
        <v>32</v>
      </c>
      <c r="V444" s="21">
        <v>1</v>
      </c>
      <c r="W444" s="21" t="s">
        <v>32</v>
      </c>
      <c r="X444" s="21" t="s">
        <v>32</v>
      </c>
      <c r="Y444" s="21" t="s">
        <v>32</v>
      </c>
      <c r="Z444" s="21" t="s">
        <v>32</v>
      </c>
      <c r="AA444" s="21">
        <v>22426496</v>
      </c>
      <c r="AB444" s="21">
        <v>1</v>
      </c>
      <c r="AC444" s="21"/>
      <c r="AD444" s="21">
        <v>5</v>
      </c>
      <c r="AE444" s="23">
        <v>24</v>
      </c>
      <c r="AF444" s="21">
        <v>12</v>
      </c>
      <c r="AG444" s="21">
        <v>12</v>
      </c>
      <c r="AH444" s="21" t="s">
        <v>1642</v>
      </c>
      <c r="AI444" s="21" t="s">
        <v>1642</v>
      </c>
      <c r="AJ444" s="21" t="s">
        <v>2526</v>
      </c>
      <c r="AK444" s="21">
        <v>13</v>
      </c>
      <c r="AL444" s="21"/>
      <c r="AM444" s="21" t="s">
        <v>2526</v>
      </c>
      <c r="AN444" s="21">
        <v>13</v>
      </c>
      <c r="AO444" s="21"/>
      <c r="AP444" s="7">
        <v>1</v>
      </c>
      <c r="AQ444" s="7" t="s">
        <v>2297</v>
      </c>
      <c r="AR444" s="7" t="s">
        <v>1814</v>
      </c>
      <c r="AS444" s="7" t="s">
        <v>1638</v>
      </c>
      <c r="AT444" s="7" t="s">
        <v>2527</v>
      </c>
      <c r="AU444" s="7" t="s">
        <v>178</v>
      </c>
      <c r="AV444" s="21" t="s">
        <v>1689</v>
      </c>
      <c r="AW444" s="21" t="s">
        <v>1678</v>
      </c>
      <c r="AX444" s="21" t="s">
        <v>2525</v>
      </c>
      <c r="AY444" s="21" t="s">
        <v>1684</v>
      </c>
      <c r="AZ444" s="21" t="s">
        <v>1650</v>
      </c>
      <c r="BA444" s="38">
        <v>319</v>
      </c>
      <c r="BB444" s="21">
        <v>311</v>
      </c>
      <c r="BC444" s="21" t="s">
        <v>2529</v>
      </c>
      <c r="BD444" s="7">
        <v>29.450600000000001</v>
      </c>
      <c r="BE444" s="7">
        <f>35.5494-BD444</f>
        <v>6.0987999999999971</v>
      </c>
      <c r="BG444" s="21" t="s">
        <v>2535</v>
      </c>
      <c r="BH444" s="7">
        <v>15.934100000000001</v>
      </c>
      <c r="BI444" s="7">
        <f>21.7033-BH444</f>
        <v>5.7691999999999979</v>
      </c>
      <c r="BK444" s="7"/>
    </row>
    <row r="445" spans="1:63" x14ac:dyDescent="0.2">
      <c r="A445" s="21">
        <v>104</v>
      </c>
      <c r="B445" s="21" t="s">
        <v>928</v>
      </c>
      <c r="C445" s="21" t="s">
        <v>927</v>
      </c>
      <c r="D445" s="21" t="s">
        <v>926</v>
      </c>
      <c r="E445" s="21" t="s">
        <v>925</v>
      </c>
      <c r="F445" s="21" t="s">
        <v>924</v>
      </c>
      <c r="G445" s="21">
        <v>2012</v>
      </c>
      <c r="H445" s="21">
        <v>40988</v>
      </c>
      <c r="I445" s="21" t="s">
        <v>32</v>
      </c>
      <c r="J445" s="21" t="s">
        <v>32</v>
      </c>
      <c r="K445" s="21" t="s">
        <v>923</v>
      </c>
      <c r="L445" s="21">
        <v>2</v>
      </c>
      <c r="M445" s="21" t="s">
        <v>922</v>
      </c>
      <c r="N445" s="21" t="s">
        <v>921</v>
      </c>
      <c r="O445" s="21" t="s">
        <v>190</v>
      </c>
      <c r="P445" s="21" t="s">
        <v>34</v>
      </c>
      <c r="Q445" s="21" t="s">
        <v>34</v>
      </c>
      <c r="R445" s="21" t="s">
        <v>34</v>
      </c>
      <c r="S445" s="21" t="s">
        <v>34</v>
      </c>
      <c r="T445" s="21" t="s">
        <v>34</v>
      </c>
      <c r="U445" s="21" t="s">
        <v>32</v>
      </c>
      <c r="V445" s="21">
        <v>1</v>
      </c>
      <c r="W445" s="21" t="s">
        <v>32</v>
      </c>
      <c r="X445" s="21" t="s">
        <v>32</v>
      </c>
      <c r="Y445" s="21" t="s">
        <v>32</v>
      </c>
      <c r="Z445" s="21" t="s">
        <v>32</v>
      </c>
      <c r="AA445" s="21">
        <v>22426496</v>
      </c>
      <c r="AB445" s="21">
        <v>1</v>
      </c>
      <c r="AC445" s="21"/>
      <c r="AD445" s="21">
        <v>5</v>
      </c>
      <c r="AE445" s="23">
        <v>24</v>
      </c>
      <c r="AF445" s="21">
        <v>12</v>
      </c>
      <c r="AG445" s="21">
        <v>12</v>
      </c>
      <c r="AH445" s="21" t="s">
        <v>1642</v>
      </c>
      <c r="AI445" s="21" t="s">
        <v>1642</v>
      </c>
      <c r="AJ445" s="21" t="s">
        <v>2526</v>
      </c>
      <c r="AK445" s="21">
        <v>13</v>
      </c>
      <c r="AL445" s="21"/>
      <c r="AM445" s="21" t="s">
        <v>2526</v>
      </c>
      <c r="AN445" s="21">
        <v>13</v>
      </c>
      <c r="AO445" s="21"/>
      <c r="AP445" s="7">
        <v>1</v>
      </c>
      <c r="AQ445" s="7" t="s">
        <v>2297</v>
      </c>
      <c r="AR445" s="7" t="s">
        <v>1814</v>
      </c>
      <c r="AS445" s="7" t="s">
        <v>1638</v>
      </c>
      <c r="AT445" s="7" t="s">
        <v>2527</v>
      </c>
      <c r="AU445" s="7" t="s">
        <v>178</v>
      </c>
      <c r="AV445" s="21" t="s">
        <v>2532</v>
      </c>
      <c r="AW445" s="21" t="s">
        <v>1690</v>
      </c>
      <c r="AX445" s="21" t="s">
        <v>2525</v>
      </c>
      <c r="AY445" s="21" t="s">
        <v>2544</v>
      </c>
      <c r="AZ445" s="21" t="s">
        <v>1650</v>
      </c>
      <c r="BA445" s="38">
        <v>319</v>
      </c>
      <c r="BB445" s="21">
        <v>311</v>
      </c>
      <c r="BC445" s="21" t="s">
        <v>2531</v>
      </c>
      <c r="BD445" s="7">
        <v>48.501899999999999</v>
      </c>
      <c r="BE445" s="7">
        <f>55.8366-BD445</f>
        <v>7.334699999999998</v>
      </c>
      <c r="BG445" s="21" t="s">
        <v>2536</v>
      </c>
      <c r="BH445" s="7">
        <v>43.331400000000002</v>
      </c>
      <c r="BI445" s="7">
        <f>54.6339-BH445</f>
        <v>11.302499999999995</v>
      </c>
    </row>
    <row r="446" spans="1:63" x14ac:dyDescent="0.2">
      <c r="A446" s="7">
        <v>105</v>
      </c>
      <c r="B446" s="7" t="s">
        <v>920</v>
      </c>
      <c r="C446" s="7" t="s">
        <v>919</v>
      </c>
      <c r="D446" s="7" t="s">
        <v>918</v>
      </c>
      <c r="E446" s="7" t="s">
        <v>917</v>
      </c>
      <c r="F446" s="7" t="s">
        <v>862</v>
      </c>
      <c r="G446" s="7">
        <v>2012</v>
      </c>
      <c r="H446" s="7">
        <v>40922</v>
      </c>
      <c r="I446" s="7" t="s">
        <v>916</v>
      </c>
      <c r="J446" s="7" t="s">
        <v>32</v>
      </c>
      <c r="K446" s="7" t="s">
        <v>915</v>
      </c>
      <c r="L446" s="7">
        <v>2</v>
      </c>
      <c r="M446" s="7" t="s">
        <v>32</v>
      </c>
      <c r="N446" s="7" t="s">
        <v>34</v>
      </c>
      <c r="O446" s="7" t="s">
        <v>190</v>
      </c>
      <c r="P446" s="7" t="s">
        <v>34</v>
      </c>
      <c r="Q446" s="7" t="s">
        <v>34</v>
      </c>
      <c r="R446" s="7" t="s">
        <v>34</v>
      </c>
      <c r="S446" s="7" t="s">
        <v>34</v>
      </c>
      <c r="T446" s="7" t="s">
        <v>34</v>
      </c>
      <c r="U446" s="7" t="s">
        <v>32</v>
      </c>
      <c r="V446" s="7">
        <v>1</v>
      </c>
      <c r="W446" s="7" t="s">
        <v>32</v>
      </c>
      <c r="X446" s="7" t="s">
        <v>32</v>
      </c>
      <c r="Y446" s="7" t="s">
        <v>32</v>
      </c>
      <c r="Z446" s="7" t="s">
        <v>32</v>
      </c>
      <c r="AA446" s="7">
        <v>22240323</v>
      </c>
      <c r="AB446" s="7">
        <v>1</v>
      </c>
      <c r="AD446" s="7">
        <v>4</v>
      </c>
      <c r="AE446" s="24">
        <v>16</v>
      </c>
      <c r="AF446" s="7">
        <v>8</v>
      </c>
      <c r="AG446" s="7">
        <v>8</v>
      </c>
      <c r="AH446" s="7" t="s">
        <v>1642</v>
      </c>
      <c r="AI446" s="7" t="s">
        <v>1642</v>
      </c>
      <c r="AJ446" s="7" t="s">
        <v>2537</v>
      </c>
      <c r="AK446" s="7">
        <v>150</v>
      </c>
      <c r="AM446" s="7" t="s">
        <v>2537</v>
      </c>
      <c r="AN446" s="7">
        <v>150</v>
      </c>
      <c r="AP446" s="7">
        <v>5</v>
      </c>
      <c r="AQ446" s="7" t="s">
        <v>1942</v>
      </c>
      <c r="AR446" s="7" t="s">
        <v>1637</v>
      </c>
      <c r="AS446" s="7" t="s">
        <v>1638</v>
      </c>
      <c r="AT446" s="7" t="s">
        <v>1640</v>
      </c>
      <c r="AU446" s="7" t="s">
        <v>178</v>
      </c>
      <c r="AV446" s="7" t="s">
        <v>1641</v>
      </c>
      <c r="AW446" s="7" t="s">
        <v>1639</v>
      </c>
      <c r="AX446" s="7" t="s">
        <v>1646</v>
      </c>
      <c r="AY446" s="7" t="s">
        <v>1679</v>
      </c>
      <c r="AZ446" s="7" t="s">
        <v>1650</v>
      </c>
      <c r="BA446" s="36">
        <v>320</v>
      </c>
      <c r="BB446" s="7">
        <v>312</v>
      </c>
      <c r="BC446" s="7" t="s">
        <v>2538</v>
      </c>
      <c r="BD446" s="7">
        <v>44.710700000000003</v>
      </c>
      <c r="BF446" s="7">
        <f>55.9674-BD446</f>
        <v>11.256699999999995</v>
      </c>
      <c r="BG446" s="7" t="s">
        <v>2562</v>
      </c>
      <c r="BH446" s="7">
        <v>45.388800000000003</v>
      </c>
      <c r="BJ446" s="7">
        <f>56.3743-BH446</f>
        <v>10.985499999999995</v>
      </c>
    </row>
    <row r="447" spans="1:63" x14ac:dyDescent="0.2">
      <c r="A447" s="7">
        <v>105</v>
      </c>
      <c r="B447" s="7" t="s">
        <v>920</v>
      </c>
      <c r="C447" s="7" t="s">
        <v>919</v>
      </c>
      <c r="D447" s="7" t="s">
        <v>918</v>
      </c>
      <c r="E447" s="7" t="s">
        <v>917</v>
      </c>
      <c r="F447" s="7" t="s">
        <v>862</v>
      </c>
      <c r="G447" s="7">
        <v>2012</v>
      </c>
      <c r="H447" s="7">
        <v>40922</v>
      </c>
      <c r="I447" s="7" t="s">
        <v>916</v>
      </c>
      <c r="J447" s="7" t="s">
        <v>32</v>
      </c>
      <c r="K447" s="7" t="s">
        <v>915</v>
      </c>
      <c r="L447" s="7">
        <v>2</v>
      </c>
      <c r="M447" s="7" t="s">
        <v>32</v>
      </c>
      <c r="N447" s="7" t="s">
        <v>34</v>
      </c>
      <c r="O447" s="7" t="s">
        <v>190</v>
      </c>
      <c r="P447" s="7" t="s">
        <v>34</v>
      </c>
      <c r="Q447" s="7" t="s">
        <v>34</v>
      </c>
      <c r="R447" s="7" t="s">
        <v>34</v>
      </c>
      <c r="S447" s="7" t="s">
        <v>34</v>
      </c>
      <c r="T447" s="7" t="s">
        <v>34</v>
      </c>
      <c r="U447" s="7" t="s">
        <v>32</v>
      </c>
      <c r="V447" s="7">
        <v>1</v>
      </c>
      <c r="W447" s="7" t="s">
        <v>32</v>
      </c>
      <c r="X447" s="7" t="s">
        <v>32</v>
      </c>
      <c r="Y447" s="7" t="s">
        <v>32</v>
      </c>
      <c r="Z447" s="7" t="s">
        <v>32</v>
      </c>
      <c r="AA447" s="7">
        <v>22240323</v>
      </c>
      <c r="AB447" s="7">
        <v>1</v>
      </c>
      <c r="AD447" s="7">
        <v>4</v>
      </c>
      <c r="AE447" s="24">
        <v>16</v>
      </c>
      <c r="AF447" s="7">
        <v>8</v>
      </c>
      <c r="AG447" s="7">
        <v>8</v>
      </c>
      <c r="AH447" s="7" t="s">
        <v>1642</v>
      </c>
      <c r="AI447" s="7" t="s">
        <v>1642</v>
      </c>
      <c r="AJ447" s="7" t="s">
        <v>2537</v>
      </c>
      <c r="AK447" s="7">
        <v>150</v>
      </c>
      <c r="AM447" s="7" t="s">
        <v>2537</v>
      </c>
      <c r="AN447" s="7">
        <v>150</v>
      </c>
      <c r="AP447" s="7">
        <v>5</v>
      </c>
      <c r="AQ447" s="7" t="s">
        <v>1942</v>
      </c>
      <c r="AR447" s="7" t="s">
        <v>1637</v>
      </c>
      <c r="AS447" s="7" t="s">
        <v>1638</v>
      </c>
      <c r="AT447" s="7" t="s">
        <v>1640</v>
      </c>
      <c r="AU447" s="7" t="s">
        <v>178</v>
      </c>
      <c r="AV447" s="7" t="s">
        <v>1641</v>
      </c>
      <c r="AW447" s="7" t="s">
        <v>1639</v>
      </c>
      <c r="AX447" s="7" t="s">
        <v>1646</v>
      </c>
      <c r="AY447" s="7" t="s">
        <v>1679</v>
      </c>
      <c r="AZ447" s="7" t="s">
        <v>1650</v>
      </c>
      <c r="BA447" s="36">
        <v>320</v>
      </c>
      <c r="BB447" s="7">
        <v>312</v>
      </c>
      <c r="BC447" s="7" t="s">
        <v>2539</v>
      </c>
      <c r="BD447" s="7">
        <v>61.663699999999999</v>
      </c>
      <c r="BF447" s="7">
        <f>73.7342-BD447</f>
        <v>12.070500000000003</v>
      </c>
      <c r="BG447" s="7" t="s">
        <v>2563</v>
      </c>
      <c r="BH447" s="7">
        <v>38.336300000000001</v>
      </c>
      <c r="BJ447" s="7">
        <f>49.4575-BH447</f>
        <v>11.121200000000002</v>
      </c>
    </row>
    <row r="448" spans="1:63" x14ac:dyDescent="0.2">
      <c r="A448" s="7">
        <v>105</v>
      </c>
      <c r="B448" s="7" t="s">
        <v>920</v>
      </c>
      <c r="C448" s="7" t="s">
        <v>919</v>
      </c>
      <c r="D448" s="7" t="s">
        <v>918</v>
      </c>
      <c r="E448" s="7" t="s">
        <v>917</v>
      </c>
      <c r="F448" s="7" t="s">
        <v>862</v>
      </c>
      <c r="G448" s="7">
        <v>2012</v>
      </c>
      <c r="H448" s="7">
        <v>40922</v>
      </c>
      <c r="I448" s="7" t="s">
        <v>916</v>
      </c>
      <c r="J448" s="7" t="s">
        <v>32</v>
      </c>
      <c r="K448" s="7" t="s">
        <v>915</v>
      </c>
      <c r="L448" s="7">
        <v>2</v>
      </c>
      <c r="M448" s="7" t="s">
        <v>32</v>
      </c>
      <c r="N448" s="7" t="s">
        <v>34</v>
      </c>
      <c r="O448" s="7" t="s">
        <v>190</v>
      </c>
      <c r="P448" s="7" t="s">
        <v>34</v>
      </c>
      <c r="Q448" s="7" t="s">
        <v>34</v>
      </c>
      <c r="R448" s="7" t="s">
        <v>34</v>
      </c>
      <c r="S448" s="7" t="s">
        <v>34</v>
      </c>
      <c r="T448" s="7" t="s">
        <v>34</v>
      </c>
      <c r="U448" s="7" t="s">
        <v>32</v>
      </c>
      <c r="V448" s="7">
        <v>1</v>
      </c>
      <c r="W448" s="7" t="s">
        <v>32</v>
      </c>
      <c r="X448" s="7" t="s">
        <v>32</v>
      </c>
      <c r="Y448" s="7" t="s">
        <v>32</v>
      </c>
      <c r="Z448" s="7" t="s">
        <v>32</v>
      </c>
      <c r="AA448" s="7">
        <v>22240323</v>
      </c>
      <c r="AB448" s="7">
        <v>1</v>
      </c>
      <c r="AD448" s="7">
        <v>4</v>
      </c>
      <c r="AE448" s="24">
        <v>16</v>
      </c>
      <c r="AF448" s="7">
        <v>8</v>
      </c>
      <c r="AG448" s="7">
        <v>8</v>
      </c>
      <c r="AH448" s="7" t="s">
        <v>1642</v>
      </c>
      <c r="AI448" s="7" t="s">
        <v>1642</v>
      </c>
      <c r="AJ448" s="7" t="s">
        <v>2537</v>
      </c>
      <c r="AK448" s="7">
        <v>150</v>
      </c>
      <c r="AM448" s="7" t="s">
        <v>2537</v>
      </c>
      <c r="AN448" s="7">
        <v>150</v>
      </c>
      <c r="AP448" s="7">
        <v>5</v>
      </c>
      <c r="AQ448" s="7" t="s">
        <v>1942</v>
      </c>
      <c r="AR448" s="7" t="s">
        <v>1637</v>
      </c>
      <c r="AS448" s="7" t="s">
        <v>1638</v>
      </c>
      <c r="AT448" s="7" t="s">
        <v>1640</v>
      </c>
      <c r="AU448" s="7" t="s">
        <v>178</v>
      </c>
      <c r="AV448" s="7" t="s">
        <v>1653</v>
      </c>
      <c r="AW448" s="7" t="s">
        <v>1639</v>
      </c>
      <c r="AX448" s="7" t="s">
        <v>1646</v>
      </c>
      <c r="AY448" s="7" t="s">
        <v>1881</v>
      </c>
      <c r="AZ448" s="7" t="s">
        <v>1650</v>
      </c>
      <c r="BA448" s="36">
        <v>320</v>
      </c>
      <c r="BB448" s="7">
        <v>312</v>
      </c>
      <c r="BC448" s="7" t="s">
        <v>2484</v>
      </c>
      <c r="BD448" s="7">
        <v>46.066899999999997</v>
      </c>
      <c r="BF448" s="7">
        <f>61.9349-BD448</f>
        <v>15.868000000000002</v>
      </c>
      <c r="BG448" s="7" t="s">
        <v>2493</v>
      </c>
      <c r="BH448" s="7">
        <v>59.764899999999997</v>
      </c>
      <c r="BJ448" s="7">
        <f>74.5479-BH448</f>
        <v>14.783000000000001</v>
      </c>
    </row>
    <row r="449" spans="1:63" x14ac:dyDescent="0.2">
      <c r="A449" s="7">
        <v>105</v>
      </c>
      <c r="B449" s="7" t="s">
        <v>920</v>
      </c>
      <c r="C449" s="7" t="s">
        <v>919</v>
      </c>
      <c r="D449" s="7" t="s">
        <v>918</v>
      </c>
      <c r="E449" s="7" t="s">
        <v>917</v>
      </c>
      <c r="F449" s="7" t="s">
        <v>862</v>
      </c>
      <c r="G449" s="7">
        <v>2012</v>
      </c>
      <c r="H449" s="7">
        <v>40922</v>
      </c>
      <c r="I449" s="7" t="s">
        <v>916</v>
      </c>
      <c r="J449" s="7" t="s">
        <v>32</v>
      </c>
      <c r="K449" s="7" t="s">
        <v>915</v>
      </c>
      <c r="L449" s="7">
        <v>2</v>
      </c>
      <c r="M449" s="7" t="s">
        <v>32</v>
      </c>
      <c r="N449" s="7" t="s">
        <v>34</v>
      </c>
      <c r="O449" s="7" t="s">
        <v>190</v>
      </c>
      <c r="P449" s="7" t="s">
        <v>34</v>
      </c>
      <c r="Q449" s="7" t="s">
        <v>34</v>
      </c>
      <c r="R449" s="7" t="s">
        <v>34</v>
      </c>
      <c r="S449" s="7" t="s">
        <v>34</v>
      </c>
      <c r="T449" s="7" t="s">
        <v>34</v>
      </c>
      <c r="U449" s="7" t="s">
        <v>32</v>
      </c>
      <c r="V449" s="7">
        <v>1</v>
      </c>
      <c r="W449" s="7" t="s">
        <v>32</v>
      </c>
      <c r="X449" s="7" t="s">
        <v>32</v>
      </c>
      <c r="Y449" s="7" t="s">
        <v>32</v>
      </c>
      <c r="Z449" s="7" t="s">
        <v>32</v>
      </c>
      <c r="AA449" s="7">
        <v>22240323</v>
      </c>
      <c r="AB449" s="7">
        <v>1</v>
      </c>
      <c r="AD449" s="7">
        <v>4</v>
      </c>
      <c r="AE449" s="24">
        <v>16</v>
      </c>
      <c r="AF449" s="7">
        <v>8</v>
      </c>
      <c r="AG449" s="7">
        <v>8</v>
      </c>
      <c r="AH449" s="7" t="s">
        <v>1642</v>
      </c>
      <c r="AI449" s="7" t="s">
        <v>1642</v>
      </c>
      <c r="AJ449" s="7" t="s">
        <v>2537</v>
      </c>
      <c r="AK449" s="7">
        <v>150</v>
      </c>
      <c r="AM449" s="7" t="s">
        <v>2537</v>
      </c>
      <c r="AN449" s="7">
        <v>150</v>
      </c>
      <c r="AP449" s="7">
        <v>5</v>
      </c>
      <c r="AQ449" s="7" t="s">
        <v>1942</v>
      </c>
      <c r="AR449" s="7" t="s">
        <v>1637</v>
      </c>
      <c r="AS449" s="7" t="s">
        <v>1638</v>
      </c>
      <c r="AT449" s="7" t="s">
        <v>1640</v>
      </c>
      <c r="AU449" s="7" t="s">
        <v>178</v>
      </c>
      <c r="AV449" s="7" t="s">
        <v>1653</v>
      </c>
      <c r="AW449" s="7" t="s">
        <v>1639</v>
      </c>
      <c r="AX449" s="7" t="s">
        <v>1646</v>
      </c>
      <c r="AY449" s="7" t="s">
        <v>1955</v>
      </c>
      <c r="AZ449" s="7" t="s">
        <v>1650</v>
      </c>
      <c r="BA449" s="36">
        <v>320</v>
      </c>
      <c r="BB449" s="7">
        <v>312</v>
      </c>
      <c r="BC449" s="7" t="s">
        <v>2487</v>
      </c>
      <c r="BD449" s="7">
        <v>77.938500000000005</v>
      </c>
      <c r="BF449" s="7">
        <f>86.2116-BD449</f>
        <v>8.2730999999999995</v>
      </c>
      <c r="BG449" s="7" t="s">
        <v>2496</v>
      </c>
      <c r="BH449" s="7">
        <v>68.309200000000004</v>
      </c>
      <c r="BJ449" s="7">
        <f>75.9042-BH449</f>
        <v>7.5949999999999989</v>
      </c>
    </row>
    <row r="450" spans="1:63" x14ac:dyDescent="0.2">
      <c r="A450" s="7">
        <v>105</v>
      </c>
      <c r="B450" s="7" t="s">
        <v>920</v>
      </c>
      <c r="C450" s="7" t="s">
        <v>919</v>
      </c>
      <c r="D450" s="7" t="s">
        <v>918</v>
      </c>
      <c r="E450" s="7" t="s">
        <v>917</v>
      </c>
      <c r="F450" s="7" t="s">
        <v>862</v>
      </c>
      <c r="G450" s="7">
        <v>2012</v>
      </c>
      <c r="H450" s="7">
        <v>40922</v>
      </c>
      <c r="I450" s="7" t="s">
        <v>916</v>
      </c>
      <c r="J450" s="7" t="s">
        <v>32</v>
      </c>
      <c r="K450" s="7" t="s">
        <v>915</v>
      </c>
      <c r="L450" s="7">
        <v>2</v>
      </c>
      <c r="M450" s="7" t="s">
        <v>32</v>
      </c>
      <c r="N450" s="7" t="s">
        <v>34</v>
      </c>
      <c r="O450" s="7" t="s">
        <v>190</v>
      </c>
      <c r="P450" s="7" t="s">
        <v>34</v>
      </c>
      <c r="Q450" s="7" t="s">
        <v>34</v>
      </c>
      <c r="R450" s="7" t="s">
        <v>34</v>
      </c>
      <c r="S450" s="7" t="s">
        <v>34</v>
      </c>
      <c r="T450" s="7" t="s">
        <v>34</v>
      </c>
      <c r="U450" s="7" t="s">
        <v>32</v>
      </c>
      <c r="V450" s="7">
        <v>1</v>
      </c>
      <c r="W450" s="7" t="s">
        <v>32</v>
      </c>
      <c r="X450" s="7" t="s">
        <v>32</v>
      </c>
      <c r="Y450" s="7" t="s">
        <v>32</v>
      </c>
      <c r="Z450" s="7" t="s">
        <v>32</v>
      </c>
      <c r="AA450" s="7">
        <v>22240323</v>
      </c>
      <c r="AB450" s="7">
        <v>1</v>
      </c>
      <c r="AD450" s="7">
        <v>4</v>
      </c>
      <c r="AE450" s="24">
        <v>16</v>
      </c>
      <c r="AF450" s="7">
        <v>8</v>
      </c>
      <c r="AG450" s="7">
        <v>8</v>
      </c>
      <c r="AH450" s="7" t="s">
        <v>1642</v>
      </c>
      <c r="AI450" s="7" t="s">
        <v>1642</v>
      </c>
      <c r="AJ450" s="7" t="s">
        <v>2537</v>
      </c>
      <c r="AK450" s="7">
        <v>150</v>
      </c>
      <c r="AM450" s="7" t="s">
        <v>2537</v>
      </c>
      <c r="AN450" s="7">
        <v>150</v>
      </c>
      <c r="AP450" s="7">
        <v>5</v>
      </c>
      <c r="AQ450" s="7" t="s">
        <v>1942</v>
      </c>
      <c r="AR450" s="7" t="s">
        <v>1637</v>
      </c>
      <c r="AS450" s="7" t="s">
        <v>1638</v>
      </c>
      <c r="AT450" s="7" t="s">
        <v>1640</v>
      </c>
      <c r="AU450" s="7" t="s">
        <v>178</v>
      </c>
      <c r="AV450" s="7" t="s">
        <v>1653</v>
      </c>
      <c r="AW450" s="7" t="s">
        <v>1639</v>
      </c>
      <c r="AX450" s="7" t="s">
        <v>1646</v>
      </c>
      <c r="AY450" s="7" t="s">
        <v>1955</v>
      </c>
      <c r="AZ450" s="7" t="s">
        <v>1650</v>
      </c>
      <c r="BA450" s="36">
        <v>320</v>
      </c>
      <c r="BB450" s="7">
        <v>312</v>
      </c>
      <c r="BC450" s="7" t="s">
        <v>2540</v>
      </c>
      <c r="BD450" s="7">
        <v>58.001800000000003</v>
      </c>
      <c r="BF450" s="7">
        <f>73.8698-BD450</f>
        <v>15.867999999999995</v>
      </c>
      <c r="BG450" s="7" t="s">
        <v>2564</v>
      </c>
      <c r="BH450" s="7">
        <v>37.929499999999997</v>
      </c>
      <c r="BJ450" s="7">
        <f>52.7125-BH450</f>
        <v>14.783000000000001</v>
      </c>
    </row>
    <row r="451" spans="1:63" x14ac:dyDescent="0.2">
      <c r="A451" s="7">
        <v>105</v>
      </c>
      <c r="B451" s="7" t="s">
        <v>920</v>
      </c>
      <c r="C451" s="7" t="s">
        <v>919</v>
      </c>
      <c r="D451" s="7" t="s">
        <v>918</v>
      </c>
      <c r="E451" s="7" t="s">
        <v>917</v>
      </c>
      <c r="F451" s="7" t="s">
        <v>862</v>
      </c>
      <c r="G451" s="7">
        <v>2012</v>
      </c>
      <c r="H451" s="7">
        <v>40922</v>
      </c>
      <c r="I451" s="7" t="s">
        <v>916</v>
      </c>
      <c r="J451" s="7" t="s">
        <v>32</v>
      </c>
      <c r="K451" s="7" t="s">
        <v>915</v>
      </c>
      <c r="L451" s="7">
        <v>2</v>
      </c>
      <c r="M451" s="7" t="s">
        <v>32</v>
      </c>
      <c r="N451" s="7" t="s">
        <v>34</v>
      </c>
      <c r="O451" s="7" t="s">
        <v>190</v>
      </c>
      <c r="P451" s="7" t="s">
        <v>34</v>
      </c>
      <c r="Q451" s="7" t="s">
        <v>34</v>
      </c>
      <c r="R451" s="7" t="s">
        <v>34</v>
      </c>
      <c r="S451" s="7" t="s">
        <v>34</v>
      </c>
      <c r="T451" s="7" t="s">
        <v>34</v>
      </c>
      <c r="U451" s="7" t="s">
        <v>32</v>
      </c>
      <c r="V451" s="7">
        <v>1</v>
      </c>
      <c r="W451" s="7" t="s">
        <v>32</v>
      </c>
      <c r="X451" s="7" t="s">
        <v>32</v>
      </c>
      <c r="Y451" s="7" t="s">
        <v>32</v>
      </c>
      <c r="Z451" s="7" t="s">
        <v>32</v>
      </c>
      <c r="AA451" s="7">
        <v>22240323</v>
      </c>
      <c r="AB451" s="7">
        <v>1</v>
      </c>
      <c r="AD451" s="7">
        <v>4</v>
      </c>
      <c r="AE451" s="24">
        <v>16</v>
      </c>
      <c r="AF451" s="7">
        <v>8</v>
      </c>
      <c r="AG451" s="7">
        <v>8</v>
      </c>
      <c r="AH451" s="7" t="s">
        <v>1642</v>
      </c>
      <c r="AI451" s="7" t="s">
        <v>1642</v>
      </c>
      <c r="AJ451" s="7" t="s">
        <v>2537</v>
      </c>
      <c r="AK451" s="7">
        <v>150</v>
      </c>
      <c r="AM451" s="7" t="s">
        <v>2537</v>
      </c>
      <c r="AN451" s="7">
        <v>150</v>
      </c>
      <c r="AP451" s="7">
        <v>5</v>
      </c>
      <c r="AQ451" s="7" t="s">
        <v>1942</v>
      </c>
      <c r="AR451" s="7" t="s">
        <v>1637</v>
      </c>
      <c r="AS451" s="7" t="s">
        <v>1638</v>
      </c>
      <c r="AT451" s="7" t="s">
        <v>1640</v>
      </c>
      <c r="AU451" s="7" t="s">
        <v>178</v>
      </c>
      <c r="AV451" s="7" t="s">
        <v>2095</v>
      </c>
      <c r="AW451" s="7" t="s">
        <v>1639</v>
      </c>
      <c r="AX451" s="7" t="s">
        <v>1646</v>
      </c>
      <c r="AY451" s="7" t="s">
        <v>1955</v>
      </c>
      <c r="AZ451" s="7" t="s">
        <v>1650</v>
      </c>
      <c r="BA451" s="36">
        <v>320</v>
      </c>
      <c r="BB451" s="7">
        <v>312</v>
      </c>
      <c r="BC451" s="7" t="s">
        <v>2541</v>
      </c>
      <c r="BD451" s="7">
        <v>82.956599999999995</v>
      </c>
      <c r="BF451" s="7">
        <f>95.7052-BD451</f>
        <v>12.74860000000001</v>
      </c>
      <c r="BG451" s="7" t="s">
        <v>2565</v>
      </c>
      <c r="BH451" s="7">
        <v>43.896900000000002</v>
      </c>
      <c r="BJ451" s="7">
        <f>55.9674-BH451</f>
        <v>12.070499999999996</v>
      </c>
    </row>
    <row r="452" spans="1:63" x14ac:dyDescent="0.2">
      <c r="A452" s="7">
        <v>105</v>
      </c>
      <c r="B452" s="7" t="s">
        <v>920</v>
      </c>
      <c r="C452" s="7" t="s">
        <v>919</v>
      </c>
      <c r="D452" s="7" t="s">
        <v>918</v>
      </c>
      <c r="E452" s="7" t="s">
        <v>917</v>
      </c>
      <c r="F452" s="7" t="s">
        <v>862</v>
      </c>
      <c r="G452" s="7">
        <v>2012</v>
      </c>
      <c r="H452" s="7">
        <v>40922</v>
      </c>
      <c r="I452" s="7" t="s">
        <v>916</v>
      </c>
      <c r="J452" s="7" t="s">
        <v>32</v>
      </c>
      <c r="K452" s="7" t="s">
        <v>915</v>
      </c>
      <c r="L452" s="7">
        <v>2</v>
      </c>
      <c r="M452" s="7" t="s">
        <v>32</v>
      </c>
      <c r="N452" s="7" t="s">
        <v>34</v>
      </c>
      <c r="O452" s="7" t="s">
        <v>190</v>
      </c>
      <c r="P452" s="7" t="s">
        <v>34</v>
      </c>
      <c r="Q452" s="7" t="s">
        <v>34</v>
      </c>
      <c r="R452" s="7" t="s">
        <v>34</v>
      </c>
      <c r="S452" s="7" t="s">
        <v>34</v>
      </c>
      <c r="T452" s="7" t="s">
        <v>34</v>
      </c>
      <c r="U452" s="7" t="s">
        <v>32</v>
      </c>
      <c r="V452" s="7">
        <v>1</v>
      </c>
      <c r="W452" s="7" t="s">
        <v>32</v>
      </c>
      <c r="X452" s="7" t="s">
        <v>32</v>
      </c>
      <c r="Y452" s="7" t="s">
        <v>32</v>
      </c>
      <c r="Z452" s="7" t="s">
        <v>32</v>
      </c>
      <c r="AA452" s="7">
        <v>22240323</v>
      </c>
      <c r="AB452" s="7">
        <v>1</v>
      </c>
      <c r="AD452" s="7">
        <v>4</v>
      </c>
      <c r="AE452" s="24">
        <v>16</v>
      </c>
      <c r="AF452" s="7">
        <v>8</v>
      </c>
      <c r="AG452" s="7">
        <v>8</v>
      </c>
      <c r="AH452" s="7" t="s">
        <v>1642</v>
      </c>
      <c r="AI452" s="7" t="s">
        <v>1642</v>
      </c>
      <c r="AJ452" s="7" t="s">
        <v>2537</v>
      </c>
      <c r="AK452" s="7">
        <v>150</v>
      </c>
      <c r="AM452" s="7" t="s">
        <v>2537</v>
      </c>
      <c r="AN452" s="7">
        <v>150</v>
      </c>
      <c r="AP452" s="7">
        <v>5</v>
      </c>
      <c r="AQ452" s="7" t="s">
        <v>1942</v>
      </c>
      <c r="AR452" s="7" t="s">
        <v>1637</v>
      </c>
      <c r="AS452" s="7" t="s">
        <v>1638</v>
      </c>
      <c r="AT452" s="7" t="s">
        <v>1640</v>
      </c>
      <c r="AU452" s="7" t="s">
        <v>178</v>
      </c>
      <c r="AV452" s="7" t="s">
        <v>2095</v>
      </c>
      <c r="AW452" s="7" t="s">
        <v>1639</v>
      </c>
      <c r="AX452" s="7" t="s">
        <v>1646</v>
      </c>
      <c r="AY452" s="7" t="s">
        <v>1955</v>
      </c>
      <c r="AZ452" s="7" t="s">
        <v>1650</v>
      </c>
      <c r="BA452" s="36">
        <v>320</v>
      </c>
      <c r="BB452" s="7">
        <v>312</v>
      </c>
      <c r="BC452" s="7" t="s">
        <v>2542</v>
      </c>
      <c r="BD452" s="7">
        <v>67.359899999999996</v>
      </c>
      <c r="BF452" s="7">
        <f>81.4647-BD452</f>
        <v>14.104799999999997</v>
      </c>
      <c r="BG452" s="7" t="s">
        <v>2566</v>
      </c>
      <c r="BH452" s="7">
        <v>26.265799999999999</v>
      </c>
      <c r="BJ452" s="7">
        <f>39.557-BH452</f>
        <v>13.291200000000003</v>
      </c>
    </row>
    <row r="453" spans="1:63" x14ac:dyDescent="0.2">
      <c r="A453" s="7">
        <v>105</v>
      </c>
      <c r="B453" s="7" t="s">
        <v>920</v>
      </c>
      <c r="C453" s="7" t="s">
        <v>919</v>
      </c>
      <c r="D453" s="7" t="s">
        <v>918</v>
      </c>
      <c r="E453" s="7" t="s">
        <v>917</v>
      </c>
      <c r="F453" s="7" t="s">
        <v>862</v>
      </c>
      <c r="G453" s="7">
        <v>2012</v>
      </c>
      <c r="H453" s="7">
        <v>40922</v>
      </c>
      <c r="I453" s="7" t="s">
        <v>916</v>
      </c>
      <c r="J453" s="7" t="s">
        <v>32</v>
      </c>
      <c r="K453" s="7" t="s">
        <v>915</v>
      </c>
      <c r="L453" s="7">
        <v>2</v>
      </c>
      <c r="M453" s="7" t="s">
        <v>32</v>
      </c>
      <c r="N453" s="7" t="s">
        <v>34</v>
      </c>
      <c r="O453" s="7" t="s">
        <v>190</v>
      </c>
      <c r="P453" s="7" t="s">
        <v>34</v>
      </c>
      <c r="Q453" s="7" t="s">
        <v>34</v>
      </c>
      <c r="R453" s="7" t="s">
        <v>34</v>
      </c>
      <c r="S453" s="7" t="s">
        <v>34</v>
      </c>
      <c r="T453" s="7" t="s">
        <v>34</v>
      </c>
      <c r="U453" s="7" t="s">
        <v>32</v>
      </c>
      <c r="V453" s="7">
        <v>1</v>
      </c>
      <c r="W453" s="7" t="s">
        <v>32</v>
      </c>
      <c r="X453" s="7" t="s">
        <v>32</v>
      </c>
      <c r="Y453" s="7" t="s">
        <v>32</v>
      </c>
      <c r="Z453" s="7" t="s">
        <v>32</v>
      </c>
      <c r="AA453" s="7">
        <v>22240323</v>
      </c>
      <c r="AB453" s="7">
        <v>1</v>
      </c>
      <c r="AD453" s="7">
        <v>4</v>
      </c>
      <c r="AE453" s="24">
        <v>16</v>
      </c>
      <c r="AF453" s="7">
        <v>8</v>
      </c>
      <c r="AG453" s="7">
        <v>8</v>
      </c>
      <c r="AH453" s="7" t="s">
        <v>1642</v>
      </c>
      <c r="AI453" s="7" t="s">
        <v>1642</v>
      </c>
      <c r="AJ453" s="7" t="s">
        <v>2537</v>
      </c>
      <c r="AK453" s="7">
        <v>150</v>
      </c>
      <c r="AM453" s="7" t="s">
        <v>2537</v>
      </c>
      <c r="AN453" s="7">
        <v>150</v>
      </c>
      <c r="AP453" s="7">
        <v>5</v>
      </c>
      <c r="AQ453" s="7" t="s">
        <v>1942</v>
      </c>
      <c r="AR453" s="7" t="s">
        <v>1637</v>
      </c>
      <c r="AS453" s="7" t="s">
        <v>1638</v>
      </c>
      <c r="AT453" s="7" t="s">
        <v>1640</v>
      </c>
      <c r="AU453" s="7" t="s">
        <v>178</v>
      </c>
      <c r="AV453" s="7" t="s">
        <v>2095</v>
      </c>
      <c r="AW453" s="7" t="s">
        <v>1639</v>
      </c>
      <c r="AX453" s="7" t="s">
        <v>1646</v>
      </c>
      <c r="AY453" s="7" t="s">
        <v>1955</v>
      </c>
      <c r="AZ453" s="7" t="s">
        <v>1650</v>
      </c>
      <c r="BA453" s="36">
        <v>320</v>
      </c>
      <c r="BB453" s="7">
        <v>312</v>
      </c>
      <c r="BC453" s="7" t="s">
        <v>2543</v>
      </c>
      <c r="BD453" s="7">
        <v>37.387</v>
      </c>
      <c r="BF453" s="7">
        <f>53.1194-BD453</f>
        <v>15.732399999999998</v>
      </c>
      <c r="BG453" s="7" t="s">
        <v>2567</v>
      </c>
      <c r="BH453" s="7">
        <v>28.3002</v>
      </c>
      <c r="BJ453" s="7">
        <f>42.9476-BH453</f>
        <v>14.647400000000001</v>
      </c>
    </row>
    <row r="454" spans="1:63" x14ac:dyDescent="0.2">
      <c r="A454" s="7">
        <v>105</v>
      </c>
      <c r="B454" s="7" t="s">
        <v>920</v>
      </c>
      <c r="C454" s="7" t="s">
        <v>919</v>
      </c>
      <c r="D454" s="7" t="s">
        <v>918</v>
      </c>
      <c r="E454" s="7" t="s">
        <v>917</v>
      </c>
      <c r="F454" s="7" t="s">
        <v>862</v>
      </c>
      <c r="G454" s="7">
        <v>2012</v>
      </c>
      <c r="H454" s="7">
        <v>40922</v>
      </c>
      <c r="I454" s="7" t="s">
        <v>916</v>
      </c>
      <c r="J454" s="7" t="s">
        <v>32</v>
      </c>
      <c r="K454" s="7" t="s">
        <v>915</v>
      </c>
      <c r="L454" s="7">
        <v>2</v>
      </c>
      <c r="M454" s="7" t="s">
        <v>32</v>
      </c>
      <c r="N454" s="7" t="s">
        <v>34</v>
      </c>
      <c r="O454" s="7" t="s">
        <v>190</v>
      </c>
      <c r="P454" s="7" t="s">
        <v>34</v>
      </c>
      <c r="Q454" s="7" t="s">
        <v>34</v>
      </c>
      <c r="R454" s="7" t="s">
        <v>34</v>
      </c>
      <c r="S454" s="7" t="s">
        <v>34</v>
      </c>
      <c r="T454" s="7" t="s">
        <v>34</v>
      </c>
      <c r="U454" s="7" t="s">
        <v>32</v>
      </c>
      <c r="V454" s="7">
        <v>1</v>
      </c>
      <c r="W454" s="7" t="s">
        <v>32</v>
      </c>
      <c r="X454" s="7" t="s">
        <v>32</v>
      </c>
      <c r="Y454" s="7" t="s">
        <v>32</v>
      </c>
      <c r="Z454" s="7" t="s">
        <v>32</v>
      </c>
      <c r="AA454" s="7">
        <v>22240323</v>
      </c>
      <c r="AB454" s="7">
        <v>1</v>
      </c>
      <c r="AD454" s="7">
        <v>4</v>
      </c>
      <c r="AE454" s="24">
        <v>26</v>
      </c>
      <c r="AF454" s="7">
        <v>13</v>
      </c>
      <c r="AG454" s="7">
        <v>13</v>
      </c>
      <c r="AH454" s="7" t="s">
        <v>1642</v>
      </c>
      <c r="AI454" s="7" t="s">
        <v>1642</v>
      </c>
      <c r="AJ454" s="7" t="s">
        <v>2537</v>
      </c>
      <c r="AK454" s="7">
        <v>150</v>
      </c>
      <c r="AM454" s="7" t="s">
        <v>2537</v>
      </c>
      <c r="AN454" s="7">
        <v>150</v>
      </c>
      <c r="AP454" s="7">
        <v>5</v>
      </c>
      <c r="AQ454" s="7" t="s">
        <v>1942</v>
      </c>
      <c r="AR454" s="7" t="s">
        <v>1637</v>
      </c>
      <c r="AS454" s="7" t="s">
        <v>1638</v>
      </c>
      <c r="AT454" s="7" t="s">
        <v>1640</v>
      </c>
      <c r="AU454" s="7" t="s">
        <v>178</v>
      </c>
      <c r="AV454" s="7" t="s">
        <v>1641</v>
      </c>
      <c r="AW454" s="7" t="s">
        <v>1639</v>
      </c>
      <c r="AX454" s="7" t="s">
        <v>1646</v>
      </c>
      <c r="AY454" s="7" t="s">
        <v>1662</v>
      </c>
      <c r="AZ454" s="7" t="s">
        <v>1650</v>
      </c>
      <c r="BA454" s="36">
        <v>321</v>
      </c>
      <c r="BB454" s="7">
        <v>313</v>
      </c>
      <c r="BC454" s="7" t="s">
        <v>2546</v>
      </c>
      <c r="BD454" s="7">
        <v>69.0745</v>
      </c>
      <c r="BF454" s="7">
        <f>75.395-BD454</f>
        <v>6.3204999999999956</v>
      </c>
      <c r="BG454" s="7" t="s">
        <v>2562</v>
      </c>
      <c r="BH454" s="7">
        <v>55.440199999999997</v>
      </c>
      <c r="BJ454" s="7">
        <f>61.8059-BH454</f>
        <v>6.3657000000000039</v>
      </c>
    </row>
    <row r="455" spans="1:63" x14ac:dyDescent="0.2">
      <c r="A455" s="7">
        <v>105</v>
      </c>
      <c r="B455" s="7" t="s">
        <v>920</v>
      </c>
      <c r="C455" s="7" t="s">
        <v>919</v>
      </c>
      <c r="D455" s="7" t="s">
        <v>918</v>
      </c>
      <c r="E455" s="7" t="s">
        <v>917</v>
      </c>
      <c r="F455" s="7" t="s">
        <v>862</v>
      </c>
      <c r="G455" s="7">
        <v>2012</v>
      </c>
      <c r="H455" s="7">
        <v>40922</v>
      </c>
      <c r="I455" s="7" t="s">
        <v>916</v>
      </c>
      <c r="J455" s="7" t="s">
        <v>32</v>
      </c>
      <c r="K455" s="7" t="s">
        <v>915</v>
      </c>
      <c r="L455" s="7">
        <v>2</v>
      </c>
      <c r="M455" s="7" t="s">
        <v>32</v>
      </c>
      <c r="N455" s="7" t="s">
        <v>34</v>
      </c>
      <c r="O455" s="7" t="s">
        <v>190</v>
      </c>
      <c r="P455" s="7" t="s">
        <v>34</v>
      </c>
      <c r="Q455" s="7" t="s">
        <v>34</v>
      </c>
      <c r="R455" s="7" t="s">
        <v>34</v>
      </c>
      <c r="S455" s="7" t="s">
        <v>34</v>
      </c>
      <c r="T455" s="7" t="s">
        <v>34</v>
      </c>
      <c r="U455" s="7" t="s">
        <v>32</v>
      </c>
      <c r="V455" s="7">
        <v>1</v>
      </c>
      <c r="W455" s="7" t="s">
        <v>32</v>
      </c>
      <c r="X455" s="7" t="s">
        <v>32</v>
      </c>
      <c r="Y455" s="7" t="s">
        <v>32</v>
      </c>
      <c r="Z455" s="7" t="s">
        <v>32</v>
      </c>
      <c r="AA455" s="7">
        <v>22240323</v>
      </c>
      <c r="AB455" s="7">
        <v>1</v>
      </c>
      <c r="AD455" s="7">
        <v>4</v>
      </c>
      <c r="AE455" s="24">
        <v>26</v>
      </c>
      <c r="AF455" s="7">
        <v>13</v>
      </c>
      <c r="AG455" s="7">
        <v>13</v>
      </c>
      <c r="AH455" s="7" t="s">
        <v>1642</v>
      </c>
      <c r="AI455" s="7" t="s">
        <v>1642</v>
      </c>
      <c r="AJ455" s="7" t="s">
        <v>2537</v>
      </c>
      <c r="AK455" s="7">
        <v>150</v>
      </c>
      <c r="AM455" s="7" t="s">
        <v>2537</v>
      </c>
      <c r="AN455" s="7">
        <v>150</v>
      </c>
      <c r="AP455" s="7">
        <v>5</v>
      </c>
      <c r="AQ455" s="7" t="s">
        <v>1942</v>
      </c>
      <c r="AR455" s="7" t="s">
        <v>1637</v>
      </c>
      <c r="AS455" s="7" t="s">
        <v>1638</v>
      </c>
      <c r="AT455" s="7" t="s">
        <v>1640</v>
      </c>
      <c r="AU455" s="7" t="s">
        <v>178</v>
      </c>
      <c r="AV455" s="7" t="s">
        <v>1641</v>
      </c>
      <c r="AW455" s="7" t="s">
        <v>1639</v>
      </c>
      <c r="AX455" s="7" t="s">
        <v>1646</v>
      </c>
      <c r="AY455" s="7" t="s">
        <v>1662</v>
      </c>
      <c r="AZ455" s="7" t="s">
        <v>1650</v>
      </c>
      <c r="BA455" s="36">
        <v>321</v>
      </c>
      <c r="BB455" s="7">
        <v>313</v>
      </c>
      <c r="BC455" s="7" t="s">
        <v>2547</v>
      </c>
      <c r="BD455" s="7">
        <v>65.914199999999994</v>
      </c>
      <c r="BF455" s="7">
        <f>74.3115-BD455</f>
        <v>8.3973000000000013</v>
      </c>
      <c r="BG455" s="7" t="s">
        <v>2563</v>
      </c>
      <c r="BH455" s="7">
        <v>61.128700000000002</v>
      </c>
      <c r="BJ455" s="7">
        <f>69.1196-BH455</f>
        <v>7.9909000000000034</v>
      </c>
    </row>
    <row r="456" spans="1:63" x14ac:dyDescent="0.2">
      <c r="A456" s="7">
        <v>105</v>
      </c>
      <c r="B456" s="7" t="s">
        <v>920</v>
      </c>
      <c r="C456" s="7" t="s">
        <v>919</v>
      </c>
      <c r="D456" s="7" t="s">
        <v>918</v>
      </c>
      <c r="E456" s="7" t="s">
        <v>917</v>
      </c>
      <c r="F456" s="7" t="s">
        <v>862</v>
      </c>
      <c r="G456" s="7">
        <v>2012</v>
      </c>
      <c r="H456" s="7">
        <v>40922</v>
      </c>
      <c r="I456" s="7" t="s">
        <v>916</v>
      </c>
      <c r="J456" s="7" t="s">
        <v>32</v>
      </c>
      <c r="K456" s="7" t="s">
        <v>915</v>
      </c>
      <c r="L456" s="7">
        <v>2</v>
      </c>
      <c r="M456" s="7" t="s">
        <v>32</v>
      </c>
      <c r="N456" s="7" t="s">
        <v>34</v>
      </c>
      <c r="O456" s="7" t="s">
        <v>190</v>
      </c>
      <c r="P456" s="7" t="s">
        <v>34</v>
      </c>
      <c r="Q456" s="7" t="s">
        <v>34</v>
      </c>
      <c r="R456" s="7" t="s">
        <v>34</v>
      </c>
      <c r="S456" s="7" t="s">
        <v>34</v>
      </c>
      <c r="T456" s="7" t="s">
        <v>34</v>
      </c>
      <c r="U456" s="7" t="s">
        <v>32</v>
      </c>
      <c r="V456" s="7">
        <v>1</v>
      </c>
      <c r="W456" s="7" t="s">
        <v>32</v>
      </c>
      <c r="X456" s="7" t="s">
        <v>32</v>
      </c>
      <c r="Y456" s="7" t="s">
        <v>32</v>
      </c>
      <c r="Z456" s="7" t="s">
        <v>32</v>
      </c>
      <c r="AA456" s="7">
        <v>22240323</v>
      </c>
      <c r="AB456" s="7">
        <v>1</v>
      </c>
      <c r="AD456" s="7">
        <v>4</v>
      </c>
      <c r="AE456" s="24">
        <v>26</v>
      </c>
      <c r="AF456" s="7">
        <v>13</v>
      </c>
      <c r="AG456" s="7">
        <v>13</v>
      </c>
      <c r="AH456" s="7" t="s">
        <v>1642</v>
      </c>
      <c r="AI456" s="7" t="s">
        <v>1642</v>
      </c>
      <c r="AJ456" s="7" t="s">
        <v>2537</v>
      </c>
      <c r="AK456" s="7">
        <v>150</v>
      </c>
      <c r="AM456" s="7" t="s">
        <v>2537</v>
      </c>
      <c r="AN456" s="7">
        <v>150</v>
      </c>
      <c r="AP456" s="7">
        <v>5</v>
      </c>
      <c r="AQ456" s="7" t="s">
        <v>1942</v>
      </c>
      <c r="AR456" s="7" t="s">
        <v>1637</v>
      </c>
      <c r="AS456" s="7" t="s">
        <v>1638</v>
      </c>
      <c r="AT456" s="7" t="s">
        <v>1640</v>
      </c>
      <c r="AU456" s="7" t="s">
        <v>178</v>
      </c>
      <c r="AV456" s="7" t="s">
        <v>1653</v>
      </c>
      <c r="AW456" s="7" t="s">
        <v>1639</v>
      </c>
      <c r="AX456" s="7" t="s">
        <v>1646</v>
      </c>
      <c r="AY456" s="7" t="s">
        <v>1663</v>
      </c>
      <c r="AZ456" s="7" t="s">
        <v>1650</v>
      </c>
      <c r="BA456" s="36">
        <v>321</v>
      </c>
      <c r="BB456" s="7">
        <v>313</v>
      </c>
      <c r="BC456" s="7" t="s">
        <v>2488</v>
      </c>
      <c r="BD456" s="7">
        <v>65.924499999999995</v>
      </c>
      <c r="BF456" s="7">
        <f>72.5959-BD456</f>
        <v>6.6714000000000055</v>
      </c>
      <c r="BG456" s="7" t="s">
        <v>2493</v>
      </c>
      <c r="BH456" s="7">
        <v>38.645600000000002</v>
      </c>
      <c r="BJ456" s="7">
        <f>45.4176-BH456</f>
        <v>6.7719999999999985</v>
      </c>
    </row>
    <row r="457" spans="1:63" x14ac:dyDescent="0.2">
      <c r="A457" s="7">
        <v>105</v>
      </c>
      <c r="B457" s="7" t="s">
        <v>920</v>
      </c>
      <c r="C457" s="7" t="s">
        <v>919</v>
      </c>
      <c r="D457" s="7" t="s">
        <v>918</v>
      </c>
      <c r="E457" s="7" t="s">
        <v>917</v>
      </c>
      <c r="F457" s="7" t="s">
        <v>862</v>
      </c>
      <c r="G457" s="7">
        <v>2012</v>
      </c>
      <c r="H457" s="7">
        <v>40922</v>
      </c>
      <c r="I457" s="7" t="s">
        <v>916</v>
      </c>
      <c r="J457" s="7" t="s">
        <v>32</v>
      </c>
      <c r="K457" s="7" t="s">
        <v>915</v>
      </c>
      <c r="L457" s="7">
        <v>2</v>
      </c>
      <c r="M457" s="7" t="s">
        <v>32</v>
      </c>
      <c r="N457" s="7" t="s">
        <v>34</v>
      </c>
      <c r="O457" s="7" t="s">
        <v>190</v>
      </c>
      <c r="P457" s="7" t="s">
        <v>34</v>
      </c>
      <c r="Q457" s="7" t="s">
        <v>34</v>
      </c>
      <c r="R457" s="7" t="s">
        <v>34</v>
      </c>
      <c r="S457" s="7" t="s">
        <v>34</v>
      </c>
      <c r="T457" s="7" t="s">
        <v>34</v>
      </c>
      <c r="U457" s="7" t="s">
        <v>32</v>
      </c>
      <c r="V457" s="7">
        <v>1</v>
      </c>
      <c r="W457" s="7" t="s">
        <v>32</v>
      </c>
      <c r="X457" s="7" t="s">
        <v>32</v>
      </c>
      <c r="Y457" s="7" t="s">
        <v>32</v>
      </c>
      <c r="Z457" s="7" t="s">
        <v>32</v>
      </c>
      <c r="AA457" s="7">
        <v>22240323</v>
      </c>
      <c r="AB457" s="7">
        <v>1</v>
      </c>
      <c r="AD457" s="7">
        <v>4</v>
      </c>
      <c r="AE457" s="24">
        <v>26</v>
      </c>
      <c r="AF457" s="7">
        <v>13</v>
      </c>
      <c r="AG457" s="7">
        <v>13</v>
      </c>
      <c r="AH457" s="7" t="s">
        <v>1642</v>
      </c>
      <c r="AI457" s="7" t="s">
        <v>1642</v>
      </c>
      <c r="AJ457" s="7" t="s">
        <v>2537</v>
      </c>
      <c r="AK457" s="7">
        <v>150</v>
      </c>
      <c r="AM457" s="7" t="s">
        <v>2537</v>
      </c>
      <c r="AN457" s="7">
        <v>150</v>
      </c>
      <c r="AP457" s="7">
        <v>5</v>
      </c>
      <c r="AQ457" s="7" t="s">
        <v>1942</v>
      </c>
      <c r="AR457" s="7" t="s">
        <v>1637</v>
      </c>
      <c r="AS457" s="7" t="s">
        <v>1638</v>
      </c>
      <c r="AT457" s="7" t="s">
        <v>1640</v>
      </c>
      <c r="AU457" s="7" t="s">
        <v>178</v>
      </c>
      <c r="AV457" s="7" t="s">
        <v>1653</v>
      </c>
      <c r="AW457" s="7" t="s">
        <v>1639</v>
      </c>
      <c r="AX457" s="7" t="s">
        <v>1646</v>
      </c>
      <c r="AY457" s="7" t="s">
        <v>1664</v>
      </c>
      <c r="AZ457" s="7" t="s">
        <v>1650</v>
      </c>
      <c r="BA457" s="36">
        <v>321</v>
      </c>
      <c r="BB457" s="7">
        <v>313</v>
      </c>
      <c r="BC457" s="7" t="s">
        <v>2548</v>
      </c>
      <c r="BD457" s="7">
        <v>52.911999999999999</v>
      </c>
      <c r="BF457" s="7">
        <f>61.9413-BD457</f>
        <v>9.0292999999999992</v>
      </c>
      <c r="BG457" s="7" t="s">
        <v>2564</v>
      </c>
      <c r="BH457" s="7">
        <v>32.550800000000002</v>
      </c>
      <c r="BJ457" s="7">
        <f>41.4898-BH457</f>
        <v>8.9390000000000001</v>
      </c>
    </row>
    <row r="458" spans="1:63" x14ac:dyDescent="0.2">
      <c r="A458" s="7">
        <v>105</v>
      </c>
      <c r="B458" s="7" t="s">
        <v>920</v>
      </c>
      <c r="C458" s="7" t="s">
        <v>919</v>
      </c>
      <c r="D458" s="7" t="s">
        <v>918</v>
      </c>
      <c r="E458" s="7" t="s">
        <v>917</v>
      </c>
      <c r="F458" s="7" t="s">
        <v>862</v>
      </c>
      <c r="G458" s="7">
        <v>2012</v>
      </c>
      <c r="H458" s="7">
        <v>40922</v>
      </c>
      <c r="I458" s="7" t="s">
        <v>916</v>
      </c>
      <c r="J458" s="7" t="s">
        <v>32</v>
      </c>
      <c r="K458" s="7" t="s">
        <v>915</v>
      </c>
      <c r="L458" s="7">
        <v>2</v>
      </c>
      <c r="M458" s="7" t="s">
        <v>32</v>
      </c>
      <c r="N458" s="7" t="s">
        <v>34</v>
      </c>
      <c r="O458" s="7" t="s">
        <v>190</v>
      </c>
      <c r="P458" s="7" t="s">
        <v>34</v>
      </c>
      <c r="Q458" s="7" t="s">
        <v>34</v>
      </c>
      <c r="R458" s="7" t="s">
        <v>34</v>
      </c>
      <c r="S458" s="7" t="s">
        <v>34</v>
      </c>
      <c r="T458" s="7" t="s">
        <v>34</v>
      </c>
      <c r="U458" s="7" t="s">
        <v>32</v>
      </c>
      <c r="V458" s="7">
        <v>1</v>
      </c>
      <c r="W458" s="7" t="s">
        <v>32</v>
      </c>
      <c r="X458" s="7" t="s">
        <v>32</v>
      </c>
      <c r="Y458" s="7" t="s">
        <v>32</v>
      </c>
      <c r="Z458" s="7" t="s">
        <v>32</v>
      </c>
      <c r="AA458" s="7">
        <v>22240323</v>
      </c>
      <c r="AB458" s="7">
        <v>1</v>
      </c>
      <c r="AD458" s="7">
        <v>4</v>
      </c>
      <c r="AE458" s="24">
        <v>26</v>
      </c>
      <c r="AF458" s="7">
        <v>13</v>
      </c>
      <c r="AG458" s="7">
        <v>13</v>
      </c>
      <c r="AH458" s="7" t="s">
        <v>1642</v>
      </c>
      <c r="AI458" s="7" t="s">
        <v>1642</v>
      </c>
      <c r="AJ458" s="7" t="s">
        <v>2537</v>
      </c>
      <c r="AK458" s="7">
        <v>150</v>
      </c>
      <c r="AM458" s="7" t="s">
        <v>2537</v>
      </c>
      <c r="AN458" s="7">
        <v>150</v>
      </c>
      <c r="AP458" s="7">
        <v>5</v>
      </c>
      <c r="AQ458" s="7" t="s">
        <v>1942</v>
      </c>
      <c r="AR458" s="7" t="s">
        <v>1637</v>
      </c>
      <c r="AS458" s="7" t="s">
        <v>1638</v>
      </c>
      <c r="AT458" s="7" t="s">
        <v>1640</v>
      </c>
      <c r="AU458" s="7" t="s">
        <v>178</v>
      </c>
      <c r="AV458" s="7" t="s">
        <v>1653</v>
      </c>
      <c r="AW458" s="7" t="s">
        <v>1639</v>
      </c>
      <c r="AX458" s="7" t="s">
        <v>1646</v>
      </c>
      <c r="AY458" s="7" t="s">
        <v>1664</v>
      </c>
      <c r="AZ458" s="7" t="s">
        <v>1650</v>
      </c>
      <c r="BA458" s="36">
        <v>321</v>
      </c>
      <c r="BB458" s="7">
        <v>313</v>
      </c>
      <c r="BC458" s="7" t="s">
        <v>2549</v>
      </c>
      <c r="BD458" s="7">
        <v>40.180599999999998</v>
      </c>
      <c r="BF458" s="7">
        <f>48.5779-BD458</f>
        <v>8.3973000000000013</v>
      </c>
      <c r="BG458" s="7" t="s">
        <v>2580</v>
      </c>
      <c r="BH458" s="7">
        <v>25.6433</v>
      </c>
      <c r="BJ458" s="7">
        <f>32.4153-BH458</f>
        <v>6.772000000000002</v>
      </c>
    </row>
    <row r="459" spans="1:63" s="21" customFormat="1" x14ac:dyDescent="0.2">
      <c r="A459" s="21">
        <v>105</v>
      </c>
      <c r="B459" s="21" t="s">
        <v>920</v>
      </c>
      <c r="C459" s="21" t="s">
        <v>919</v>
      </c>
      <c r="D459" s="21" t="s">
        <v>918</v>
      </c>
      <c r="E459" s="21" t="s">
        <v>917</v>
      </c>
      <c r="F459" s="21" t="s">
        <v>862</v>
      </c>
      <c r="G459" s="21">
        <v>2012</v>
      </c>
      <c r="H459" s="21">
        <v>40922</v>
      </c>
      <c r="I459" s="21" t="s">
        <v>916</v>
      </c>
      <c r="J459" s="21" t="s">
        <v>32</v>
      </c>
      <c r="K459" s="21" t="s">
        <v>915</v>
      </c>
      <c r="L459" s="21">
        <v>2</v>
      </c>
      <c r="M459" s="21" t="s">
        <v>32</v>
      </c>
      <c r="N459" s="21" t="s">
        <v>34</v>
      </c>
      <c r="O459" s="21" t="s">
        <v>190</v>
      </c>
      <c r="P459" s="21" t="s">
        <v>34</v>
      </c>
      <c r="Q459" s="21" t="s">
        <v>34</v>
      </c>
      <c r="R459" s="21" t="s">
        <v>34</v>
      </c>
      <c r="S459" s="21" t="s">
        <v>34</v>
      </c>
      <c r="T459" s="21" t="s">
        <v>34</v>
      </c>
      <c r="U459" s="21" t="s">
        <v>32</v>
      </c>
      <c r="V459" s="21">
        <v>1</v>
      </c>
      <c r="W459" s="21" t="s">
        <v>32</v>
      </c>
      <c r="X459" s="21" t="s">
        <v>32</v>
      </c>
      <c r="Y459" s="21" t="s">
        <v>32</v>
      </c>
      <c r="Z459" s="21" t="s">
        <v>32</v>
      </c>
      <c r="AA459" s="21">
        <v>22240323</v>
      </c>
      <c r="AB459" s="21">
        <v>1</v>
      </c>
      <c r="AD459" s="21">
        <v>4</v>
      </c>
      <c r="AE459" s="23">
        <v>26</v>
      </c>
      <c r="AF459" s="21">
        <v>13</v>
      </c>
      <c r="AG459" s="21">
        <v>13</v>
      </c>
      <c r="AH459" s="21" t="s">
        <v>1642</v>
      </c>
      <c r="AI459" s="21" t="s">
        <v>1642</v>
      </c>
      <c r="AJ459" s="21" t="s">
        <v>2537</v>
      </c>
      <c r="AK459" s="21">
        <v>150</v>
      </c>
      <c r="AM459" s="21" t="s">
        <v>2537</v>
      </c>
      <c r="AN459" s="21">
        <v>150</v>
      </c>
      <c r="AP459" s="21">
        <v>5</v>
      </c>
      <c r="AQ459" s="21" t="s">
        <v>1942</v>
      </c>
      <c r="AR459" s="21" t="s">
        <v>1637</v>
      </c>
      <c r="AS459" s="21" t="s">
        <v>1638</v>
      </c>
      <c r="AT459" s="21" t="s">
        <v>1640</v>
      </c>
      <c r="AU459" s="21" t="s">
        <v>178</v>
      </c>
      <c r="AV459" s="21" t="s">
        <v>1653</v>
      </c>
      <c r="AW459" s="21" t="s">
        <v>1639</v>
      </c>
      <c r="AX459" s="21" t="s">
        <v>1646</v>
      </c>
      <c r="AY459" s="21" t="s">
        <v>1881</v>
      </c>
      <c r="AZ459" s="21" t="s">
        <v>1650</v>
      </c>
      <c r="BA459" s="38">
        <v>321</v>
      </c>
      <c r="BB459" s="21">
        <v>313</v>
      </c>
      <c r="BC459" s="21" t="s">
        <v>2550</v>
      </c>
      <c r="BD459" s="21">
        <v>26.546299999999999</v>
      </c>
      <c r="BF459" s="21">
        <f>33.9503-BD459</f>
        <v>7.4039999999999999</v>
      </c>
      <c r="BG459" s="21" t="s">
        <v>2568</v>
      </c>
      <c r="BH459" s="21">
        <v>26.275400000000001</v>
      </c>
      <c r="BJ459" s="21">
        <f>33.86-BH459</f>
        <v>7.5845999999999982</v>
      </c>
      <c r="BK459" s="40" t="s">
        <v>2781</v>
      </c>
    </row>
    <row r="460" spans="1:63" s="21" customFormat="1" x14ac:dyDescent="0.2">
      <c r="A460" s="21">
        <v>105</v>
      </c>
      <c r="B460" s="21" t="s">
        <v>920</v>
      </c>
      <c r="C460" s="21" t="s">
        <v>919</v>
      </c>
      <c r="D460" s="21" t="s">
        <v>918</v>
      </c>
      <c r="E460" s="21" t="s">
        <v>917</v>
      </c>
      <c r="F460" s="21" t="s">
        <v>862</v>
      </c>
      <c r="G460" s="21">
        <v>2012</v>
      </c>
      <c r="H460" s="21">
        <v>40922</v>
      </c>
      <c r="I460" s="21" t="s">
        <v>916</v>
      </c>
      <c r="J460" s="21" t="s">
        <v>32</v>
      </c>
      <c r="K460" s="21" t="s">
        <v>915</v>
      </c>
      <c r="L460" s="21">
        <v>2</v>
      </c>
      <c r="M460" s="21" t="s">
        <v>32</v>
      </c>
      <c r="N460" s="21" t="s">
        <v>34</v>
      </c>
      <c r="O460" s="21" t="s">
        <v>190</v>
      </c>
      <c r="P460" s="21" t="s">
        <v>34</v>
      </c>
      <c r="Q460" s="21" t="s">
        <v>34</v>
      </c>
      <c r="R460" s="21" t="s">
        <v>34</v>
      </c>
      <c r="S460" s="21" t="s">
        <v>34</v>
      </c>
      <c r="T460" s="21" t="s">
        <v>34</v>
      </c>
      <c r="U460" s="21" t="s">
        <v>32</v>
      </c>
      <c r="V460" s="21">
        <v>1</v>
      </c>
      <c r="W460" s="21" t="s">
        <v>32</v>
      </c>
      <c r="X460" s="21" t="s">
        <v>32</v>
      </c>
      <c r="Y460" s="21" t="s">
        <v>32</v>
      </c>
      <c r="Z460" s="21" t="s">
        <v>32</v>
      </c>
      <c r="AA460" s="21">
        <v>22240323</v>
      </c>
      <c r="AB460" s="21">
        <v>1</v>
      </c>
      <c r="AD460" s="21">
        <v>4</v>
      </c>
      <c r="AE460" s="23">
        <v>26</v>
      </c>
      <c r="AF460" s="21">
        <v>13</v>
      </c>
      <c r="AG460" s="21">
        <v>13</v>
      </c>
      <c r="AH460" s="21" t="s">
        <v>1642</v>
      </c>
      <c r="AI460" s="21" t="s">
        <v>1642</v>
      </c>
      <c r="AJ460" s="21" t="s">
        <v>2537</v>
      </c>
      <c r="AK460" s="21">
        <v>150</v>
      </c>
      <c r="AM460" s="21" t="s">
        <v>2537</v>
      </c>
      <c r="AN460" s="21">
        <v>150</v>
      </c>
      <c r="AP460" s="21">
        <v>5</v>
      </c>
      <c r="AQ460" s="21" t="s">
        <v>1942</v>
      </c>
      <c r="AR460" s="21" t="s">
        <v>1637</v>
      </c>
      <c r="AS460" s="21" t="s">
        <v>1638</v>
      </c>
      <c r="AT460" s="21" t="s">
        <v>1640</v>
      </c>
      <c r="AU460" s="21" t="s">
        <v>178</v>
      </c>
      <c r="AV460" s="21" t="s">
        <v>1653</v>
      </c>
      <c r="AW460" s="21" t="s">
        <v>1639</v>
      </c>
      <c r="AX460" s="21" t="s">
        <v>1646</v>
      </c>
      <c r="AY460" s="21" t="s">
        <v>1955</v>
      </c>
      <c r="AZ460" s="21" t="s">
        <v>1650</v>
      </c>
      <c r="BA460" s="38">
        <v>321</v>
      </c>
      <c r="BB460" s="21">
        <v>313</v>
      </c>
      <c r="BC460" s="21" t="s">
        <v>2551</v>
      </c>
      <c r="BD460" s="21">
        <v>35.575600000000001</v>
      </c>
      <c r="BF460" s="21">
        <f>43.3409-BD460</f>
        <v>7.7652999999999963</v>
      </c>
      <c r="BG460" s="21" t="s">
        <v>2578</v>
      </c>
      <c r="BH460" s="21">
        <v>25.823899999999998</v>
      </c>
      <c r="BJ460" s="21">
        <f>33.4086-BH460</f>
        <v>7.5847000000000016</v>
      </c>
      <c r="BK460" s="40" t="s">
        <v>2781</v>
      </c>
    </row>
    <row r="461" spans="1:63" s="21" customFormat="1" x14ac:dyDescent="0.2">
      <c r="A461" s="21">
        <v>105</v>
      </c>
      <c r="B461" s="21" t="s">
        <v>920</v>
      </c>
      <c r="C461" s="21" t="s">
        <v>919</v>
      </c>
      <c r="D461" s="21" t="s">
        <v>918</v>
      </c>
      <c r="E461" s="21" t="s">
        <v>917</v>
      </c>
      <c r="F461" s="21" t="s">
        <v>862</v>
      </c>
      <c r="G461" s="21">
        <v>2012</v>
      </c>
      <c r="H461" s="21">
        <v>40922</v>
      </c>
      <c r="I461" s="21" t="s">
        <v>916</v>
      </c>
      <c r="J461" s="21" t="s">
        <v>32</v>
      </c>
      <c r="K461" s="21" t="s">
        <v>915</v>
      </c>
      <c r="L461" s="21">
        <v>2</v>
      </c>
      <c r="M461" s="21" t="s">
        <v>32</v>
      </c>
      <c r="N461" s="21" t="s">
        <v>34</v>
      </c>
      <c r="O461" s="21" t="s">
        <v>190</v>
      </c>
      <c r="P461" s="21" t="s">
        <v>34</v>
      </c>
      <c r="Q461" s="21" t="s">
        <v>34</v>
      </c>
      <c r="R461" s="21" t="s">
        <v>34</v>
      </c>
      <c r="S461" s="21" t="s">
        <v>34</v>
      </c>
      <c r="T461" s="21" t="s">
        <v>34</v>
      </c>
      <c r="U461" s="21" t="s">
        <v>32</v>
      </c>
      <c r="V461" s="21">
        <v>1</v>
      </c>
      <c r="W461" s="21" t="s">
        <v>32</v>
      </c>
      <c r="X461" s="21" t="s">
        <v>32</v>
      </c>
      <c r="Y461" s="21" t="s">
        <v>32</v>
      </c>
      <c r="Z461" s="21" t="s">
        <v>32</v>
      </c>
      <c r="AA461" s="21">
        <v>22240323</v>
      </c>
      <c r="AB461" s="21">
        <v>1</v>
      </c>
      <c r="AD461" s="21">
        <v>4</v>
      </c>
      <c r="AE461" s="23">
        <v>26</v>
      </c>
      <c r="AF461" s="21">
        <v>13</v>
      </c>
      <c r="AG461" s="21">
        <v>13</v>
      </c>
      <c r="AH461" s="21" t="s">
        <v>1642</v>
      </c>
      <c r="AI461" s="21" t="s">
        <v>1642</v>
      </c>
      <c r="AJ461" s="21" t="s">
        <v>2537</v>
      </c>
      <c r="AK461" s="21">
        <v>150</v>
      </c>
      <c r="AM461" s="21" t="s">
        <v>2537</v>
      </c>
      <c r="AN461" s="21">
        <v>150</v>
      </c>
      <c r="AP461" s="21">
        <v>5</v>
      </c>
      <c r="AQ461" s="21" t="s">
        <v>1942</v>
      </c>
      <c r="AR461" s="21" t="s">
        <v>1637</v>
      </c>
      <c r="AS461" s="21" t="s">
        <v>1638</v>
      </c>
      <c r="AT461" s="21" t="s">
        <v>1640</v>
      </c>
      <c r="AU461" s="21" t="s">
        <v>178</v>
      </c>
      <c r="AV461" s="21" t="s">
        <v>1653</v>
      </c>
      <c r="AW461" s="21" t="s">
        <v>1639</v>
      </c>
      <c r="AX461" s="21" t="s">
        <v>1646</v>
      </c>
      <c r="AY461" s="21" t="s">
        <v>1955</v>
      </c>
      <c r="AZ461" s="21" t="s">
        <v>1650</v>
      </c>
      <c r="BA461" s="38">
        <v>321</v>
      </c>
      <c r="BB461" s="21">
        <v>313</v>
      </c>
      <c r="BC461" s="21" t="s">
        <v>2552</v>
      </c>
      <c r="BD461" s="21">
        <v>31.602699999999999</v>
      </c>
      <c r="BF461" s="21">
        <f>42.4379-BD461</f>
        <v>10.8352</v>
      </c>
      <c r="BG461" s="21" t="s">
        <v>2579</v>
      </c>
      <c r="BH461" s="21">
        <v>43.882599999999996</v>
      </c>
      <c r="BJ461" s="21">
        <f>54.2664-BH461</f>
        <v>10.383800000000001</v>
      </c>
      <c r="BK461" s="40" t="s">
        <v>2781</v>
      </c>
    </row>
    <row r="462" spans="1:63" s="21" customFormat="1" x14ac:dyDescent="0.2">
      <c r="A462" s="21">
        <v>105</v>
      </c>
      <c r="B462" s="21" t="s">
        <v>920</v>
      </c>
      <c r="C462" s="21" t="s">
        <v>919</v>
      </c>
      <c r="D462" s="21" t="s">
        <v>918</v>
      </c>
      <c r="E462" s="21" t="s">
        <v>917</v>
      </c>
      <c r="F462" s="21" t="s">
        <v>862</v>
      </c>
      <c r="G462" s="21">
        <v>2012</v>
      </c>
      <c r="H462" s="21">
        <v>40922</v>
      </c>
      <c r="I462" s="21" t="s">
        <v>916</v>
      </c>
      <c r="J462" s="21" t="s">
        <v>32</v>
      </c>
      <c r="K462" s="21" t="s">
        <v>915</v>
      </c>
      <c r="L462" s="21">
        <v>2</v>
      </c>
      <c r="M462" s="21" t="s">
        <v>32</v>
      </c>
      <c r="N462" s="21" t="s">
        <v>34</v>
      </c>
      <c r="O462" s="21" t="s">
        <v>190</v>
      </c>
      <c r="P462" s="21" t="s">
        <v>34</v>
      </c>
      <c r="Q462" s="21" t="s">
        <v>34</v>
      </c>
      <c r="R462" s="21" t="s">
        <v>34</v>
      </c>
      <c r="S462" s="21" t="s">
        <v>34</v>
      </c>
      <c r="T462" s="21" t="s">
        <v>34</v>
      </c>
      <c r="U462" s="21" t="s">
        <v>32</v>
      </c>
      <c r="V462" s="21">
        <v>1</v>
      </c>
      <c r="W462" s="21" t="s">
        <v>32</v>
      </c>
      <c r="X462" s="21" t="s">
        <v>32</v>
      </c>
      <c r="Y462" s="21" t="s">
        <v>32</v>
      </c>
      <c r="Z462" s="21" t="s">
        <v>32</v>
      </c>
      <c r="AA462" s="21">
        <v>22240323</v>
      </c>
      <c r="AB462" s="21">
        <v>1</v>
      </c>
      <c r="AD462" s="21">
        <v>4</v>
      </c>
      <c r="AE462" s="23">
        <v>26</v>
      </c>
      <c r="AF462" s="21">
        <v>13</v>
      </c>
      <c r="AG462" s="21">
        <v>13</v>
      </c>
      <c r="AH462" s="21" t="s">
        <v>1642</v>
      </c>
      <c r="AI462" s="21" t="s">
        <v>1642</v>
      </c>
      <c r="AJ462" s="21" t="s">
        <v>2537</v>
      </c>
      <c r="AK462" s="21">
        <v>150</v>
      </c>
      <c r="AM462" s="21" t="s">
        <v>2537</v>
      </c>
      <c r="AN462" s="21">
        <v>150</v>
      </c>
      <c r="AP462" s="21">
        <v>5</v>
      </c>
      <c r="AQ462" s="21" t="s">
        <v>1942</v>
      </c>
      <c r="AR462" s="21" t="s">
        <v>1637</v>
      </c>
      <c r="AS462" s="21" t="s">
        <v>1638</v>
      </c>
      <c r="AT462" s="21" t="s">
        <v>1640</v>
      </c>
      <c r="AU462" s="21" t="s">
        <v>178</v>
      </c>
      <c r="AV462" s="21" t="s">
        <v>2095</v>
      </c>
      <c r="AW462" s="21" t="s">
        <v>1639</v>
      </c>
      <c r="AX462" s="21" t="s">
        <v>1646</v>
      </c>
      <c r="AY462" s="21" t="s">
        <v>1663</v>
      </c>
      <c r="AZ462" s="21" t="s">
        <v>1650</v>
      </c>
      <c r="BA462" s="38">
        <v>321</v>
      </c>
      <c r="BB462" s="21">
        <v>313</v>
      </c>
      <c r="BC462" s="21" t="s">
        <v>2553</v>
      </c>
      <c r="BD462" s="21">
        <v>64.992800000000003</v>
      </c>
      <c r="BF462" s="21">
        <f>74.0832-BD462</f>
        <v>9.0904000000000025</v>
      </c>
      <c r="BG462" s="21" t="s">
        <v>2569</v>
      </c>
      <c r="BH462" s="21">
        <v>38.453200000000002</v>
      </c>
      <c r="BJ462" s="21">
        <f>47.6907-BH462</f>
        <v>9.2374999999999972</v>
      </c>
      <c r="BK462" s="40" t="s">
        <v>2545</v>
      </c>
    </row>
    <row r="463" spans="1:63" s="21" customFormat="1" x14ac:dyDescent="0.2">
      <c r="A463" s="21">
        <v>105</v>
      </c>
      <c r="B463" s="21" t="s">
        <v>920</v>
      </c>
      <c r="C463" s="21" t="s">
        <v>919</v>
      </c>
      <c r="D463" s="21" t="s">
        <v>918</v>
      </c>
      <c r="E463" s="21" t="s">
        <v>917</v>
      </c>
      <c r="F463" s="21" t="s">
        <v>862</v>
      </c>
      <c r="G463" s="21">
        <v>2012</v>
      </c>
      <c r="H463" s="21">
        <v>40922</v>
      </c>
      <c r="I463" s="21" t="s">
        <v>916</v>
      </c>
      <c r="J463" s="21" t="s">
        <v>32</v>
      </c>
      <c r="K463" s="21" t="s">
        <v>915</v>
      </c>
      <c r="L463" s="21">
        <v>2</v>
      </c>
      <c r="M463" s="21" t="s">
        <v>32</v>
      </c>
      <c r="N463" s="21" t="s">
        <v>34</v>
      </c>
      <c r="O463" s="21" t="s">
        <v>190</v>
      </c>
      <c r="P463" s="21" t="s">
        <v>34</v>
      </c>
      <c r="Q463" s="21" t="s">
        <v>34</v>
      </c>
      <c r="R463" s="21" t="s">
        <v>34</v>
      </c>
      <c r="S463" s="21" t="s">
        <v>34</v>
      </c>
      <c r="T463" s="21" t="s">
        <v>34</v>
      </c>
      <c r="U463" s="21" t="s">
        <v>32</v>
      </c>
      <c r="V463" s="21">
        <v>1</v>
      </c>
      <c r="W463" s="21" t="s">
        <v>32</v>
      </c>
      <c r="X463" s="21" t="s">
        <v>32</v>
      </c>
      <c r="Y463" s="21" t="s">
        <v>32</v>
      </c>
      <c r="Z463" s="21" t="s">
        <v>32</v>
      </c>
      <c r="AA463" s="21">
        <v>22240323</v>
      </c>
      <c r="AB463" s="21">
        <v>1</v>
      </c>
      <c r="AD463" s="21">
        <v>4</v>
      </c>
      <c r="AE463" s="23">
        <v>26</v>
      </c>
      <c r="AF463" s="21">
        <v>13</v>
      </c>
      <c r="AG463" s="21">
        <v>13</v>
      </c>
      <c r="AH463" s="21" t="s">
        <v>1642</v>
      </c>
      <c r="AI463" s="21" t="s">
        <v>1642</v>
      </c>
      <c r="AJ463" s="21" t="s">
        <v>2537</v>
      </c>
      <c r="AK463" s="21">
        <v>150</v>
      </c>
      <c r="AM463" s="21" t="s">
        <v>2537</v>
      </c>
      <c r="AN463" s="21">
        <v>150</v>
      </c>
      <c r="AP463" s="21">
        <v>5</v>
      </c>
      <c r="AQ463" s="21" t="s">
        <v>1942</v>
      </c>
      <c r="AR463" s="21" t="s">
        <v>1637</v>
      </c>
      <c r="AS463" s="21" t="s">
        <v>1638</v>
      </c>
      <c r="AT463" s="21" t="s">
        <v>1640</v>
      </c>
      <c r="AU463" s="21" t="s">
        <v>178</v>
      </c>
      <c r="AV463" s="21" t="s">
        <v>2095</v>
      </c>
      <c r="AW463" s="21" t="s">
        <v>1639</v>
      </c>
      <c r="AX463" s="21" t="s">
        <v>1646</v>
      </c>
      <c r="AY463" s="21" t="s">
        <v>1664</v>
      </c>
      <c r="AZ463" s="21" t="s">
        <v>1650</v>
      </c>
      <c r="BA463" s="38">
        <v>321</v>
      </c>
      <c r="BB463" s="21">
        <v>313</v>
      </c>
      <c r="BC463" s="21" t="s">
        <v>2554</v>
      </c>
      <c r="BD463" s="21">
        <v>59.732599999999998</v>
      </c>
      <c r="BF463" s="21">
        <f>70.1432-BD463</f>
        <v>10.410599999999995</v>
      </c>
      <c r="BG463" s="21" t="s">
        <v>2570</v>
      </c>
      <c r="BH463" s="21">
        <v>33.779499999999999</v>
      </c>
      <c r="BJ463" s="21">
        <f>44.3367-BH463</f>
        <v>10.557200000000002</v>
      </c>
      <c r="BK463" s="40" t="s">
        <v>2545</v>
      </c>
    </row>
    <row r="464" spans="1:63" s="21" customFormat="1" x14ac:dyDescent="0.2">
      <c r="A464" s="21">
        <v>105</v>
      </c>
      <c r="B464" s="21" t="s">
        <v>920</v>
      </c>
      <c r="C464" s="21" t="s">
        <v>919</v>
      </c>
      <c r="D464" s="21" t="s">
        <v>918</v>
      </c>
      <c r="E464" s="21" t="s">
        <v>917</v>
      </c>
      <c r="F464" s="21" t="s">
        <v>862</v>
      </c>
      <c r="G464" s="21">
        <v>2012</v>
      </c>
      <c r="H464" s="21">
        <v>40922</v>
      </c>
      <c r="I464" s="21" t="s">
        <v>916</v>
      </c>
      <c r="J464" s="21" t="s">
        <v>32</v>
      </c>
      <c r="K464" s="21" t="s">
        <v>915</v>
      </c>
      <c r="L464" s="21">
        <v>2</v>
      </c>
      <c r="M464" s="21" t="s">
        <v>32</v>
      </c>
      <c r="N464" s="21" t="s">
        <v>34</v>
      </c>
      <c r="O464" s="21" t="s">
        <v>190</v>
      </c>
      <c r="P464" s="21" t="s">
        <v>34</v>
      </c>
      <c r="Q464" s="21" t="s">
        <v>34</v>
      </c>
      <c r="R464" s="21" t="s">
        <v>34</v>
      </c>
      <c r="S464" s="21" t="s">
        <v>34</v>
      </c>
      <c r="T464" s="21" t="s">
        <v>34</v>
      </c>
      <c r="U464" s="21" t="s">
        <v>32</v>
      </c>
      <c r="V464" s="21">
        <v>1</v>
      </c>
      <c r="W464" s="21" t="s">
        <v>32</v>
      </c>
      <c r="X464" s="21" t="s">
        <v>32</v>
      </c>
      <c r="Y464" s="21" t="s">
        <v>32</v>
      </c>
      <c r="Z464" s="21" t="s">
        <v>32</v>
      </c>
      <c r="AA464" s="21">
        <v>22240323</v>
      </c>
      <c r="AB464" s="21">
        <v>1</v>
      </c>
      <c r="AD464" s="21">
        <v>4</v>
      </c>
      <c r="AE464" s="23">
        <v>26</v>
      </c>
      <c r="AF464" s="21">
        <v>13</v>
      </c>
      <c r="AG464" s="21">
        <v>13</v>
      </c>
      <c r="AH464" s="21" t="s">
        <v>1642</v>
      </c>
      <c r="AI464" s="21" t="s">
        <v>1642</v>
      </c>
      <c r="AJ464" s="21" t="s">
        <v>2537</v>
      </c>
      <c r="AK464" s="21">
        <v>150</v>
      </c>
      <c r="AM464" s="21" t="s">
        <v>2537</v>
      </c>
      <c r="AN464" s="21">
        <v>150</v>
      </c>
      <c r="AP464" s="21">
        <v>5</v>
      </c>
      <c r="AQ464" s="21" t="s">
        <v>1942</v>
      </c>
      <c r="AR464" s="21" t="s">
        <v>1637</v>
      </c>
      <c r="AS464" s="21" t="s">
        <v>1638</v>
      </c>
      <c r="AT464" s="21" t="s">
        <v>1640</v>
      </c>
      <c r="AU464" s="21" t="s">
        <v>178</v>
      </c>
      <c r="AV464" s="21" t="s">
        <v>2095</v>
      </c>
      <c r="AW464" s="21" t="s">
        <v>1639</v>
      </c>
      <c r="AX464" s="21" t="s">
        <v>1646</v>
      </c>
      <c r="AY464" s="21" t="s">
        <v>1664</v>
      </c>
      <c r="AZ464" s="21" t="s">
        <v>1650</v>
      </c>
      <c r="BA464" s="38">
        <v>321</v>
      </c>
      <c r="BB464" s="21">
        <v>313</v>
      </c>
      <c r="BC464" s="21" t="s">
        <v>2555</v>
      </c>
      <c r="BD464" s="21">
        <v>86.767200000000003</v>
      </c>
      <c r="BF464" s="21">
        <f>95.2714-BD464</f>
        <v>8.5041999999999973</v>
      </c>
      <c r="BG464" s="21" t="s">
        <v>2571</v>
      </c>
      <c r="BH464" s="21">
        <v>45.711500000000001</v>
      </c>
      <c r="BJ464" s="21">
        <f>54.3626-BH464</f>
        <v>8.6510999999999996</v>
      </c>
      <c r="BK464" s="40" t="s">
        <v>2545</v>
      </c>
    </row>
    <row r="465" spans="1:63" s="21" customFormat="1" x14ac:dyDescent="0.2">
      <c r="A465" s="21">
        <v>105</v>
      </c>
      <c r="B465" s="21" t="s">
        <v>920</v>
      </c>
      <c r="C465" s="21" t="s">
        <v>919</v>
      </c>
      <c r="D465" s="21" t="s">
        <v>918</v>
      </c>
      <c r="E465" s="21" t="s">
        <v>917</v>
      </c>
      <c r="F465" s="21" t="s">
        <v>862</v>
      </c>
      <c r="G465" s="21">
        <v>2012</v>
      </c>
      <c r="H465" s="21">
        <v>40922</v>
      </c>
      <c r="I465" s="21" t="s">
        <v>916</v>
      </c>
      <c r="J465" s="21" t="s">
        <v>32</v>
      </c>
      <c r="K465" s="21" t="s">
        <v>915</v>
      </c>
      <c r="L465" s="21">
        <v>2</v>
      </c>
      <c r="M465" s="21" t="s">
        <v>32</v>
      </c>
      <c r="N465" s="21" t="s">
        <v>34</v>
      </c>
      <c r="O465" s="21" t="s">
        <v>190</v>
      </c>
      <c r="P465" s="21" t="s">
        <v>34</v>
      </c>
      <c r="Q465" s="21" t="s">
        <v>34</v>
      </c>
      <c r="R465" s="21" t="s">
        <v>34</v>
      </c>
      <c r="S465" s="21" t="s">
        <v>34</v>
      </c>
      <c r="T465" s="21" t="s">
        <v>34</v>
      </c>
      <c r="U465" s="21" t="s">
        <v>32</v>
      </c>
      <c r="V465" s="21">
        <v>1</v>
      </c>
      <c r="W465" s="21" t="s">
        <v>32</v>
      </c>
      <c r="X465" s="21" t="s">
        <v>32</v>
      </c>
      <c r="Y465" s="21" t="s">
        <v>32</v>
      </c>
      <c r="Z465" s="21" t="s">
        <v>32</v>
      </c>
      <c r="AA465" s="21">
        <v>22240323</v>
      </c>
      <c r="AB465" s="21">
        <v>1</v>
      </c>
      <c r="AD465" s="21">
        <v>4</v>
      </c>
      <c r="AE465" s="23">
        <v>26</v>
      </c>
      <c r="AF465" s="21">
        <v>13</v>
      </c>
      <c r="AG465" s="21">
        <v>13</v>
      </c>
      <c r="AH465" s="21" t="s">
        <v>1642</v>
      </c>
      <c r="AI465" s="21" t="s">
        <v>1642</v>
      </c>
      <c r="AJ465" s="21" t="s">
        <v>2537</v>
      </c>
      <c r="AK465" s="21">
        <v>150</v>
      </c>
      <c r="AM465" s="21" t="s">
        <v>2537</v>
      </c>
      <c r="AN465" s="21">
        <v>150</v>
      </c>
      <c r="AP465" s="21">
        <v>5</v>
      </c>
      <c r="AQ465" s="21" t="s">
        <v>1942</v>
      </c>
      <c r="AR465" s="21" t="s">
        <v>1637</v>
      </c>
      <c r="AS465" s="21" t="s">
        <v>1638</v>
      </c>
      <c r="AT465" s="21" t="s">
        <v>1640</v>
      </c>
      <c r="AU465" s="21" t="s">
        <v>178</v>
      </c>
      <c r="AV465" s="21" t="s">
        <v>2095</v>
      </c>
      <c r="AW465" s="21" t="s">
        <v>1639</v>
      </c>
      <c r="AX465" s="21" t="s">
        <v>1646</v>
      </c>
      <c r="AY465" s="21" t="s">
        <v>1664</v>
      </c>
      <c r="AZ465" s="21" t="s">
        <v>1650</v>
      </c>
      <c r="BA465" s="38">
        <v>321</v>
      </c>
      <c r="BB465" s="21">
        <v>313</v>
      </c>
      <c r="BC465" s="21" t="s">
        <v>2556</v>
      </c>
      <c r="BD465" s="21">
        <v>87.811999999999998</v>
      </c>
      <c r="BF465" s="21">
        <f>97.1964-BD465</f>
        <v>9.3843999999999994</v>
      </c>
      <c r="BG465" s="21" t="s">
        <v>2572</v>
      </c>
      <c r="BH465" s="21">
        <v>42.650500000000001</v>
      </c>
      <c r="BJ465" s="21">
        <f>52.181-BH465</f>
        <v>9.5304999999999964</v>
      </c>
      <c r="BK465" s="40" t="s">
        <v>2545</v>
      </c>
    </row>
    <row r="466" spans="1:63" s="21" customFormat="1" x14ac:dyDescent="0.2">
      <c r="A466" s="7">
        <v>105</v>
      </c>
      <c r="B466" s="7" t="s">
        <v>920</v>
      </c>
      <c r="C466" s="7" t="s">
        <v>919</v>
      </c>
      <c r="D466" s="7" t="s">
        <v>918</v>
      </c>
      <c r="E466" s="7" t="s">
        <v>917</v>
      </c>
      <c r="F466" s="7" t="s">
        <v>862</v>
      </c>
      <c r="G466" s="7">
        <v>2012</v>
      </c>
      <c r="H466" s="7">
        <v>40922</v>
      </c>
      <c r="I466" s="7" t="s">
        <v>916</v>
      </c>
      <c r="J466" s="7" t="s">
        <v>32</v>
      </c>
      <c r="K466" s="7" t="s">
        <v>915</v>
      </c>
      <c r="L466" s="7">
        <v>2</v>
      </c>
      <c r="M466" s="7" t="s">
        <v>32</v>
      </c>
      <c r="N466" s="7" t="s">
        <v>34</v>
      </c>
      <c r="O466" s="7" t="s">
        <v>190</v>
      </c>
      <c r="P466" s="7" t="s">
        <v>34</v>
      </c>
      <c r="Q466" s="7" t="s">
        <v>34</v>
      </c>
      <c r="R466" s="7" t="s">
        <v>34</v>
      </c>
      <c r="S466" s="7" t="s">
        <v>34</v>
      </c>
      <c r="T466" s="7" t="s">
        <v>34</v>
      </c>
      <c r="U466" s="7" t="s">
        <v>32</v>
      </c>
      <c r="V466" s="7">
        <v>1</v>
      </c>
      <c r="W466" s="7" t="s">
        <v>32</v>
      </c>
      <c r="X466" s="7" t="s">
        <v>32</v>
      </c>
      <c r="Y466" s="7" t="s">
        <v>32</v>
      </c>
      <c r="Z466" s="7" t="s">
        <v>32</v>
      </c>
      <c r="AA466" s="7">
        <v>22240323</v>
      </c>
      <c r="AB466" s="7">
        <v>1</v>
      </c>
      <c r="AC466" s="7"/>
      <c r="AD466" s="7">
        <v>4</v>
      </c>
      <c r="AE466" s="24">
        <v>16</v>
      </c>
      <c r="AF466" s="7">
        <v>8</v>
      </c>
      <c r="AG466" s="7">
        <v>8</v>
      </c>
      <c r="AH466" s="7" t="s">
        <v>1642</v>
      </c>
      <c r="AI466" s="7" t="s">
        <v>1642</v>
      </c>
      <c r="AJ466" s="7" t="s">
        <v>2537</v>
      </c>
      <c r="AK466" s="7">
        <v>150</v>
      </c>
      <c r="AL466" s="7"/>
      <c r="AM466" s="7" t="s">
        <v>2537</v>
      </c>
      <c r="AN466" s="7">
        <v>150</v>
      </c>
      <c r="AO466" s="7"/>
      <c r="AP466" s="7">
        <v>5</v>
      </c>
      <c r="AQ466" s="7" t="s">
        <v>1942</v>
      </c>
      <c r="AR466" s="7" t="s">
        <v>1637</v>
      </c>
      <c r="AS466" s="7" t="s">
        <v>1638</v>
      </c>
      <c r="AT466" s="7" t="s">
        <v>1640</v>
      </c>
      <c r="AU466" s="7" t="s">
        <v>178</v>
      </c>
      <c r="AV466" s="7" t="s">
        <v>1641</v>
      </c>
      <c r="AW466" s="7" t="s">
        <v>1639</v>
      </c>
      <c r="AX466" s="7" t="s">
        <v>1646</v>
      </c>
      <c r="AY466" s="36" t="s">
        <v>1662</v>
      </c>
      <c r="AZ466" s="21" t="s">
        <v>1650</v>
      </c>
      <c r="BA466" s="38">
        <v>322</v>
      </c>
      <c r="BB466" s="21">
        <v>314</v>
      </c>
      <c r="BC466" s="7" t="s">
        <v>2558</v>
      </c>
      <c r="BD466" s="21">
        <v>49.199199999999998</v>
      </c>
      <c r="BF466" s="21">
        <f>60.1643-BD466</f>
        <v>10.9651</v>
      </c>
      <c r="BG466" s="7" t="s">
        <v>2573</v>
      </c>
      <c r="BH466" s="21">
        <v>50.923999999999999</v>
      </c>
      <c r="BJ466" s="21">
        <f>61.6427-BH466</f>
        <v>10.718699999999998</v>
      </c>
      <c r="BK466" s="40"/>
    </row>
    <row r="467" spans="1:63" s="21" customFormat="1" x14ac:dyDescent="0.2">
      <c r="A467" s="7">
        <v>105</v>
      </c>
      <c r="B467" s="7" t="s">
        <v>920</v>
      </c>
      <c r="C467" s="7" t="s">
        <v>919</v>
      </c>
      <c r="D467" s="7" t="s">
        <v>918</v>
      </c>
      <c r="E467" s="7" t="s">
        <v>917</v>
      </c>
      <c r="F467" s="7" t="s">
        <v>862</v>
      </c>
      <c r="G467" s="7">
        <v>2012</v>
      </c>
      <c r="H467" s="7">
        <v>40922</v>
      </c>
      <c r="I467" s="7" t="s">
        <v>916</v>
      </c>
      <c r="J467" s="7" t="s">
        <v>32</v>
      </c>
      <c r="K467" s="7" t="s">
        <v>915</v>
      </c>
      <c r="L467" s="7">
        <v>2</v>
      </c>
      <c r="M467" s="7" t="s">
        <v>32</v>
      </c>
      <c r="N467" s="7" t="s">
        <v>34</v>
      </c>
      <c r="O467" s="7" t="s">
        <v>190</v>
      </c>
      <c r="P467" s="7" t="s">
        <v>34</v>
      </c>
      <c r="Q467" s="7" t="s">
        <v>34</v>
      </c>
      <c r="R467" s="7" t="s">
        <v>34</v>
      </c>
      <c r="S467" s="7" t="s">
        <v>34</v>
      </c>
      <c r="T467" s="7" t="s">
        <v>34</v>
      </c>
      <c r="U467" s="7" t="s">
        <v>32</v>
      </c>
      <c r="V467" s="7">
        <v>1</v>
      </c>
      <c r="W467" s="7" t="s">
        <v>32</v>
      </c>
      <c r="X467" s="7" t="s">
        <v>32</v>
      </c>
      <c r="Y467" s="7" t="s">
        <v>32</v>
      </c>
      <c r="Z467" s="7" t="s">
        <v>32</v>
      </c>
      <c r="AA467" s="7">
        <v>22240323</v>
      </c>
      <c r="AB467" s="7">
        <v>1</v>
      </c>
      <c r="AC467" s="7"/>
      <c r="AD467" s="7">
        <v>4</v>
      </c>
      <c r="AE467" s="24">
        <v>16</v>
      </c>
      <c r="AF467" s="7">
        <v>8</v>
      </c>
      <c r="AG467" s="7">
        <v>8</v>
      </c>
      <c r="AH467" s="7" t="s">
        <v>1642</v>
      </c>
      <c r="AI467" s="7" t="s">
        <v>1642</v>
      </c>
      <c r="AJ467" s="7" t="s">
        <v>2537</v>
      </c>
      <c r="AK467" s="7">
        <v>150</v>
      </c>
      <c r="AL467" s="7"/>
      <c r="AM467" s="7" t="s">
        <v>2537</v>
      </c>
      <c r="AN467" s="7">
        <v>150</v>
      </c>
      <c r="AO467" s="7"/>
      <c r="AP467" s="7">
        <v>5</v>
      </c>
      <c r="AQ467" s="7" t="s">
        <v>1942</v>
      </c>
      <c r="AR467" s="7" t="s">
        <v>1637</v>
      </c>
      <c r="AS467" s="7" t="s">
        <v>1638</v>
      </c>
      <c r="AT467" s="7" t="s">
        <v>1640</v>
      </c>
      <c r="AU467" s="7" t="s">
        <v>178</v>
      </c>
      <c r="AV467" s="7" t="s">
        <v>1641</v>
      </c>
      <c r="AW467" s="7" t="s">
        <v>1639</v>
      </c>
      <c r="AX467" s="7" t="s">
        <v>1646</v>
      </c>
      <c r="AY467" s="36" t="s">
        <v>1662</v>
      </c>
      <c r="AZ467" s="21" t="s">
        <v>1650</v>
      </c>
      <c r="BA467" s="38">
        <v>322</v>
      </c>
      <c r="BB467" s="21">
        <v>314</v>
      </c>
      <c r="BC467" s="7" t="s">
        <v>2559</v>
      </c>
      <c r="BD467" s="21">
        <v>71.622200000000007</v>
      </c>
      <c r="BF467" s="21">
        <f>81.9713-BD467</f>
        <v>10.349099999999993</v>
      </c>
      <c r="BG467" s="7" t="s">
        <v>2574</v>
      </c>
      <c r="BH467" s="21">
        <v>62.642699999999998</v>
      </c>
      <c r="BJ467" s="21">
        <f>72.731-BH467</f>
        <v>10.088299999999997</v>
      </c>
      <c r="BK467" s="40"/>
    </row>
    <row r="468" spans="1:63" s="21" customFormat="1" x14ac:dyDescent="0.2">
      <c r="A468" s="7">
        <v>105</v>
      </c>
      <c r="B468" s="7" t="s">
        <v>920</v>
      </c>
      <c r="C468" s="7" t="s">
        <v>919</v>
      </c>
      <c r="D468" s="7" t="s">
        <v>918</v>
      </c>
      <c r="E468" s="7" t="s">
        <v>917</v>
      </c>
      <c r="F468" s="7" t="s">
        <v>862</v>
      </c>
      <c r="G468" s="7">
        <v>2012</v>
      </c>
      <c r="H468" s="7">
        <v>40922</v>
      </c>
      <c r="I468" s="7" t="s">
        <v>916</v>
      </c>
      <c r="J468" s="7" t="s">
        <v>32</v>
      </c>
      <c r="K468" s="7" t="s">
        <v>915</v>
      </c>
      <c r="L468" s="7">
        <v>2</v>
      </c>
      <c r="M468" s="7" t="s">
        <v>32</v>
      </c>
      <c r="N468" s="7" t="s">
        <v>34</v>
      </c>
      <c r="O468" s="7" t="s">
        <v>190</v>
      </c>
      <c r="P468" s="7" t="s">
        <v>34</v>
      </c>
      <c r="Q468" s="7" t="s">
        <v>34</v>
      </c>
      <c r="R468" s="7" t="s">
        <v>34</v>
      </c>
      <c r="S468" s="7" t="s">
        <v>34</v>
      </c>
      <c r="T468" s="7" t="s">
        <v>34</v>
      </c>
      <c r="U468" s="7" t="s">
        <v>32</v>
      </c>
      <c r="V468" s="7">
        <v>1</v>
      </c>
      <c r="W468" s="7" t="s">
        <v>32</v>
      </c>
      <c r="X468" s="7" t="s">
        <v>32</v>
      </c>
      <c r="Y468" s="7" t="s">
        <v>32</v>
      </c>
      <c r="Z468" s="7" t="s">
        <v>32</v>
      </c>
      <c r="AA468" s="7">
        <v>22240323</v>
      </c>
      <c r="AB468" s="7">
        <v>1</v>
      </c>
      <c r="AC468" s="7"/>
      <c r="AD468" s="7">
        <v>4</v>
      </c>
      <c r="AE468" s="24">
        <v>16</v>
      </c>
      <c r="AF468" s="7">
        <v>8</v>
      </c>
      <c r="AG468" s="7">
        <v>8</v>
      </c>
      <c r="AH468" s="7" t="s">
        <v>1642</v>
      </c>
      <c r="AI468" s="7" t="s">
        <v>1642</v>
      </c>
      <c r="AJ468" s="7" t="s">
        <v>2537</v>
      </c>
      <c r="AK468" s="7">
        <v>150</v>
      </c>
      <c r="AL468" s="7"/>
      <c r="AM468" s="7" t="s">
        <v>2537</v>
      </c>
      <c r="AN468" s="7">
        <v>150</v>
      </c>
      <c r="AO468" s="7"/>
      <c r="AP468" s="7">
        <v>5</v>
      </c>
      <c r="AQ468" s="7" t="s">
        <v>1942</v>
      </c>
      <c r="AR468" s="7" t="s">
        <v>1637</v>
      </c>
      <c r="AS468" s="7" t="s">
        <v>1638</v>
      </c>
      <c r="AT468" s="7" t="s">
        <v>1640</v>
      </c>
      <c r="AU468" s="7" t="s">
        <v>178</v>
      </c>
      <c r="AV468" s="7" t="s">
        <v>1653</v>
      </c>
      <c r="AW468" s="7" t="s">
        <v>1639</v>
      </c>
      <c r="AX468" s="7" t="s">
        <v>1646</v>
      </c>
      <c r="AY468" s="36" t="s">
        <v>1663</v>
      </c>
      <c r="AZ468" s="21" t="s">
        <v>1650</v>
      </c>
      <c r="BA468" s="38">
        <v>322</v>
      </c>
      <c r="BB468" s="21">
        <v>314</v>
      </c>
      <c r="BC468" s="7" t="s">
        <v>2461</v>
      </c>
      <c r="BD468" s="21">
        <v>35.277200000000001</v>
      </c>
      <c r="BF468" s="21">
        <f>43.655-BD468</f>
        <v>8.3778000000000006</v>
      </c>
      <c r="BG468" s="7" t="s">
        <v>2479</v>
      </c>
      <c r="BH468" s="21">
        <v>18.891200000000001</v>
      </c>
      <c r="BJ468" s="21">
        <f>28.9938-BH468</f>
        <v>10.102599999999999</v>
      </c>
      <c r="BK468" s="40"/>
    </row>
    <row r="469" spans="1:63" s="21" customFormat="1" x14ac:dyDescent="0.2">
      <c r="A469" s="7">
        <v>105</v>
      </c>
      <c r="B469" s="7" t="s">
        <v>920</v>
      </c>
      <c r="C469" s="7" t="s">
        <v>919</v>
      </c>
      <c r="D469" s="7" t="s">
        <v>918</v>
      </c>
      <c r="E469" s="7" t="s">
        <v>917</v>
      </c>
      <c r="F469" s="7" t="s">
        <v>862</v>
      </c>
      <c r="G469" s="7">
        <v>2012</v>
      </c>
      <c r="H469" s="7">
        <v>40922</v>
      </c>
      <c r="I469" s="7" t="s">
        <v>916</v>
      </c>
      <c r="J469" s="7" t="s">
        <v>32</v>
      </c>
      <c r="K469" s="7" t="s">
        <v>915</v>
      </c>
      <c r="L469" s="7">
        <v>2</v>
      </c>
      <c r="M469" s="7" t="s">
        <v>32</v>
      </c>
      <c r="N469" s="7" t="s">
        <v>34</v>
      </c>
      <c r="O469" s="7" t="s">
        <v>190</v>
      </c>
      <c r="P469" s="7" t="s">
        <v>34</v>
      </c>
      <c r="Q469" s="7" t="s">
        <v>34</v>
      </c>
      <c r="R469" s="7" t="s">
        <v>34</v>
      </c>
      <c r="S469" s="7" t="s">
        <v>34</v>
      </c>
      <c r="T469" s="7" t="s">
        <v>34</v>
      </c>
      <c r="U469" s="7" t="s">
        <v>32</v>
      </c>
      <c r="V469" s="7">
        <v>1</v>
      </c>
      <c r="W469" s="7" t="s">
        <v>32</v>
      </c>
      <c r="X469" s="7" t="s">
        <v>32</v>
      </c>
      <c r="Y469" s="7" t="s">
        <v>32</v>
      </c>
      <c r="Z469" s="7" t="s">
        <v>32</v>
      </c>
      <c r="AA469" s="7">
        <v>22240323</v>
      </c>
      <c r="AB469" s="7">
        <v>1</v>
      </c>
      <c r="AC469" s="7"/>
      <c r="AD469" s="7">
        <v>4</v>
      </c>
      <c r="AE469" s="24">
        <v>16</v>
      </c>
      <c r="AF469" s="7">
        <v>8</v>
      </c>
      <c r="AG469" s="7">
        <v>8</v>
      </c>
      <c r="AH469" s="7" t="s">
        <v>1642</v>
      </c>
      <c r="AI469" s="7" t="s">
        <v>1642</v>
      </c>
      <c r="AJ469" s="7" t="s">
        <v>2537</v>
      </c>
      <c r="AK469" s="7">
        <v>150</v>
      </c>
      <c r="AL469" s="7"/>
      <c r="AM469" s="7" t="s">
        <v>2537</v>
      </c>
      <c r="AN469" s="7">
        <v>150</v>
      </c>
      <c r="AO469" s="7"/>
      <c r="AP469" s="7">
        <v>5</v>
      </c>
      <c r="AQ469" s="7" t="s">
        <v>1942</v>
      </c>
      <c r="AR469" s="7" t="s">
        <v>1637</v>
      </c>
      <c r="AS469" s="7" t="s">
        <v>1638</v>
      </c>
      <c r="AT469" s="7" t="s">
        <v>1640</v>
      </c>
      <c r="AU469" s="7" t="s">
        <v>178</v>
      </c>
      <c r="AV469" s="7" t="s">
        <v>1653</v>
      </c>
      <c r="AW469" s="7" t="s">
        <v>1639</v>
      </c>
      <c r="AX469" s="7" t="s">
        <v>1646</v>
      </c>
      <c r="AY469" s="36" t="s">
        <v>1664</v>
      </c>
      <c r="AZ469" s="21" t="s">
        <v>1650</v>
      </c>
      <c r="BA469" s="38">
        <v>322</v>
      </c>
      <c r="BB469" s="21">
        <v>314</v>
      </c>
      <c r="BC469" s="7" t="s">
        <v>2560</v>
      </c>
      <c r="BD469" s="21">
        <v>60.6571</v>
      </c>
      <c r="BF469" s="21">
        <f>72.2382-BD469</f>
        <v>11.581100000000006</v>
      </c>
      <c r="BG469" s="7" t="s">
        <v>2575</v>
      </c>
      <c r="BH469" s="21">
        <v>58.6858</v>
      </c>
      <c r="BJ469" s="21">
        <f>68.5421-BH469</f>
        <v>9.8563000000000045</v>
      </c>
      <c r="BK469" s="40"/>
    </row>
    <row r="470" spans="1:63" s="21" customFormat="1" x14ac:dyDescent="0.2">
      <c r="A470" s="7">
        <v>105</v>
      </c>
      <c r="B470" s="7" t="s">
        <v>920</v>
      </c>
      <c r="C470" s="7" t="s">
        <v>919</v>
      </c>
      <c r="D470" s="7" t="s">
        <v>918</v>
      </c>
      <c r="E470" s="7" t="s">
        <v>917</v>
      </c>
      <c r="F470" s="7" t="s">
        <v>862</v>
      </c>
      <c r="G470" s="7">
        <v>2012</v>
      </c>
      <c r="H470" s="7">
        <v>40922</v>
      </c>
      <c r="I470" s="7" t="s">
        <v>916</v>
      </c>
      <c r="J470" s="7" t="s">
        <v>32</v>
      </c>
      <c r="K470" s="7" t="s">
        <v>915</v>
      </c>
      <c r="L470" s="7">
        <v>2</v>
      </c>
      <c r="M470" s="7" t="s">
        <v>32</v>
      </c>
      <c r="N470" s="7" t="s">
        <v>34</v>
      </c>
      <c r="O470" s="7" t="s">
        <v>190</v>
      </c>
      <c r="P470" s="7" t="s">
        <v>34</v>
      </c>
      <c r="Q470" s="7" t="s">
        <v>34</v>
      </c>
      <c r="R470" s="7" t="s">
        <v>34</v>
      </c>
      <c r="S470" s="7" t="s">
        <v>34</v>
      </c>
      <c r="T470" s="7" t="s">
        <v>34</v>
      </c>
      <c r="U470" s="7" t="s">
        <v>32</v>
      </c>
      <c r="V470" s="7">
        <v>1</v>
      </c>
      <c r="W470" s="7" t="s">
        <v>32</v>
      </c>
      <c r="X470" s="7" t="s">
        <v>32</v>
      </c>
      <c r="Y470" s="7" t="s">
        <v>32</v>
      </c>
      <c r="Z470" s="7" t="s">
        <v>32</v>
      </c>
      <c r="AA470" s="7">
        <v>22240323</v>
      </c>
      <c r="AB470" s="7">
        <v>1</v>
      </c>
      <c r="AC470" s="7"/>
      <c r="AD470" s="7">
        <v>4</v>
      </c>
      <c r="AE470" s="24">
        <v>16</v>
      </c>
      <c r="AF470" s="7">
        <v>8</v>
      </c>
      <c r="AG470" s="7">
        <v>8</v>
      </c>
      <c r="AH470" s="7" t="s">
        <v>1642</v>
      </c>
      <c r="AI470" s="7" t="s">
        <v>1642</v>
      </c>
      <c r="AJ470" s="7" t="s">
        <v>2537</v>
      </c>
      <c r="AK470" s="7">
        <v>150</v>
      </c>
      <c r="AL470" s="7"/>
      <c r="AM470" s="7" t="s">
        <v>2537</v>
      </c>
      <c r="AN470" s="7">
        <v>150</v>
      </c>
      <c r="AO470" s="7"/>
      <c r="AP470" s="7">
        <v>5</v>
      </c>
      <c r="AQ470" s="7" t="s">
        <v>1942</v>
      </c>
      <c r="AR470" s="7" t="s">
        <v>1637</v>
      </c>
      <c r="AS470" s="7" t="s">
        <v>1638</v>
      </c>
      <c r="AT470" s="7" t="s">
        <v>1640</v>
      </c>
      <c r="AU470" s="7" t="s">
        <v>178</v>
      </c>
      <c r="AV470" s="7" t="s">
        <v>1653</v>
      </c>
      <c r="AW470" s="7" t="s">
        <v>1639</v>
      </c>
      <c r="AX470" s="7" t="s">
        <v>1646</v>
      </c>
      <c r="AY470" s="36" t="s">
        <v>1664</v>
      </c>
      <c r="AZ470" s="21" t="s">
        <v>1650</v>
      </c>
      <c r="BA470" s="38">
        <v>322</v>
      </c>
      <c r="BB470" s="21">
        <v>314</v>
      </c>
      <c r="BC470" s="7" t="s">
        <v>2561</v>
      </c>
      <c r="BD470" s="21">
        <v>69.527699999999996</v>
      </c>
      <c r="BF470" s="21">
        <f>77.7823-BD470</f>
        <v>8.2546000000000106</v>
      </c>
      <c r="BG470" s="7" t="s">
        <v>2576</v>
      </c>
      <c r="BH470" s="21">
        <v>50.308</v>
      </c>
      <c r="BJ470" s="21">
        <f>59.5483-BH470</f>
        <v>9.2402999999999977</v>
      </c>
      <c r="BK470" s="40"/>
    </row>
    <row r="471" spans="1:63" s="21" customFormat="1" x14ac:dyDescent="0.2">
      <c r="A471" s="7">
        <v>105</v>
      </c>
      <c r="B471" s="7" t="s">
        <v>920</v>
      </c>
      <c r="C471" s="7" t="s">
        <v>919</v>
      </c>
      <c r="D471" s="7" t="s">
        <v>918</v>
      </c>
      <c r="E471" s="7" t="s">
        <v>917</v>
      </c>
      <c r="F471" s="7" t="s">
        <v>862</v>
      </c>
      <c r="G471" s="7">
        <v>2012</v>
      </c>
      <c r="H471" s="7">
        <v>40922</v>
      </c>
      <c r="I471" s="7" t="s">
        <v>916</v>
      </c>
      <c r="J471" s="7" t="s">
        <v>32</v>
      </c>
      <c r="K471" s="7" t="s">
        <v>915</v>
      </c>
      <c r="L471" s="7">
        <v>2</v>
      </c>
      <c r="M471" s="7" t="s">
        <v>32</v>
      </c>
      <c r="N471" s="7" t="s">
        <v>34</v>
      </c>
      <c r="O471" s="7" t="s">
        <v>190</v>
      </c>
      <c r="P471" s="7" t="s">
        <v>34</v>
      </c>
      <c r="Q471" s="7" t="s">
        <v>34</v>
      </c>
      <c r="R471" s="7" t="s">
        <v>34</v>
      </c>
      <c r="S471" s="7" t="s">
        <v>34</v>
      </c>
      <c r="T471" s="7" t="s">
        <v>34</v>
      </c>
      <c r="U471" s="7" t="s">
        <v>32</v>
      </c>
      <c r="V471" s="7">
        <v>1</v>
      </c>
      <c r="W471" s="7" t="s">
        <v>32</v>
      </c>
      <c r="X471" s="7" t="s">
        <v>32</v>
      </c>
      <c r="Y471" s="7" t="s">
        <v>32</v>
      </c>
      <c r="Z471" s="7" t="s">
        <v>32</v>
      </c>
      <c r="AA471" s="7">
        <v>22240323</v>
      </c>
      <c r="AB471" s="7">
        <v>1</v>
      </c>
      <c r="AC471" s="7"/>
      <c r="AD471" s="7">
        <v>4</v>
      </c>
      <c r="AE471" s="24">
        <v>16</v>
      </c>
      <c r="AF471" s="7">
        <v>8</v>
      </c>
      <c r="AG471" s="7">
        <v>8</v>
      </c>
      <c r="AH471" s="7" t="s">
        <v>1642</v>
      </c>
      <c r="AI471" s="7" t="s">
        <v>1642</v>
      </c>
      <c r="AJ471" s="7" t="s">
        <v>2537</v>
      </c>
      <c r="AK471" s="7">
        <v>150</v>
      </c>
      <c r="AL471" s="7"/>
      <c r="AM471" s="7" t="s">
        <v>2537</v>
      </c>
      <c r="AN471" s="7">
        <v>150</v>
      </c>
      <c r="AO471" s="7"/>
      <c r="AP471" s="7">
        <v>5</v>
      </c>
      <c r="AQ471" s="7" t="s">
        <v>1942</v>
      </c>
      <c r="AR471" s="7" t="s">
        <v>1637</v>
      </c>
      <c r="AS471" s="7" t="s">
        <v>1638</v>
      </c>
      <c r="AT471" s="7" t="s">
        <v>1640</v>
      </c>
      <c r="AU471" s="7" t="s">
        <v>178</v>
      </c>
      <c r="AV471" s="7" t="s">
        <v>2095</v>
      </c>
      <c r="AW471" s="7" t="s">
        <v>1639</v>
      </c>
      <c r="AX471" s="7" t="s">
        <v>1646</v>
      </c>
      <c r="AY471" s="36" t="s">
        <v>1664</v>
      </c>
      <c r="AZ471" s="21" t="s">
        <v>1650</v>
      </c>
      <c r="BA471" s="38">
        <v>322</v>
      </c>
      <c r="BB471" s="21">
        <v>314</v>
      </c>
      <c r="BC471" s="21" t="s">
        <v>2557</v>
      </c>
      <c r="BD471" s="21">
        <v>82.217699999999994</v>
      </c>
      <c r="BF471" s="21">
        <f>93.1828-BD471</f>
        <v>10.965100000000007</v>
      </c>
      <c r="BG471" s="21" t="s">
        <v>2577</v>
      </c>
      <c r="BH471" s="21">
        <v>49.445599999999999</v>
      </c>
      <c r="BJ471" s="21">
        <f>59.9179-BH471</f>
        <v>10.472300000000004</v>
      </c>
      <c r="BK471" s="40"/>
    </row>
    <row r="472" spans="1:63" x14ac:dyDescent="0.2">
      <c r="A472" s="7">
        <v>106</v>
      </c>
      <c r="B472" s="7" t="s">
        <v>914</v>
      </c>
      <c r="C472" s="7" t="s">
        <v>913</v>
      </c>
      <c r="D472" s="7" t="s">
        <v>912</v>
      </c>
      <c r="E472" s="7" t="s">
        <v>911</v>
      </c>
      <c r="F472" s="7" t="s">
        <v>167</v>
      </c>
      <c r="G472" s="7">
        <v>2012</v>
      </c>
      <c r="H472" s="7">
        <v>40806</v>
      </c>
      <c r="I472" s="7" t="s">
        <v>32</v>
      </c>
      <c r="J472" s="7" t="s">
        <v>32</v>
      </c>
      <c r="K472" s="7" t="s">
        <v>910</v>
      </c>
      <c r="L472" s="7">
        <v>2</v>
      </c>
      <c r="M472" s="7" t="s">
        <v>32</v>
      </c>
      <c r="N472" s="7" t="s">
        <v>34</v>
      </c>
      <c r="O472" s="7" t="s">
        <v>190</v>
      </c>
      <c r="P472" s="7" t="s">
        <v>34</v>
      </c>
      <c r="Q472" s="7" t="s">
        <v>34</v>
      </c>
      <c r="R472" s="7" t="s">
        <v>34</v>
      </c>
      <c r="S472" s="7" t="s">
        <v>34</v>
      </c>
      <c r="T472" s="7" t="s">
        <v>34</v>
      </c>
      <c r="U472" s="7" t="s">
        <v>34</v>
      </c>
      <c r="V472" s="7">
        <v>1</v>
      </c>
      <c r="W472" s="7" t="s">
        <v>178</v>
      </c>
      <c r="X472" s="7">
        <v>1</v>
      </c>
      <c r="Y472" s="7" t="s">
        <v>909</v>
      </c>
      <c r="Z472" s="7" t="s">
        <v>908</v>
      </c>
      <c r="AA472" s="7">
        <v>21924297</v>
      </c>
      <c r="AB472" s="7">
        <v>1</v>
      </c>
      <c r="AD472" s="7">
        <v>4</v>
      </c>
      <c r="AE472" s="24">
        <v>32</v>
      </c>
      <c r="AF472" s="7">
        <v>10</v>
      </c>
      <c r="AG472" s="7">
        <v>22</v>
      </c>
      <c r="AH472" s="7" t="s">
        <v>1642</v>
      </c>
      <c r="AI472" s="7" t="s">
        <v>1642</v>
      </c>
      <c r="AK472" s="7">
        <v>130</v>
      </c>
      <c r="AN472" s="7">
        <v>130</v>
      </c>
      <c r="AP472" s="7">
        <v>5</v>
      </c>
      <c r="AQ472" s="7" t="s">
        <v>1787</v>
      </c>
      <c r="AR472" s="7" t="s">
        <v>1814</v>
      </c>
      <c r="AS472" s="7" t="s">
        <v>1667</v>
      </c>
      <c r="AT472" s="7" t="s">
        <v>1640</v>
      </c>
      <c r="AU472" s="7" t="s">
        <v>34</v>
      </c>
      <c r="AV472" s="7" t="s">
        <v>1876</v>
      </c>
      <c r="AW472" s="7" t="s">
        <v>1678</v>
      </c>
      <c r="AX472" s="7" t="s">
        <v>2581</v>
      </c>
      <c r="AY472" s="36" t="s">
        <v>1750</v>
      </c>
      <c r="AZ472" s="7" t="s">
        <v>1768</v>
      </c>
      <c r="BA472" s="36">
        <v>323</v>
      </c>
      <c r="BB472" s="7">
        <v>315</v>
      </c>
      <c r="BC472" s="7" t="s">
        <v>2582</v>
      </c>
      <c r="BD472" s="7">
        <v>81.076300000000003</v>
      </c>
      <c r="BF472" s="7">
        <f>84.9933-BD472</f>
        <v>3.9170000000000016</v>
      </c>
      <c r="BG472" s="7" t="s">
        <v>2584</v>
      </c>
      <c r="BH472" s="7">
        <v>13.0566</v>
      </c>
      <c r="BJ472" s="7">
        <f>15.919-BH472</f>
        <v>2.8624000000000009</v>
      </c>
    </row>
    <row r="473" spans="1:63" x14ac:dyDescent="0.2">
      <c r="A473" s="7">
        <v>106</v>
      </c>
      <c r="B473" s="7" t="s">
        <v>914</v>
      </c>
      <c r="C473" s="7" t="s">
        <v>913</v>
      </c>
      <c r="D473" s="7" t="s">
        <v>912</v>
      </c>
      <c r="E473" s="7" t="s">
        <v>911</v>
      </c>
      <c r="F473" s="7" t="s">
        <v>167</v>
      </c>
      <c r="G473" s="7">
        <v>2012</v>
      </c>
      <c r="H473" s="7">
        <v>40806</v>
      </c>
      <c r="I473" s="7" t="s">
        <v>32</v>
      </c>
      <c r="J473" s="7" t="s">
        <v>32</v>
      </c>
      <c r="K473" s="7" t="s">
        <v>910</v>
      </c>
      <c r="L473" s="7">
        <v>2</v>
      </c>
      <c r="M473" s="7" t="s">
        <v>32</v>
      </c>
      <c r="N473" s="7" t="s">
        <v>34</v>
      </c>
      <c r="O473" s="7" t="s">
        <v>190</v>
      </c>
      <c r="P473" s="7" t="s">
        <v>34</v>
      </c>
      <c r="Q473" s="7" t="s">
        <v>34</v>
      </c>
      <c r="R473" s="7" t="s">
        <v>34</v>
      </c>
      <c r="S473" s="7" t="s">
        <v>34</v>
      </c>
      <c r="T473" s="7" t="s">
        <v>34</v>
      </c>
      <c r="U473" s="7" t="s">
        <v>34</v>
      </c>
      <c r="V473" s="7">
        <v>1</v>
      </c>
      <c r="W473" s="7" t="s">
        <v>178</v>
      </c>
      <c r="X473" s="7">
        <v>1</v>
      </c>
      <c r="Y473" s="7" t="s">
        <v>909</v>
      </c>
      <c r="Z473" s="7" t="s">
        <v>908</v>
      </c>
      <c r="AA473" s="7">
        <v>21924297</v>
      </c>
      <c r="AB473" s="7">
        <v>1</v>
      </c>
      <c r="AD473" s="7">
        <v>4</v>
      </c>
      <c r="AE473" s="24">
        <v>32</v>
      </c>
      <c r="AF473" s="7">
        <v>10</v>
      </c>
      <c r="AG473" s="7">
        <v>22</v>
      </c>
      <c r="AH473" s="7" t="s">
        <v>1642</v>
      </c>
      <c r="AI473" s="7" t="s">
        <v>1642</v>
      </c>
      <c r="AK473" s="7">
        <v>130</v>
      </c>
      <c r="AN473" s="7">
        <v>130</v>
      </c>
      <c r="AP473" s="7">
        <v>5</v>
      </c>
      <c r="AQ473" s="7" t="s">
        <v>1787</v>
      </c>
      <c r="AR473" s="7" t="s">
        <v>1814</v>
      </c>
      <c r="AS473" s="7" t="s">
        <v>1667</v>
      </c>
      <c r="AT473" s="7" t="s">
        <v>1640</v>
      </c>
      <c r="AU473" s="7" t="s">
        <v>34</v>
      </c>
      <c r="AV473" s="7" t="s">
        <v>1876</v>
      </c>
      <c r="AW473" s="7" t="s">
        <v>1678</v>
      </c>
      <c r="AX473" s="7" t="s">
        <v>2581</v>
      </c>
      <c r="AY473" s="7" t="s">
        <v>1750</v>
      </c>
      <c r="AZ473" s="7" t="s">
        <v>1768</v>
      </c>
      <c r="BA473" s="36">
        <v>323</v>
      </c>
      <c r="BB473" s="7">
        <v>315</v>
      </c>
      <c r="BC473" s="7" t="s">
        <v>2583</v>
      </c>
      <c r="BD473" s="7">
        <v>60.6629</v>
      </c>
      <c r="BF473" s="7">
        <f>67.4423-BD473</f>
        <v>6.7794000000000025</v>
      </c>
      <c r="BG473" s="7" t="s">
        <v>2585</v>
      </c>
      <c r="BH473" s="7">
        <v>20.1373</v>
      </c>
      <c r="BJ473" s="7">
        <f>23.1503-BH473</f>
        <v>3.0130000000000017</v>
      </c>
    </row>
    <row r="474" spans="1:63" x14ac:dyDescent="0.2">
      <c r="A474" s="7">
        <v>106</v>
      </c>
      <c r="B474" s="7" t="s">
        <v>914</v>
      </c>
      <c r="C474" s="7" t="s">
        <v>913</v>
      </c>
      <c r="D474" s="7" t="s">
        <v>912</v>
      </c>
      <c r="E474" s="7" t="s">
        <v>911</v>
      </c>
      <c r="F474" s="7" t="s">
        <v>167</v>
      </c>
      <c r="G474" s="7">
        <v>2012</v>
      </c>
      <c r="H474" s="7">
        <v>40806</v>
      </c>
      <c r="I474" s="7" t="s">
        <v>32</v>
      </c>
      <c r="J474" s="7" t="s">
        <v>32</v>
      </c>
      <c r="K474" s="7" t="s">
        <v>910</v>
      </c>
      <c r="L474" s="7">
        <v>2</v>
      </c>
      <c r="M474" s="7" t="s">
        <v>32</v>
      </c>
      <c r="N474" s="7" t="s">
        <v>34</v>
      </c>
      <c r="O474" s="7" t="s">
        <v>190</v>
      </c>
      <c r="P474" s="7" t="s">
        <v>34</v>
      </c>
      <c r="Q474" s="7" t="s">
        <v>34</v>
      </c>
      <c r="R474" s="7" t="s">
        <v>34</v>
      </c>
      <c r="S474" s="7" t="s">
        <v>34</v>
      </c>
      <c r="T474" s="7" t="s">
        <v>34</v>
      </c>
      <c r="U474" s="7" t="s">
        <v>34</v>
      </c>
      <c r="V474" s="7">
        <v>1</v>
      </c>
      <c r="W474" s="7" t="s">
        <v>178</v>
      </c>
      <c r="X474" s="7">
        <v>1</v>
      </c>
      <c r="Y474" s="7" t="s">
        <v>909</v>
      </c>
      <c r="Z474" s="7" t="s">
        <v>908</v>
      </c>
      <c r="AA474" s="7">
        <v>21924297</v>
      </c>
      <c r="AB474" s="7">
        <v>1</v>
      </c>
      <c r="AD474" s="7">
        <v>4</v>
      </c>
      <c r="AE474" s="24">
        <v>18</v>
      </c>
      <c r="AF474" s="7">
        <v>10</v>
      </c>
      <c r="AG474" s="7">
        <v>8</v>
      </c>
      <c r="AH474" s="7" t="s">
        <v>1642</v>
      </c>
      <c r="AI474" s="7" t="s">
        <v>1642</v>
      </c>
      <c r="AK474" s="7">
        <v>130</v>
      </c>
      <c r="AN474" s="7">
        <v>130</v>
      </c>
      <c r="AP474" s="7">
        <v>5</v>
      </c>
      <c r="AQ474" s="7" t="s">
        <v>1787</v>
      </c>
      <c r="AR474" s="7" t="s">
        <v>1814</v>
      </c>
      <c r="AS474" s="7" t="s">
        <v>1667</v>
      </c>
      <c r="AT474" s="7" t="s">
        <v>1640</v>
      </c>
      <c r="AU474" s="7" t="s">
        <v>34</v>
      </c>
      <c r="AV474" s="7" t="s">
        <v>1876</v>
      </c>
      <c r="AW474" s="7" t="s">
        <v>1678</v>
      </c>
      <c r="AX474" s="7" t="s">
        <v>2581</v>
      </c>
      <c r="AY474" s="7" t="s">
        <v>1750</v>
      </c>
      <c r="AZ474" s="7" t="s">
        <v>1769</v>
      </c>
      <c r="BA474" s="36">
        <v>323</v>
      </c>
      <c r="BB474" s="7">
        <v>316</v>
      </c>
      <c r="BC474" s="7" t="s">
        <v>2582</v>
      </c>
      <c r="BD474" s="7">
        <v>81.076300000000003</v>
      </c>
      <c r="BF474" s="7">
        <f>84.9933-BD474</f>
        <v>3.9170000000000016</v>
      </c>
      <c r="BG474" s="7" t="s">
        <v>2586</v>
      </c>
      <c r="BH474" s="7">
        <v>61.642099999999999</v>
      </c>
      <c r="BJ474" s="7">
        <f>68.1202-BH474</f>
        <v>6.4780999999999977</v>
      </c>
      <c r="BK474" s="7"/>
    </row>
    <row r="475" spans="1:63" x14ac:dyDescent="0.2">
      <c r="A475" s="7">
        <v>106</v>
      </c>
      <c r="B475" s="7" t="s">
        <v>914</v>
      </c>
      <c r="C475" s="7" t="s">
        <v>913</v>
      </c>
      <c r="D475" s="7" t="s">
        <v>912</v>
      </c>
      <c r="E475" s="7" t="s">
        <v>911</v>
      </c>
      <c r="F475" s="7" t="s">
        <v>167</v>
      </c>
      <c r="G475" s="7">
        <v>2012</v>
      </c>
      <c r="H475" s="7">
        <v>40806</v>
      </c>
      <c r="I475" s="7" t="s">
        <v>32</v>
      </c>
      <c r="J475" s="7" t="s">
        <v>32</v>
      </c>
      <c r="K475" s="7" t="s">
        <v>910</v>
      </c>
      <c r="L475" s="7">
        <v>2</v>
      </c>
      <c r="M475" s="7" t="s">
        <v>32</v>
      </c>
      <c r="N475" s="7" t="s">
        <v>34</v>
      </c>
      <c r="O475" s="7" t="s">
        <v>190</v>
      </c>
      <c r="P475" s="7" t="s">
        <v>34</v>
      </c>
      <c r="Q475" s="7" t="s">
        <v>34</v>
      </c>
      <c r="R475" s="7" t="s">
        <v>34</v>
      </c>
      <c r="S475" s="7" t="s">
        <v>34</v>
      </c>
      <c r="T475" s="7" t="s">
        <v>34</v>
      </c>
      <c r="U475" s="7" t="s">
        <v>34</v>
      </c>
      <c r="V475" s="7">
        <v>1</v>
      </c>
      <c r="W475" s="7" t="s">
        <v>178</v>
      </c>
      <c r="X475" s="7">
        <v>1</v>
      </c>
      <c r="Y475" s="7" t="s">
        <v>909</v>
      </c>
      <c r="Z475" s="7" t="s">
        <v>908</v>
      </c>
      <c r="AA475" s="7">
        <v>21924297</v>
      </c>
      <c r="AB475" s="7">
        <v>1</v>
      </c>
      <c r="AD475" s="7">
        <v>4</v>
      </c>
      <c r="AE475" s="24">
        <v>18</v>
      </c>
      <c r="AF475" s="7">
        <v>10</v>
      </c>
      <c r="AG475" s="7">
        <v>8</v>
      </c>
      <c r="AH475" s="7" t="s">
        <v>1642</v>
      </c>
      <c r="AI475" s="7" t="s">
        <v>1642</v>
      </c>
      <c r="AK475" s="7">
        <v>130</v>
      </c>
      <c r="AN475" s="7">
        <v>130</v>
      </c>
      <c r="AP475" s="7">
        <v>5</v>
      </c>
      <c r="AQ475" s="7" t="s">
        <v>1787</v>
      </c>
      <c r="AR475" s="7" t="s">
        <v>1814</v>
      </c>
      <c r="AS475" s="7" t="s">
        <v>1667</v>
      </c>
      <c r="AT475" s="7" t="s">
        <v>1640</v>
      </c>
      <c r="AU475" s="7" t="s">
        <v>34</v>
      </c>
      <c r="AV475" s="7" t="s">
        <v>1876</v>
      </c>
      <c r="AW475" s="7" t="s">
        <v>1678</v>
      </c>
      <c r="AX475" s="7" t="s">
        <v>2581</v>
      </c>
      <c r="AY475" s="7" t="s">
        <v>1750</v>
      </c>
      <c r="AZ475" s="7" t="s">
        <v>1769</v>
      </c>
      <c r="BA475" s="36">
        <v>323</v>
      </c>
      <c r="BB475" s="7">
        <v>316</v>
      </c>
      <c r="BC475" s="7" t="s">
        <v>2583</v>
      </c>
      <c r="BD475" s="7">
        <v>60.6629</v>
      </c>
      <c r="BF475" s="7">
        <f>67.4423-BD475</f>
        <v>6.7794000000000025</v>
      </c>
      <c r="BG475" s="7" t="s">
        <v>2587</v>
      </c>
      <c r="BH475" s="7">
        <v>46.878100000000003</v>
      </c>
      <c r="BJ475" s="7">
        <f>56.9719-BH475</f>
        <v>10.093799999999995</v>
      </c>
      <c r="BK475" s="7"/>
    </row>
    <row r="476" spans="1:63" s="91" customFormat="1" x14ac:dyDescent="0.2">
      <c r="A476" s="91">
        <v>107</v>
      </c>
      <c r="B476" s="91" t="s">
        <v>907</v>
      </c>
      <c r="C476" s="91" t="s">
        <v>906</v>
      </c>
      <c r="D476" s="91" t="s">
        <v>905</v>
      </c>
      <c r="E476" s="91" t="s">
        <v>904</v>
      </c>
      <c r="F476" s="91" t="s">
        <v>862</v>
      </c>
      <c r="G476" s="91">
        <v>2011</v>
      </c>
      <c r="H476" s="91">
        <v>40743</v>
      </c>
      <c r="I476" s="91" t="s">
        <v>32</v>
      </c>
      <c r="J476" s="91" t="s">
        <v>32</v>
      </c>
      <c r="K476" s="91" t="s">
        <v>903</v>
      </c>
      <c r="L476" s="91">
        <v>2</v>
      </c>
      <c r="M476" s="91" t="s">
        <v>902</v>
      </c>
      <c r="N476" s="91" t="s">
        <v>34</v>
      </c>
      <c r="O476" s="91" t="s">
        <v>190</v>
      </c>
      <c r="P476" s="91" t="s">
        <v>34</v>
      </c>
      <c r="Q476" s="91" t="s">
        <v>34</v>
      </c>
      <c r="R476" s="91" t="s">
        <v>34</v>
      </c>
      <c r="S476" s="91" t="s">
        <v>34</v>
      </c>
      <c r="T476" s="91" t="s">
        <v>34</v>
      </c>
      <c r="U476" s="91" t="s">
        <v>32</v>
      </c>
      <c r="V476" s="91">
        <v>1</v>
      </c>
      <c r="W476" s="91" t="s">
        <v>32</v>
      </c>
      <c r="X476" s="91" t="s">
        <v>32</v>
      </c>
      <c r="Y476" s="91" t="s">
        <v>32</v>
      </c>
      <c r="Z476" s="91" t="s">
        <v>32</v>
      </c>
      <c r="AA476" s="91">
        <v>21764847</v>
      </c>
      <c r="AB476" s="91">
        <v>1</v>
      </c>
      <c r="AD476" s="91">
        <v>5</v>
      </c>
      <c r="AE476" s="92">
        <v>16</v>
      </c>
      <c r="AF476" s="91">
        <v>8</v>
      </c>
      <c r="AG476" s="91">
        <v>8</v>
      </c>
      <c r="AH476" s="91" t="s">
        <v>1642</v>
      </c>
      <c r="AI476" s="91" t="s">
        <v>1642</v>
      </c>
      <c r="AJ476" s="91" t="s">
        <v>1719</v>
      </c>
      <c r="AK476" s="91">
        <v>27.5</v>
      </c>
      <c r="AM476" s="91" t="s">
        <v>1719</v>
      </c>
      <c r="AN476" s="91">
        <v>27.5</v>
      </c>
      <c r="AP476" s="91">
        <v>1</v>
      </c>
      <c r="AQ476" s="91" t="s">
        <v>2589</v>
      </c>
      <c r="AR476" s="91" t="s">
        <v>1814</v>
      </c>
      <c r="AS476" s="91" t="s">
        <v>1638</v>
      </c>
      <c r="AT476" s="91" t="s">
        <v>2407</v>
      </c>
      <c r="AU476" s="91" t="s">
        <v>178</v>
      </c>
      <c r="AV476" s="91" t="s">
        <v>2040</v>
      </c>
      <c r="AW476" s="91" t="s">
        <v>1687</v>
      </c>
      <c r="AX476" s="91" t="s">
        <v>2588</v>
      </c>
      <c r="AY476" s="91" t="s">
        <v>1695</v>
      </c>
      <c r="AZ476" s="91" t="s">
        <v>1650</v>
      </c>
      <c r="BA476" s="91">
        <v>324</v>
      </c>
      <c r="BB476" s="91">
        <v>317</v>
      </c>
      <c r="BC476" s="91" t="s">
        <v>2591</v>
      </c>
      <c r="BD476" s="91">
        <v>35.934100000000001</v>
      </c>
      <c r="BF476" s="91">
        <f>42.0565-BD476</f>
        <v>6.122399999999999</v>
      </c>
      <c r="BG476" s="91" t="s">
        <v>2610</v>
      </c>
      <c r="BH476" s="91">
        <v>42.668799999999997</v>
      </c>
      <c r="BJ476" s="91">
        <f>46.4364-BH476</f>
        <v>3.7676000000000016</v>
      </c>
      <c r="BK476" s="93"/>
    </row>
    <row r="477" spans="1:63" x14ac:dyDescent="0.2">
      <c r="A477" s="7">
        <v>107</v>
      </c>
      <c r="B477" s="7" t="s">
        <v>907</v>
      </c>
      <c r="C477" s="7" t="s">
        <v>906</v>
      </c>
      <c r="D477" s="7" t="s">
        <v>905</v>
      </c>
      <c r="E477" s="7" t="s">
        <v>904</v>
      </c>
      <c r="F477" s="7" t="s">
        <v>862</v>
      </c>
      <c r="G477" s="7">
        <v>2011</v>
      </c>
      <c r="H477" s="7">
        <v>40743</v>
      </c>
      <c r="I477" s="7" t="s">
        <v>32</v>
      </c>
      <c r="J477" s="7" t="s">
        <v>32</v>
      </c>
      <c r="K477" s="7" t="s">
        <v>903</v>
      </c>
      <c r="L477" s="7">
        <v>2</v>
      </c>
      <c r="M477" s="7" t="s">
        <v>902</v>
      </c>
      <c r="N477" s="7" t="s">
        <v>34</v>
      </c>
      <c r="O477" s="7" t="s">
        <v>190</v>
      </c>
      <c r="P477" s="7" t="s">
        <v>34</v>
      </c>
      <c r="Q477" s="7" t="s">
        <v>34</v>
      </c>
      <c r="R477" s="7" t="s">
        <v>34</v>
      </c>
      <c r="S477" s="7" t="s">
        <v>34</v>
      </c>
      <c r="T477" s="7" t="s">
        <v>34</v>
      </c>
      <c r="U477" s="7" t="s">
        <v>32</v>
      </c>
      <c r="V477" s="7">
        <v>1</v>
      </c>
      <c r="W477" s="7" t="s">
        <v>32</v>
      </c>
      <c r="X477" s="7" t="s">
        <v>32</v>
      </c>
      <c r="Y477" s="7" t="s">
        <v>32</v>
      </c>
      <c r="Z477" s="7" t="s">
        <v>32</v>
      </c>
      <c r="AA477" s="7">
        <v>21764847</v>
      </c>
      <c r="AB477" s="7">
        <v>1</v>
      </c>
      <c r="AD477" s="7">
        <v>5</v>
      </c>
      <c r="AE477" s="24">
        <v>16</v>
      </c>
      <c r="AF477" s="7">
        <v>8</v>
      </c>
      <c r="AG477" s="7">
        <v>8</v>
      </c>
      <c r="AH477" s="7" t="s">
        <v>1642</v>
      </c>
      <c r="AI477" s="7" t="s">
        <v>1642</v>
      </c>
      <c r="AJ477" s="7" t="s">
        <v>1719</v>
      </c>
      <c r="AK477" s="7">
        <v>27.5</v>
      </c>
      <c r="AM477" s="7" t="s">
        <v>1719</v>
      </c>
      <c r="AN477" s="7">
        <v>27.5</v>
      </c>
      <c r="AP477" s="7">
        <v>1</v>
      </c>
      <c r="AQ477" s="7" t="s">
        <v>2589</v>
      </c>
      <c r="AR477" s="7" t="s">
        <v>1814</v>
      </c>
      <c r="AS477" s="7" t="s">
        <v>1638</v>
      </c>
      <c r="AT477" s="7" t="s">
        <v>2407</v>
      </c>
      <c r="AU477" s="7" t="s">
        <v>178</v>
      </c>
      <c r="AV477" s="7" t="s">
        <v>2040</v>
      </c>
      <c r="AW477" s="7" t="s">
        <v>1687</v>
      </c>
      <c r="AX477" s="7" t="s">
        <v>2588</v>
      </c>
      <c r="AY477" s="7" t="s">
        <v>1695</v>
      </c>
      <c r="AZ477" s="7" t="s">
        <v>1650</v>
      </c>
      <c r="BA477" s="7">
        <v>324</v>
      </c>
      <c r="BB477" s="7">
        <v>317</v>
      </c>
      <c r="BC477" s="7" t="s">
        <v>2592</v>
      </c>
      <c r="BD477" s="7">
        <v>29.9529</v>
      </c>
      <c r="BF477" s="7">
        <f>33.5793-BD477</f>
        <v>3.6264000000000038</v>
      </c>
      <c r="BG477" s="7" t="s">
        <v>2611</v>
      </c>
      <c r="BH477" s="7">
        <v>20.675000000000001</v>
      </c>
      <c r="BJ477" s="7">
        <f>24.6782-BH477</f>
        <v>4.0031999999999996</v>
      </c>
    </row>
    <row r="478" spans="1:63" x14ac:dyDescent="0.2">
      <c r="A478" s="7">
        <v>107</v>
      </c>
      <c r="B478" s="7" t="s">
        <v>907</v>
      </c>
      <c r="C478" s="7" t="s">
        <v>906</v>
      </c>
      <c r="D478" s="7" t="s">
        <v>905</v>
      </c>
      <c r="E478" s="7" t="s">
        <v>904</v>
      </c>
      <c r="F478" s="7" t="s">
        <v>862</v>
      </c>
      <c r="G478" s="7">
        <v>2011</v>
      </c>
      <c r="H478" s="7">
        <v>40743</v>
      </c>
      <c r="I478" s="7" t="s">
        <v>32</v>
      </c>
      <c r="J478" s="7" t="s">
        <v>32</v>
      </c>
      <c r="K478" s="7" t="s">
        <v>903</v>
      </c>
      <c r="L478" s="7">
        <v>2</v>
      </c>
      <c r="M478" s="7" t="s">
        <v>902</v>
      </c>
      <c r="N478" s="7" t="s">
        <v>34</v>
      </c>
      <c r="O478" s="7" t="s">
        <v>190</v>
      </c>
      <c r="P478" s="7" t="s">
        <v>34</v>
      </c>
      <c r="Q478" s="7" t="s">
        <v>34</v>
      </c>
      <c r="R478" s="7" t="s">
        <v>34</v>
      </c>
      <c r="S478" s="7" t="s">
        <v>34</v>
      </c>
      <c r="T478" s="7" t="s">
        <v>34</v>
      </c>
      <c r="U478" s="7" t="s">
        <v>32</v>
      </c>
      <c r="V478" s="7">
        <v>1</v>
      </c>
      <c r="W478" s="7" t="s">
        <v>32</v>
      </c>
      <c r="X478" s="7" t="s">
        <v>32</v>
      </c>
      <c r="Y478" s="7" t="s">
        <v>32</v>
      </c>
      <c r="Z478" s="7" t="s">
        <v>32</v>
      </c>
      <c r="AA478" s="7">
        <v>21764847</v>
      </c>
      <c r="AB478" s="7">
        <v>1</v>
      </c>
      <c r="AD478" s="7">
        <v>5</v>
      </c>
      <c r="AE478" s="24">
        <v>16</v>
      </c>
      <c r="AF478" s="7">
        <v>8</v>
      </c>
      <c r="AG478" s="7">
        <v>8</v>
      </c>
      <c r="AH478" s="7" t="s">
        <v>1642</v>
      </c>
      <c r="AI478" s="7" t="s">
        <v>1642</v>
      </c>
      <c r="AJ478" s="7" t="s">
        <v>1719</v>
      </c>
      <c r="AK478" s="7">
        <v>27.5</v>
      </c>
      <c r="AM478" s="7" t="s">
        <v>1719</v>
      </c>
      <c r="AN478" s="7">
        <v>27.5</v>
      </c>
      <c r="AP478" s="7">
        <v>1</v>
      </c>
      <c r="AQ478" s="7" t="s">
        <v>2589</v>
      </c>
      <c r="AR478" s="7" t="s">
        <v>1814</v>
      </c>
      <c r="AS478" s="7" t="s">
        <v>1638</v>
      </c>
      <c r="AT478" s="7" t="s">
        <v>2407</v>
      </c>
      <c r="AU478" s="7" t="s">
        <v>178</v>
      </c>
      <c r="AV478" s="7" t="s">
        <v>2041</v>
      </c>
      <c r="AW478" s="7" t="s">
        <v>1687</v>
      </c>
      <c r="AX478" s="7" t="s">
        <v>2588</v>
      </c>
      <c r="AY478" s="7" t="s">
        <v>1695</v>
      </c>
      <c r="AZ478" s="7" t="s">
        <v>1650</v>
      </c>
      <c r="BA478" s="7">
        <v>324</v>
      </c>
      <c r="BB478" s="7">
        <v>317</v>
      </c>
      <c r="BC478" s="7" t="s">
        <v>2593</v>
      </c>
      <c r="BD478" s="7">
        <v>39.654600000000002</v>
      </c>
      <c r="BF478" s="7">
        <f>46.5777-BD478</f>
        <v>6.923099999999998</v>
      </c>
      <c r="BG478" s="7" t="s">
        <v>2612</v>
      </c>
      <c r="BH478" s="7">
        <v>14.9765</v>
      </c>
      <c r="BJ478" s="7">
        <f>16.4364-BH478</f>
        <v>1.4598999999999993</v>
      </c>
    </row>
    <row r="479" spans="1:63" x14ac:dyDescent="0.2">
      <c r="A479" s="7">
        <v>107</v>
      </c>
      <c r="B479" s="7" t="s">
        <v>907</v>
      </c>
      <c r="C479" s="7" t="s">
        <v>906</v>
      </c>
      <c r="D479" s="7" t="s">
        <v>905</v>
      </c>
      <c r="E479" s="7" t="s">
        <v>904</v>
      </c>
      <c r="F479" s="7" t="s">
        <v>862</v>
      </c>
      <c r="G479" s="7">
        <v>2011</v>
      </c>
      <c r="H479" s="7">
        <v>40743</v>
      </c>
      <c r="I479" s="7" t="s">
        <v>32</v>
      </c>
      <c r="J479" s="7" t="s">
        <v>32</v>
      </c>
      <c r="K479" s="7" t="s">
        <v>903</v>
      </c>
      <c r="L479" s="7">
        <v>2</v>
      </c>
      <c r="M479" s="7" t="s">
        <v>902</v>
      </c>
      <c r="N479" s="7" t="s">
        <v>34</v>
      </c>
      <c r="O479" s="7" t="s">
        <v>190</v>
      </c>
      <c r="P479" s="7" t="s">
        <v>34</v>
      </c>
      <c r="Q479" s="7" t="s">
        <v>34</v>
      </c>
      <c r="R479" s="7" t="s">
        <v>34</v>
      </c>
      <c r="S479" s="7" t="s">
        <v>34</v>
      </c>
      <c r="T479" s="7" t="s">
        <v>34</v>
      </c>
      <c r="U479" s="7" t="s">
        <v>32</v>
      </c>
      <c r="V479" s="7">
        <v>1</v>
      </c>
      <c r="W479" s="7" t="s">
        <v>32</v>
      </c>
      <c r="X479" s="7" t="s">
        <v>32</v>
      </c>
      <c r="Y479" s="7" t="s">
        <v>32</v>
      </c>
      <c r="Z479" s="7" t="s">
        <v>32</v>
      </c>
      <c r="AA479" s="7">
        <v>21764847</v>
      </c>
      <c r="AB479" s="7">
        <v>1</v>
      </c>
      <c r="AD479" s="7">
        <v>5</v>
      </c>
      <c r="AE479" s="24">
        <v>16</v>
      </c>
      <c r="AF479" s="7">
        <v>8</v>
      </c>
      <c r="AG479" s="7">
        <v>8</v>
      </c>
      <c r="AH479" s="7" t="s">
        <v>1642</v>
      </c>
      <c r="AI479" s="7" t="s">
        <v>1642</v>
      </c>
      <c r="AJ479" s="7" t="s">
        <v>1719</v>
      </c>
      <c r="AK479" s="7">
        <v>27.5</v>
      </c>
      <c r="AM479" s="7" t="s">
        <v>1719</v>
      </c>
      <c r="AN479" s="7">
        <v>27.5</v>
      </c>
      <c r="AP479" s="7">
        <v>1</v>
      </c>
      <c r="AQ479" s="7" t="s">
        <v>2589</v>
      </c>
      <c r="AR479" s="7" t="s">
        <v>1814</v>
      </c>
      <c r="AS479" s="7" t="s">
        <v>1638</v>
      </c>
      <c r="AT479" s="7" t="s">
        <v>2407</v>
      </c>
      <c r="AU479" s="7" t="s">
        <v>178</v>
      </c>
      <c r="AV479" s="7" t="s">
        <v>2041</v>
      </c>
      <c r="AW479" s="7" t="s">
        <v>1687</v>
      </c>
      <c r="AX479" s="7" t="s">
        <v>2588</v>
      </c>
      <c r="AY479" s="7" t="s">
        <v>1695</v>
      </c>
      <c r="AZ479" s="7" t="s">
        <v>1650</v>
      </c>
      <c r="BA479" s="7">
        <v>324</v>
      </c>
      <c r="BB479" s="7">
        <v>317</v>
      </c>
      <c r="BC479" s="7" t="s">
        <v>2594</v>
      </c>
      <c r="BD479" s="7">
        <v>30.753499999999999</v>
      </c>
      <c r="BF479" s="7">
        <f>36.6405-BD479</f>
        <v>5.887000000000004</v>
      </c>
      <c r="BG479" s="7" t="s">
        <v>2613</v>
      </c>
      <c r="BH479" s="7">
        <v>15.73</v>
      </c>
      <c r="BJ479" s="7">
        <f>17.9906-BH479</f>
        <v>2.2606000000000002</v>
      </c>
    </row>
    <row r="480" spans="1:63" x14ac:dyDescent="0.2">
      <c r="A480" s="7">
        <v>107</v>
      </c>
      <c r="B480" s="7" t="s">
        <v>907</v>
      </c>
      <c r="C480" s="7" t="s">
        <v>906</v>
      </c>
      <c r="D480" s="7" t="s">
        <v>905</v>
      </c>
      <c r="E480" s="7" t="s">
        <v>904</v>
      </c>
      <c r="F480" s="7" t="s">
        <v>862</v>
      </c>
      <c r="G480" s="7">
        <v>2011</v>
      </c>
      <c r="H480" s="7">
        <v>40743</v>
      </c>
      <c r="I480" s="7" t="s">
        <v>32</v>
      </c>
      <c r="J480" s="7" t="s">
        <v>32</v>
      </c>
      <c r="K480" s="7" t="s">
        <v>903</v>
      </c>
      <c r="L480" s="7">
        <v>2</v>
      </c>
      <c r="M480" s="7" t="s">
        <v>902</v>
      </c>
      <c r="N480" s="7" t="s">
        <v>34</v>
      </c>
      <c r="O480" s="7" t="s">
        <v>190</v>
      </c>
      <c r="P480" s="7" t="s">
        <v>34</v>
      </c>
      <c r="Q480" s="7" t="s">
        <v>34</v>
      </c>
      <c r="R480" s="7" t="s">
        <v>34</v>
      </c>
      <c r="S480" s="7" t="s">
        <v>34</v>
      </c>
      <c r="T480" s="7" t="s">
        <v>34</v>
      </c>
      <c r="U480" s="7" t="s">
        <v>32</v>
      </c>
      <c r="V480" s="7">
        <v>1</v>
      </c>
      <c r="W480" s="7" t="s">
        <v>32</v>
      </c>
      <c r="X480" s="7" t="s">
        <v>32</v>
      </c>
      <c r="Y480" s="7" t="s">
        <v>32</v>
      </c>
      <c r="Z480" s="7" t="s">
        <v>32</v>
      </c>
      <c r="AA480" s="7">
        <v>21764847</v>
      </c>
      <c r="AB480" s="7">
        <v>1</v>
      </c>
      <c r="AD480" s="7">
        <v>5</v>
      </c>
      <c r="AE480" s="24">
        <v>16</v>
      </c>
      <c r="AF480" s="7">
        <v>8</v>
      </c>
      <c r="AG480" s="7">
        <v>8</v>
      </c>
      <c r="AH480" s="7" t="s">
        <v>1642</v>
      </c>
      <c r="AI480" s="7" t="s">
        <v>1642</v>
      </c>
      <c r="AJ480" s="7" t="s">
        <v>1719</v>
      </c>
      <c r="AK480" s="7">
        <v>27.5</v>
      </c>
      <c r="AM480" s="7" t="s">
        <v>1719</v>
      </c>
      <c r="AN480" s="7">
        <v>27.5</v>
      </c>
      <c r="AP480" s="7">
        <v>1</v>
      </c>
      <c r="AQ480" s="7" t="s">
        <v>2589</v>
      </c>
      <c r="AR480" s="7" t="s">
        <v>1814</v>
      </c>
      <c r="AS480" s="7" t="s">
        <v>1638</v>
      </c>
      <c r="AT480" s="7" t="s">
        <v>2407</v>
      </c>
      <c r="AU480" s="7" t="s">
        <v>178</v>
      </c>
      <c r="AV480" s="7" t="s">
        <v>2042</v>
      </c>
      <c r="AW480" s="7" t="s">
        <v>1687</v>
      </c>
      <c r="AX480" s="7" t="s">
        <v>2588</v>
      </c>
      <c r="AY480" s="7" t="s">
        <v>1695</v>
      </c>
      <c r="AZ480" s="7" t="s">
        <v>1650</v>
      </c>
      <c r="BA480" s="7">
        <v>324</v>
      </c>
      <c r="BB480" s="7">
        <v>317</v>
      </c>
      <c r="BC480" s="7" t="s">
        <v>2595</v>
      </c>
      <c r="BD480" s="7">
        <v>26.326499999999999</v>
      </c>
      <c r="BF480" s="7">
        <f>31.8748-BD480</f>
        <v>5.5483000000000011</v>
      </c>
      <c r="BG480" s="7" t="s">
        <v>2614</v>
      </c>
      <c r="BH480" s="7">
        <v>18.461500000000001</v>
      </c>
      <c r="BJ480" s="7">
        <f>20.5808-BH480</f>
        <v>2.1192999999999991</v>
      </c>
    </row>
    <row r="481" spans="1:63" x14ac:dyDescent="0.2">
      <c r="A481" s="7">
        <v>107</v>
      </c>
      <c r="B481" s="7" t="s">
        <v>907</v>
      </c>
      <c r="C481" s="7" t="s">
        <v>906</v>
      </c>
      <c r="D481" s="7" t="s">
        <v>905</v>
      </c>
      <c r="E481" s="7" t="s">
        <v>904</v>
      </c>
      <c r="F481" s="7" t="s">
        <v>862</v>
      </c>
      <c r="G481" s="7">
        <v>2011</v>
      </c>
      <c r="H481" s="7">
        <v>40743</v>
      </c>
      <c r="I481" s="7" t="s">
        <v>32</v>
      </c>
      <c r="J481" s="7" t="s">
        <v>32</v>
      </c>
      <c r="K481" s="7" t="s">
        <v>903</v>
      </c>
      <c r="L481" s="7">
        <v>2</v>
      </c>
      <c r="M481" s="7" t="s">
        <v>902</v>
      </c>
      <c r="N481" s="7" t="s">
        <v>34</v>
      </c>
      <c r="O481" s="7" t="s">
        <v>190</v>
      </c>
      <c r="P481" s="7" t="s">
        <v>34</v>
      </c>
      <c r="Q481" s="7" t="s">
        <v>34</v>
      </c>
      <c r="R481" s="7" t="s">
        <v>34</v>
      </c>
      <c r="S481" s="7" t="s">
        <v>34</v>
      </c>
      <c r="T481" s="7" t="s">
        <v>34</v>
      </c>
      <c r="U481" s="7" t="s">
        <v>32</v>
      </c>
      <c r="V481" s="7">
        <v>1</v>
      </c>
      <c r="W481" s="7" t="s">
        <v>32</v>
      </c>
      <c r="X481" s="7" t="s">
        <v>32</v>
      </c>
      <c r="Y481" s="7" t="s">
        <v>32</v>
      </c>
      <c r="Z481" s="7" t="s">
        <v>32</v>
      </c>
      <c r="AA481" s="7">
        <v>21764847</v>
      </c>
      <c r="AB481" s="7">
        <v>1</v>
      </c>
      <c r="AD481" s="7">
        <v>5</v>
      </c>
      <c r="AE481" s="24">
        <v>16</v>
      </c>
      <c r="AF481" s="7">
        <v>8</v>
      </c>
      <c r="AG481" s="7">
        <v>8</v>
      </c>
      <c r="AH481" s="7" t="s">
        <v>1642</v>
      </c>
      <c r="AI481" s="7" t="s">
        <v>1642</v>
      </c>
      <c r="AJ481" s="7" t="s">
        <v>1719</v>
      </c>
      <c r="AK481" s="7">
        <v>27.5</v>
      </c>
      <c r="AM481" s="7" t="s">
        <v>1719</v>
      </c>
      <c r="AN481" s="7">
        <v>27.5</v>
      </c>
      <c r="AP481" s="7">
        <v>1</v>
      </c>
      <c r="AQ481" s="7" t="s">
        <v>2589</v>
      </c>
      <c r="AR481" s="7" t="s">
        <v>1814</v>
      </c>
      <c r="AS481" s="7" t="s">
        <v>1638</v>
      </c>
      <c r="AT481" s="7" t="s">
        <v>2407</v>
      </c>
      <c r="AU481" s="7" t="s">
        <v>178</v>
      </c>
      <c r="AV481" s="7" t="s">
        <v>2042</v>
      </c>
      <c r="AW481" s="7" t="s">
        <v>1687</v>
      </c>
      <c r="AX481" s="7" t="s">
        <v>2588</v>
      </c>
      <c r="AY481" s="7" t="s">
        <v>1695</v>
      </c>
      <c r="AZ481" s="7" t="s">
        <v>1650</v>
      </c>
      <c r="BA481" s="7">
        <v>324</v>
      </c>
      <c r="BB481" s="7">
        <v>317</v>
      </c>
      <c r="BC481" s="7" t="s">
        <v>2596</v>
      </c>
      <c r="BD481" s="7">
        <v>24.395600000000002</v>
      </c>
      <c r="BF481" s="7">
        <f>29.9529-BD481</f>
        <v>5.5572999999999979</v>
      </c>
      <c r="BG481" s="7" t="s">
        <v>2615</v>
      </c>
      <c r="BH481" s="7">
        <v>9.3249600000000008</v>
      </c>
      <c r="BJ481" s="7">
        <f>11.0204-BH481</f>
        <v>1.6954399999999996</v>
      </c>
    </row>
    <row r="482" spans="1:63" x14ac:dyDescent="0.2">
      <c r="A482" s="7">
        <v>107</v>
      </c>
      <c r="B482" s="7" t="s">
        <v>907</v>
      </c>
      <c r="C482" s="7" t="s">
        <v>906</v>
      </c>
      <c r="D482" s="7" t="s">
        <v>905</v>
      </c>
      <c r="E482" s="7" t="s">
        <v>904</v>
      </c>
      <c r="F482" s="7" t="s">
        <v>862</v>
      </c>
      <c r="G482" s="7">
        <v>2011</v>
      </c>
      <c r="H482" s="7">
        <v>40743</v>
      </c>
      <c r="I482" s="7" t="s">
        <v>32</v>
      </c>
      <c r="J482" s="7" t="s">
        <v>32</v>
      </c>
      <c r="K482" s="7" t="s">
        <v>903</v>
      </c>
      <c r="L482" s="7">
        <v>2</v>
      </c>
      <c r="M482" s="7" t="s">
        <v>902</v>
      </c>
      <c r="N482" s="7" t="s">
        <v>34</v>
      </c>
      <c r="O482" s="7" t="s">
        <v>190</v>
      </c>
      <c r="P482" s="7" t="s">
        <v>34</v>
      </c>
      <c r="Q482" s="7" t="s">
        <v>34</v>
      </c>
      <c r="R482" s="7" t="s">
        <v>34</v>
      </c>
      <c r="S482" s="7" t="s">
        <v>34</v>
      </c>
      <c r="T482" s="7" t="s">
        <v>34</v>
      </c>
      <c r="U482" s="7" t="s">
        <v>32</v>
      </c>
      <c r="V482" s="7">
        <v>1</v>
      </c>
      <c r="W482" s="7" t="s">
        <v>32</v>
      </c>
      <c r="X482" s="7" t="s">
        <v>32</v>
      </c>
      <c r="Y482" s="7" t="s">
        <v>32</v>
      </c>
      <c r="Z482" s="7" t="s">
        <v>32</v>
      </c>
      <c r="AA482" s="7">
        <v>21764847</v>
      </c>
      <c r="AB482" s="7">
        <v>1</v>
      </c>
      <c r="AD482" s="7">
        <v>5</v>
      </c>
      <c r="AE482" s="24">
        <v>17</v>
      </c>
      <c r="AF482" s="7">
        <v>9</v>
      </c>
      <c r="AG482" s="7">
        <v>8</v>
      </c>
      <c r="AH482" s="7" t="s">
        <v>1642</v>
      </c>
      <c r="AI482" s="7" t="s">
        <v>1642</v>
      </c>
      <c r="AJ482" s="7" t="s">
        <v>1719</v>
      </c>
      <c r="AK482" s="7">
        <v>27.5</v>
      </c>
      <c r="AM482" s="7" t="s">
        <v>1719</v>
      </c>
      <c r="AN482" s="7">
        <v>27.5</v>
      </c>
      <c r="AP482" s="7">
        <v>1</v>
      </c>
      <c r="AQ482" s="7" t="s">
        <v>2589</v>
      </c>
      <c r="AR482" s="7" t="s">
        <v>1814</v>
      </c>
      <c r="AS482" s="7" t="s">
        <v>1638</v>
      </c>
      <c r="AT482" s="7" t="s">
        <v>2407</v>
      </c>
      <c r="AU482" s="7" t="s">
        <v>178</v>
      </c>
      <c r="AV482" s="7" t="s">
        <v>2040</v>
      </c>
      <c r="AW482" s="7" t="s">
        <v>1687</v>
      </c>
      <c r="AX482" s="7" t="s">
        <v>2588</v>
      </c>
      <c r="AY482" s="7" t="s">
        <v>1695</v>
      </c>
      <c r="AZ482" s="7" t="s">
        <v>1650</v>
      </c>
      <c r="BA482" s="7">
        <v>325</v>
      </c>
      <c r="BB482" s="7">
        <v>318</v>
      </c>
      <c r="BC482" s="7" t="s">
        <v>2598</v>
      </c>
      <c r="BD482" s="7">
        <v>38.389899999999997</v>
      </c>
      <c r="BF482" s="7">
        <f>42.0126-BD482</f>
        <v>3.6227000000000018</v>
      </c>
      <c r="BG482" s="7" t="s">
        <v>2610</v>
      </c>
      <c r="BH482" s="7">
        <v>40.1509</v>
      </c>
      <c r="BJ482" s="7">
        <f>46.4403-BH482</f>
        <v>6.2894000000000005</v>
      </c>
      <c r="BK482" s="9" t="s">
        <v>2597</v>
      </c>
    </row>
    <row r="483" spans="1:63" x14ac:dyDescent="0.2">
      <c r="A483" s="7">
        <v>107</v>
      </c>
      <c r="B483" s="7" t="s">
        <v>907</v>
      </c>
      <c r="C483" s="7" t="s">
        <v>906</v>
      </c>
      <c r="D483" s="7" t="s">
        <v>905</v>
      </c>
      <c r="E483" s="7" t="s">
        <v>904</v>
      </c>
      <c r="F483" s="7" t="s">
        <v>862</v>
      </c>
      <c r="G483" s="7">
        <v>2011</v>
      </c>
      <c r="H483" s="7">
        <v>40743</v>
      </c>
      <c r="I483" s="7" t="s">
        <v>32</v>
      </c>
      <c r="J483" s="7" t="s">
        <v>32</v>
      </c>
      <c r="K483" s="7" t="s">
        <v>903</v>
      </c>
      <c r="L483" s="7">
        <v>2</v>
      </c>
      <c r="M483" s="7" t="s">
        <v>902</v>
      </c>
      <c r="N483" s="7" t="s">
        <v>34</v>
      </c>
      <c r="O483" s="7" t="s">
        <v>190</v>
      </c>
      <c r="P483" s="7" t="s">
        <v>34</v>
      </c>
      <c r="Q483" s="7" t="s">
        <v>34</v>
      </c>
      <c r="R483" s="7" t="s">
        <v>34</v>
      </c>
      <c r="S483" s="7" t="s">
        <v>34</v>
      </c>
      <c r="T483" s="7" t="s">
        <v>34</v>
      </c>
      <c r="U483" s="7" t="s">
        <v>32</v>
      </c>
      <c r="V483" s="7">
        <v>1</v>
      </c>
      <c r="W483" s="7" t="s">
        <v>32</v>
      </c>
      <c r="X483" s="7" t="s">
        <v>32</v>
      </c>
      <c r="Y483" s="7" t="s">
        <v>32</v>
      </c>
      <c r="Z483" s="7" t="s">
        <v>32</v>
      </c>
      <c r="AA483" s="7">
        <v>21764847</v>
      </c>
      <c r="AB483" s="7">
        <v>1</v>
      </c>
      <c r="AD483" s="7">
        <v>5</v>
      </c>
      <c r="AE483" s="24">
        <v>17</v>
      </c>
      <c r="AF483" s="7">
        <v>9</v>
      </c>
      <c r="AG483" s="7">
        <v>8</v>
      </c>
      <c r="AH483" s="7" t="s">
        <v>1642</v>
      </c>
      <c r="AI483" s="7" t="s">
        <v>1642</v>
      </c>
      <c r="AJ483" s="7" t="s">
        <v>1719</v>
      </c>
      <c r="AK483" s="7">
        <v>27.5</v>
      </c>
      <c r="AM483" s="7" t="s">
        <v>1719</v>
      </c>
      <c r="AN483" s="7">
        <v>27.5</v>
      </c>
      <c r="AP483" s="7">
        <v>1</v>
      </c>
      <c r="AQ483" s="7" t="s">
        <v>2589</v>
      </c>
      <c r="AR483" s="7" t="s">
        <v>1814</v>
      </c>
      <c r="AS483" s="7" t="s">
        <v>1638</v>
      </c>
      <c r="AT483" s="7" t="s">
        <v>2407</v>
      </c>
      <c r="AU483" s="7" t="s">
        <v>178</v>
      </c>
      <c r="AV483" s="7" t="s">
        <v>2040</v>
      </c>
      <c r="AW483" s="7" t="s">
        <v>1687</v>
      </c>
      <c r="AX483" s="7" t="s">
        <v>2588</v>
      </c>
      <c r="AY483" s="7" t="s">
        <v>1695</v>
      </c>
      <c r="AZ483" s="7" t="s">
        <v>1650</v>
      </c>
      <c r="BA483" s="7">
        <v>325</v>
      </c>
      <c r="BB483" s="7">
        <v>318</v>
      </c>
      <c r="BC483" s="7" t="s">
        <v>2599</v>
      </c>
      <c r="BD483" s="7">
        <v>31.3459</v>
      </c>
      <c r="BF483" s="7">
        <f>35.0189-BD483</f>
        <v>3.6730000000000018</v>
      </c>
      <c r="BG483" s="7" t="s">
        <v>2611</v>
      </c>
      <c r="BH483" s="7">
        <v>23.9497</v>
      </c>
      <c r="BJ483" s="7">
        <f>BH483-17.4088</f>
        <v>6.5409000000000006</v>
      </c>
    </row>
    <row r="484" spans="1:63" x14ac:dyDescent="0.2">
      <c r="A484" s="7">
        <v>107</v>
      </c>
      <c r="B484" s="7" t="s">
        <v>907</v>
      </c>
      <c r="C484" s="7" t="s">
        <v>906</v>
      </c>
      <c r="D484" s="7" t="s">
        <v>905</v>
      </c>
      <c r="E484" s="7" t="s">
        <v>904</v>
      </c>
      <c r="F484" s="7" t="s">
        <v>862</v>
      </c>
      <c r="G484" s="7">
        <v>2011</v>
      </c>
      <c r="H484" s="7">
        <v>40743</v>
      </c>
      <c r="I484" s="7" t="s">
        <v>32</v>
      </c>
      <c r="J484" s="7" t="s">
        <v>32</v>
      </c>
      <c r="K484" s="7" t="s">
        <v>903</v>
      </c>
      <c r="L484" s="7">
        <v>2</v>
      </c>
      <c r="M484" s="7" t="s">
        <v>902</v>
      </c>
      <c r="N484" s="7" t="s">
        <v>34</v>
      </c>
      <c r="O484" s="7" t="s">
        <v>190</v>
      </c>
      <c r="P484" s="7" t="s">
        <v>34</v>
      </c>
      <c r="Q484" s="7" t="s">
        <v>34</v>
      </c>
      <c r="R484" s="7" t="s">
        <v>34</v>
      </c>
      <c r="S484" s="7" t="s">
        <v>34</v>
      </c>
      <c r="T484" s="7" t="s">
        <v>34</v>
      </c>
      <c r="U484" s="7" t="s">
        <v>32</v>
      </c>
      <c r="V484" s="7">
        <v>1</v>
      </c>
      <c r="W484" s="7" t="s">
        <v>32</v>
      </c>
      <c r="X484" s="7" t="s">
        <v>32</v>
      </c>
      <c r="Y484" s="7" t="s">
        <v>32</v>
      </c>
      <c r="Z484" s="7" t="s">
        <v>32</v>
      </c>
      <c r="AA484" s="7">
        <v>21764847</v>
      </c>
      <c r="AB484" s="7">
        <v>1</v>
      </c>
      <c r="AD484" s="7">
        <v>5</v>
      </c>
      <c r="AE484" s="24">
        <v>17</v>
      </c>
      <c r="AF484" s="7">
        <v>9</v>
      </c>
      <c r="AG484" s="7">
        <v>8</v>
      </c>
      <c r="AH484" s="7" t="s">
        <v>1642</v>
      </c>
      <c r="AI484" s="7" t="s">
        <v>1642</v>
      </c>
      <c r="AJ484" s="7" t="s">
        <v>1719</v>
      </c>
      <c r="AK484" s="7">
        <v>27.5</v>
      </c>
      <c r="AM484" s="7" t="s">
        <v>1719</v>
      </c>
      <c r="AN484" s="7">
        <v>27.5</v>
      </c>
      <c r="AP484" s="7">
        <v>1</v>
      </c>
      <c r="AQ484" s="7" t="s">
        <v>2589</v>
      </c>
      <c r="AR484" s="7" t="s">
        <v>1814</v>
      </c>
      <c r="AS484" s="7" t="s">
        <v>1638</v>
      </c>
      <c r="AT484" s="7" t="s">
        <v>2407</v>
      </c>
      <c r="AU484" s="7" t="s">
        <v>178</v>
      </c>
      <c r="AV484" s="7" t="s">
        <v>2041</v>
      </c>
      <c r="AW484" s="7" t="s">
        <v>1687</v>
      </c>
      <c r="AX484" s="7" t="s">
        <v>2588</v>
      </c>
      <c r="AY484" s="7" t="s">
        <v>1695</v>
      </c>
      <c r="AZ484" s="7" t="s">
        <v>1650</v>
      </c>
      <c r="BA484" s="7">
        <v>325</v>
      </c>
      <c r="BB484" s="7">
        <v>318</v>
      </c>
      <c r="BC484" s="7" t="s">
        <v>2600</v>
      </c>
      <c r="BD484" s="7">
        <v>41.509399999999999</v>
      </c>
      <c r="BF484" s="7">
        <f>47.6478-BD484</f>
        <v>6.1383999999999972</v>
      </c>
      <c r="BG484" s="7" t="s">
        <v>2612</v>
      </c>
      <c r="BH484" s="7">
        <v>15.2453</v>
      </c>
      <c r="BJ484" s="7">
        <f>16.805-BH484</f>
        <v>1.5596999999999994</v>
      </c>
    </row>
    <row r="485" spans="1:63" x14ac:dyDescent="0.2">
      <c r="A485" s="7">
        <v>107</v>
      </c>
      <c r="B485" s="7" t="s">
        <v>907</v>
      </c>
      <c r="C485" s="7" t="s">
        <v>906</v>
      </c>
      <c r="D485" s="7" t="s">
        <v>905</v>
      </c>
      <c r="E485" s="7" t="s">
        <v>904</v>
      </c>
      <c r="F485" s="7" t="s">
        <v>862</v>
      </c>
      <c r="G485" s="7">
        <v>2011</v>
      </c>
      <c r="H485" s="7">
        <v>40743</v>
      </c>
      <c r="I485" s="7" t="s">
        <v>32</v>
      </c>
      <c r="J485" s="7" t="s">
        <v>32</v>
      </c>
      <c r="K485" s="7" t="s">
        <v>903</v>
      </c>
      <c r="L485" s="7">
        <v>2</v>
      </c>
      <c r="M485" s="7" t="s">
        <v>902</v>
      </c>
      <c r="N485" s="7" t="s">
        <v>34</v>
      </c>
      <c r="O485" s="7" t="s">
        <v>190</v>
      </c>
      <c r="P485" s="7" t="s">
        <v>34</v>
      </c>
      <c r="Q485" s="7" t="s">
        <v>34</v>
      </c>
      <c r="R485" s="7" t="s">
        <v>34</v>
      </c>
      <c r="S485" s="7" t="s">
        <v>34</v>
      </c>
      <c r="T485" s="7" t="s">
        <v>34</v>
      </c>
      <c r="U485" s="7" t="s">
        <v>32</v>
      </c>
      <c r="V485" s="7">
        <v>1</v>
      </c>
      <c r="W485" s="7" t="s">
        <v>32</v>
      </c>
      <c r="X485" s="7" t="s">
        <v>32</v>
      </c>
      <c r="Y485" s="7" t="s">
        <v>32</v>
      </c>
      <c r="Z485" s="7" t="s">
        <v>32</v>
      </c>
      <c r="AA485" s="7">
        <v>21764847</v>
      </c>
      <c r="AB485" s="7">
        <v>1</v>
      </c>
      <c r="AD485" s="7">
        <v>5</v>
      </c>
      <c r="AE485" s="24">
        <v>17</v>
      </c>
      <c r="AF485" s="7">
        <v>9</v>
      </c>
      <c r="AG485" s="7">
        <v>8</v>
      </c>
      <c r="AH485" s="7" t="s">
        <v>1642</v>
      </c>
      <c r="AI485" s="7" t="s">
        <v>1642</v>
      </c>
      <c r="AJ485" s="7" t="s">
        <v>1719</v>
      </c>
      <c r="AK485" s="7">
        <v>27.5</v>
      </c>
      <c r="AM485" s="7" t="s">
        <v>1719</v>
      </c>
      <c r="AN485" s="7">
        <v>27.5</v>
      </c>
      <c r="AP485" s="7">
        <v>1</v>
      </c>
      <c r="AQ485" s="7" t="s">
        <v>2589</v>
      </c>
      <c r="AR485" s="7" t="s">
        <v>1814</v>
      </c>
      <c r="AS485" s="7" t="s">
        <v>1638</v>
      </c>
      <c r="AT485" s="7" t="s">
        <v>2407</v>
      </c>
      <c r="AU485" s="7" t="s">
        <v>178</v>
      </c>
      <c r="AV485" s="7" t="s">
        <v>2041</v>
      </c>
      <c r="AW485" s="7" t="s">
        <v>1687</v>
      </c>
      <c r="AX485" s="7" t="s">
        <v>2588</v>
      </c>
      <c r="AY485" s="7" t="s">
        <v>1695</v>
      </c>
      <c r="AZ485" s="7" t="s">
        <v>1650</v>
      </c>
      <c r="BA485" s="7">
        <v>325</v>
      </c>
      <c r="BB485" s="7">
        <v>318</v>
      </c>
      <c r="BC485" s="7" t="s">
        <v>2601</v>
      </c>
      <c r="BD485" s="7">
        <v>33.861600000000003</v>
      </c>
      <c r="BF485" s="7">
        <f>BD485-27.7736</f>
        <v>6.0880000000000045</v>
      </c>
      <c r="BG485" s="7" t="s">
        <v>2613</v>
      </c>
      <c r="BH485" s="7">
        <v>13.484299999999999</v>
      </c>
      <c r="BJ485" s="7">
        <f>15.195-BH485</f>
        <v>1.710700000000001</v>
      </c>
    </row>
    <row r="486" spans="1:63" x14ac:dyDescent="0.2">
      <c r="A486" s="7">
        <v>107</v>
      </c>
      <c r="B486" s="7" t="s">
        <v>907</v>
      </c>
      <c r="C486" s="7" t="s">
        <v>906</v>
      </c>
      <c r="D486" s="7" t="s">
        <v>905</v>
      </c>
      <c r="E486" s="7" t="s">
        <v>904</v>
      </c>
      <c r="F486" s="7" t="s">
        <v>862</v>
      </c>
      <c r="G486" s="7">
        <v>2011</v>
      </c>
      <c r="H486" s="7">
        <v>40743</v>
      </c>
      <c r="I486" s="7" t="s">
        <v>32</v>
      </c>
      <c r="J486" s="7" t="s">
        <v>32</v>
      </c>
      <c r="K486" s="7" t="s">
        <v>903</v>
      </c>
      <c r="L486" s="7">
        <v>2</v>
      </c>
      <c r="M486" s="7" t="s">
        <v>902</v>
      </c>
      <c r="N486" s="7" t="s">
        <v>34</v>
      </c>
      <c r="O486" s="7" t="s">
        <v>190</v>
      </c>
      <c r="P486" s="7" t="s">
        <v>34</v>
      </c>
      <c r="Q486" s="7" t="s">
        <v>34</v>
      </c>
      <c r="R486" s="7" t="s">
        <v>34</v>
      </c>
      <c r="S486" s="7" t="s">
        <v>34</v>
      </c>
      <c r="T486" s="7" t="s">
        <v>34</v>
      </c>
      <c r="U486" s="7" t="s">
        <v>32</v>
      </c>
      <c r="V486" s="7">
        <v>1</v>
      </c>
      <c r="W486" s="7" t="s">
        <v>32</v>
      </c>
      <c r="X486" s="7" t="s">
        <v>32</v>
      </c>
      <c r="Y486" s="7" t="s">
        <v>32</v>
      </c>
      <c r="Z486" s="7" t="s">
        <v>32</v>
      </c>
      <c r="AA486" s="7">
        <v>21764847</v>
      </c>
      <c r="AB486" s="7">
        <v>1</v>
      </c>
      <c r="AD486" s="7">
        <v>5</v>
      </c>
      <c r="AE486" s="24">
        <v>17</v>
      </c>
      <c r="AF486" s="7">
        <v>9</v>
      </c>
      <c r="AG486" s="7">
        <v>8</v>
      </c>
      <c r="AH486" s="7" t="s">
        <v>1642</v>
      </c>
      <c r="AI486" s="7" t="s">
        <v>1642</v>
      </c>
      <c r="AJ486" s="7" t="s">
        <v>1719</v>
      </c>
      <c r="AK486" s="7">
        <v>27.5</v>
      </c>
      <c r="AM486" s="7" t="s">
        <v>1719</v>
      </c>
      <c r="AN486" s="7">
        <v>27.5</v>
      </c>
      <c r="AP486" s="7">
        <v>1</v>
      </c>
      <c r="AQ486" s="7" t="s">
        <v>2589</v>
      </c>
      <c r="AR486" s="7" t="s">
        <v>1814</v>
      </c>
      <c r="AS486" s="7" t="s">
        <v>1638</v>
      </c>
      <c r="AT486" s="7" t="s">
        <v>2407</v>
      </c>
      <c r="AU486" s="7" t="s">
        <v>178</v>
      </c>
      <c r="AV486" s="7" t="s">
        <v>2042</v>
      </c>
      <c r="AW486" s="7" t="s">
        <v>1687</v>
      </c>
      <c r="AX486" s="7" t="s">
        <v>2588</v>
      </c>
      <c r="AY486" s="7" t="s">
        <v>1695</v>
      </c>
      <c r="AZ486" s="7" t="s">
        <v>1650</v>
      </c>
      <c r="BA486" s="7">
        <v>325</v>
      </c>
      <c r="BB486" s="7">
        <v>318</v>
      </c>
      <c r="BC486" s="7" t="s">
        <v>2602</v>
      </c>
      <c r="BD486" s="7">
        <v>27.270399999999999</v>
      </c>
      <c r="BF486" s="7">
        <f>30.5409-BD486</f>
        <v>3.270500000000002</v>
      </c>
      <c r="BG486" s="7" t="s">
        <v>2614</v>
      </c>
      <c r="BH486" s="7">
        <v>26.314499999999999</v>
      </c>
      <c r="BJ486" s="7">
        <f>28.327-BH486</f>
        <v>2.0125000000000028</v>
      </c>
    </row>
    <row r="487" spans="1:63" x14ac:dyDescent="0.2">
      <c r="A487" s="7">
        <v>107</v>
      </c>
      <c r="B487" s="7" t="s">
        <v>907</v>
      </c>
      <c r="C487" s="7" t="s">
        <v>906</v>
      </c>
      <c r="D487" s="7" t="s">
        <v>905</v>
      </c>
      <c r="E487" s="7" t="s">
        <v>904</v>
      </c>
      <c r="F487" s="7" t="s">
        <v>862</v>
      </c>
      <c r="G487" s="7">
        <v>2011</v>
      </c>
      <c r="H487" s="7">
        <v>40743</v>
      </c>
      <c r="I487" s="7" t="s">
        <v>32</v>
      </c>
      <c r="J487" s="7" t="s">
        <v>32</v>
      </c>
      <c r="K487" s="7" t="s">
        <v>903</v>
      </c>
      <c r="L487" s="7">
        <v>2</v>
      </c>
      <c r="M487" s="7" t="s">
        <v>902</v>
      </c>
      <c r="N487" s="7" t="s">
        <v>34</v>
      </c>
      <c r="O487" s="7" t="s">
        <v>190</v>
      </c>
      <c r="P487" s="7" t="s">
        <v>34</v>
      </c>
      <c r="Q487" s="7" t="s">
        <v>34</v>
      </c>
      <c r="R487" s="7" t="s">
        <v>34</v>
      </c>
      <c r="S487" s="7" t="s">
        <v>34</v>
      </c>
      <c r="T487" s="7" t="s">
        <v>34</v>
      </c>
      <c r="U487" s="7" t="s">
        <v>32</v>
      </c>
      <c r="V487" s="7">
        <v>1</v>
      </c>
      <c r="W487" s="7" t="s">
        <v>32</v>
      </c>
      <c r="X487" s="7" t="s">
        <v>32</v>
      </c>
      <c r="Y487" s="7" t="s">
        <v>32</v>
      </c>
      <c r="Z487" s="7" t="s">
        <v>32</v>
      </c>
      <c r="AA487" s="7">
        <v>21764847</v>
      </c>
      <c r="AB487" s="7">
        <v>1</v>
      </c>
      <c r="AD487" s="7">
        <v>5</v>
      </c>
      <c r="AE487" s="24">
        <v>17</v>
      </c>
      <c r="AF487" s="7">
        <v>9</v>
      </c>
      <c r="AG487" s="7">
        <v>8</v>
      </c>
      <c r="AH487" s="7" t="s">
        <v>1642</v>
      </c>
      <c r="AI487" s="7" t="s">
        <v>1642</v>
      </c>
      <c r="AJ487" s="7" t="s">
        <v>1719</v>
      </c>
      <c r="AK487" s="7">
        <v>27.5</v>
      </c>
      <c r="AM487" s="7" t="s">
        <v>1719</v>
      </c>
      <c r="AN487" s="7">
        <v>27.5</v>
      </c>
      <c r="AP487" s="7">
        <v>1</v>
      </c>
      <c r="AQ487" s="7" t="s">
        <v>2589</v>
      </c>
      <c r="AR487" s="7" t="s">
        <v>1814</v>
      </c>
      <c r="AS487" s="7" t="s">
        <v>1638</v>
      </c>
      <c r="AT487" s="7" t="s">
        <v>2407</v>
      </c>
      <c r="AU487" s="7" t="s">
        <v>178</v>
      </c>
      <c r="AV487" s="7" t="s">
        <v>2042</v>
      </c>
      <c r="AW487" s="7" t="s">
        <v>1687</v>
      </c>
      <c r="AX487" s="7" t="s">
        <v>2588</v>
      </c>
      <c r="AY487" s="7" t="s">
        <v>1695</v>
      </c>
      <c r="AZ487" s="7" t="s">
        <v>1650</v>
      </c>
      <c r="BA487" s="7">
        <v>325</v>
      </c>
      <c r="BB487" s="7">
        <v>318</v>
      </c>
      <c r="BC487" s="7" t="s">
        <v>2603</v>
      </c>
      <c r="BD487" s="7">
        <v>24.805</v>
      </c>
      <c r="BF487" s="7">
        <f>29.8868-BD487</f>
        <v>5.0818000000000012</v>
      </c>
      <c r="BG487" s="7" t="s">
        <v>2615</v>
      </c>
      <c r="BH487" s="7">
        <v>10.264200000000001</v>
      </c>
      <c r="BJ487" s="7">
        <f>12.1258-BH487</f>
        <v>1.8615999999999993</v>
      </c>
    </row>
    <row r="488" spans="1:63" x14ac:dyDescent="0.2">
      <c r="A488" s="7">
        <v>107</v>
      </c>
      <c r="B488" s="7" t="s">
        <v>907</v>
      </c>
      <c r="C488" s="7" t="s">
        <v>906</v>
      </c>
      <c r="D488" s="7" t="s">
        <v>905</v>
      </c>
      <c r="E488" s="7" t="s">
        <v>904</v>
      </c>
      <c r="F488" s="7" t="s">
        <v>862</v>
      </c>
      <c r="G488" s="7">
        <v>2011</v>
      </c>
      <c r="H488" s="7">
        <v>40743</v>
      </c>
      <c r="I488" s="7" t="s">
        <v>32</v>
      </c>
      <c r="J488" s="7" t="s">
        <v>32</v>
      </c>
      <c r="K488" s="7" t="s">
        <v>903</v>
      </c>
      <c r="L488" s="7">
        <v>2</v>
      </c>
      <c r="M488" s="7" t="s">
        <v>902</v>
      </c>
      <c r="N488" s="7" t="s">
        <v>34</v>
      </c>
      <c r="O488" s="7" t="s">
        <v>190</v>
      </c>
      <c r="P488" s="7" t="s">
        <v>34</v>
      </c>
      <c r="Q488" s="7" t="s">
        <v>34</v>
      </c>
      <c r="R488" s="7" t="s">
        <v>34</v>
      </c>
      <c r="S488" s="7" t="s">
        <v>34</v>
      </c>
      <c r="T488" s="7" t="s">
        <v>34</v>
      </c>
      <c r="U488" s="7" t="s">
        <v>32</v>
      </c>
      <c r="V488" s="7">
        <v>1</v>
      </c>
      <c r="W488" s="7" t="s">
        <v>32</v>
      </c>
      <c r="X488" s="7" t="s">
        <v>32</v>
      </c>
      <c r="Y488" s="7" t="s">
        <v>32</v>
      </c>
      <c r="Z488" s="7" t="s">
        <v>32</v>
      </c>
      <c r="AA488" s="7">
        <v>21764847</v>
      </c>
      <c r="AB488" s="7">
        <v>1</v>
      </c>
      <c r="AD488" s="7">
        <v>5</v>
      </c>
      <c r="AE488" s="24">
        <v>17</v>
      </c>
      <c r="AF488" s="7">
        <v>9</v>
      </c>
      <c r="AG488" s="7">
        <v>8</v>
      </c>
      <c r="AH488" s="7" t="s">
        <v>1642</v>
      </c>
      <c r="AI488" s="7" t="s">
        <v>1642</v>
      </c>
      <c r="AJ488" s="7" t="s">
        <v>1719</v>
      </c>
      <c r="AK488" s="7">
        <v>27.5</v>
      </c>
      <c r="AM488" s="7" t="s">
        <v>1719</v>
      </c>
      <c r="AN488" s="7">
        <v>27.5</v>
      </c>
      <c r="AP488" s="7">
        <v>1</v>
      </c>
      <c r="AQ488" s="7" t="s">
        <v>2589</v>
      </c>
      <c r="AR488" s="7" t="s">
        <v>1814</v>
      </c>
      <c r="AS488" s="7" t="s">
        <v>1638</v>
      </c>
      <c r="AT488" s="7" t="s">
        <v>2407</v>
      </c>
      <c r="AU488" s="7" t="s">
        <v>178</v>
      </c>
      <c r="AV488" s="7" t="s">
        <v>2040</v>
      </c>
      <c r="AW488" s="7" t="s">
        <v>1687</v>
      </c>
      <c r="AX488" s="7" t="s">
        <v>2588</v>
      </c>
      <c r="AY488" s="7" t="s">
        <v>1695</v>
      </c>
      <c r="AZ488" s="7" t="s">
        <v>1650</v>
      </c>
      <c r="BA488" s="7">
        <v>326</v>
      </c>
      <c r="BB488" s="7">
        <v>318</v>
      </c>
      <c r="BC488" s="7" t="s">
        <v>2604</v>
      </c>
      <c r="BD488" s="7">
        <v>42.968600000000002</v>
      </c>
      <c r="BF488" s="7">
        <f>46.3899-BD488</f>
        <v>3.4212999999999951</v>
      </c>
      <c r="BG488" s="7" t="s">
        <v>2610</v>
      </c>
      <c r="BH488" s="7">
        <v>40.1509</v>
      </c>
      <c r="BJ488" s="7">
        <f>46.4403-BH488</f>
        <v>6.2894000000000005</v>
      </c>
      <c r="BK488" s="9" t="s">
        <v>2616</v>
      </c>
    </row>
    <row r="489" spans="1:63" x14ac:dyDescent="0.2">
      <c r="A489" s="7">
        <v>107</v>
      </c>
      <c r="B489" s="7" t="s">
        <v>907</v>
      </c>
      <c r="C489" s="7" t="s">
        <v>906</v>
      </c>
      <c r="D489" s="7" t="s">
        <v>905</v>
      </c>
      <c r="E489" s="7" t="s">
        <v>904</v>
      </c>
      <c r="F489" s="7" t="s">
        <v>862</v>
      </c>
      <c r="G489" s="7">
        <v>2011</v>
      </c>
      <c r="H489" s="7">
        <v>40743</v>
      </c>
      <c r="I489" s="7" t="s">
        <v>32</v>
      </c>
      <c r="J489" s="7" t="s">
        <v>32</v>
      </c>
      <c r="K489" s="7" t="s">
        <v>903</v>
      </c>
      <c r="L489" s="7">
        <v>2</v>
      </c>
      <c r="M489" s="7" t="s">
        <v>902</v>
      </c>
      <c r="N489" s="7" t="s">
        <v>34</v>
      </c>
      <c r="O489" s="7" t="s">
        <v>190</v>
      </c>
      <c r="P489" s="7" t="s">
        <v>34</v>
      </c>
      <c r="Q489" s="7" t="s">
        <v>34</v>
      </c>
      <c r="R489" s="7" t="s">
        <v>34</v>
      </c>
      <c r="S489" s="7" t="s">
        <v>34</v>
      </c>
      <c r="T489" s="7" t="s">
        <v>34</v>
      </c>
      <c r="U489" s="7" t="s">
        <v>32</v>
      </c>
      <c r="V489" s="7">
        <v>1</v>
      </c>
      <c r="W489" s="7" t="s">
        <v>32</v>
      </c>
      <c r="X489" s="7" t="s">
        <v>32</v>
      </c>
      <c r="Y489" s="7" t="s">
        <v>32</v>
      </c>
      <c r="Z489" s="7" t="s">
        <v>32</v>
      </c>
      <c r="AA489" s="7">
        <v>21764847</v>
      </c>
      <c r="AB489" s="7">
        <v>1</v>
      </c>
      <c r="AD489" s="7">
        <v>5</v>
      </c>
      <c r="AE489" s="24">
        <v>17</v>
      </c>
      <c r="AF489" s="7">
        <v>9</v>
      </c>
      <c r="AG489" s="7">
        <v>8</v>
      </c>
      <c r="AH489" s="7" t="s">
        <v>1642</v>
      </c>
      <c r="AI489" s="7" t="s">
        <v>1642</v>
      </c>
      <c r="AJ489" s="7" t="s">
        <v>1719</v>
      </c>
      <c r="AK489" s="7">
        <v>27.5</v>
      </c>
      <c r="AM489" s="7" t="s">
        <v>1719</v>
      </c>
      <c r="AN489" s="7">
        <v>27.5</v>
      </c>
      <c r="AP489" s="7">
        <v>1</v>
      </c>
      <c r="AQ489" s="7" t="s">
        <v>2589</v>
      </c>
      <c r="AR489" s="7" t="s">
        <v>1814</v>
      </c>
      <c r="AS489" s="7" t="s">
        <v>1638</v>
      </c>
      <c r="AT489" s="7" t="s">
        <v>2407</v>
      </c>
      <c r="AU489" s="7" t="s">
        <v>178</v>
      </c>
      <c r="AV489" s="7" t="s">
        <v>2040</v>
      </c>
      <c r="AW489" s="7" t="s">
        <v>1687</v>
      </c>
      <c r="AX489" s="7" t="s">
        <v>2588</v>
      </c>
      <c r="AY489" s="7" t="s">
        <v>1695</v>
      </c>
      <c r="AZ489" s="7" t="s">
        <v>1650</v>
      </c>
      <c r="BA489" s="7">
        <v>326</v>
      </c>
      <c r="BB489" s="7">
        <v>318</v>
      </c>
      <c r="BC489" s="7" t="s">
        <v>2605</v>
      </c>
      <c r="BD489" s="7">
        <v>31.4969</v>
      </c>
      <c r="BF489" s="7">
        <f>35.0189-BD489</f>
        <v>3.522000000000002</v>
      </c>
      <c r="BG489" s="7" t="s">
        <v>2611</v>
      </c>
      <c r="BH489" s="7">
        <v>23.9497</v>
      </c>
      <c r="BJ489" s="7">
        <f>BH489-17.4088</f>
        <v>6.5409000000000006</v>
      </c>
    </row>
    <row r="490" spans="1:63" x14ac:dyDescent="0.2">
      <c r="A490" s="7">
        <v>107</v>
      </c>
      <c r="B490" s="7" t="s">
        <v>907</v>
      </c>
      <c r="C490" s="7" t="s">
        <v>906</v>
      </c>
      <c r="D490" s="7" t="s">
        <v>905</v>
      </c>
      <c r="E490" s="7" t="s">
        <v>904</v>
      </c>
      <c r="F490" s="7" t="s">
        <v>862</v>
      </c>
      <c r="G490" s="7">
        <v>2011</v>
      </c>
      <c r="H490" s="7">
        <v>40743</v>
      </c>
      <c r="I490" s="7" t="s">
        <v>32</v>
      </c>
      <c r="J490" s="7" t="s">
        <v>32</v>
      </c>
      <c r="K490" s="7" t="s">
        <v>903</v>
      </c>
      <c r="L490" s="7">
        <v>2</v>
      </c>
      <c r="M490" s="7" t="s">
        <v>902</v>
      </c>
      <c r="N490" s="7" t="s">
        <v>34</v>
      </c>
      <c r="O490" s="7" t="s">
        <v>190</v>
      </c>
      <c r="P490" s="7" t="s">
        <v>34</v>
      </c>
      <c r="Q490" s="7" t="s">
        <v>34</v>
      </c>
      <c r="R490" s="7" t="s">
        <v>34</v>
      </c>
      <c r="S490" s="7" t="s">
        <v>34</v>
      </c>
      <c r="T490" s="7" t="s">
        <v>34</v>
      </c>
      <c r="U490" s="7" t="s">
        <v>32</v>
      </c>
      <c r="V490" s="7">
        <v>1</v>
      </c>
      <c r="W490" s="7" t="s">
        <v>32</v>
      </c>
      <c r="X490" s="7" t="s">
        <v>32</v>
      </c>
      <c r="Y490" s="7" t="s">
        <v>32</v>
      </c>
      <c r="Z490" s="7" t="s">
        <v>32</v>
      </c>
      <c r="AA490" s="7">
        <v>21764847</v>
      </c>
      <c r="AB490" s="7">
        <v>1</v>
      </c>
      <c r="AD490" s="7">
        <v>5</v>
      </c>
      <c r="AE490" s="24">
        <v>17</v>
      </c>
      <c r="AF490" s="7">
        <v>9</v>
      </c>
      <c r="AG490" s="7">
        <v>8</v>
      </c>
      <c r="AH490" s="7" t="s">
        <v>1642</v>
      </c>
      <c r="AI490" s="7" t="s">
        <v>1642</v>
      </c>
      <c r="AJ490" s="7" t="s">
        <v>1719</v>
      </c>
      <c r="AK490" s="7">
        <v>27.5</v>
      </c>
      <c r="AM490" s="7" t="s">
        <v>1719</v>
      </c>
      <c r="AN490" s="7">
        <v>27.5</v>
      </c>
      <c r="AP490" s="7">
        <v>1</v>
      </c>
      <c r="AQ490" s="7" t="s">
        <v>2589</v>
      </c>
      <c r="AR490" s="7" t="s">
        <v>1814</v>
      </c>
      <c r="AS490" s="7" t="s">
        <v>1638</v>
      </c>
      <c r="AT490" s="7" t="s">
        <v>2407</v>
      </c>
      <c r="AU490" s="7" t="s">
        <v>178</v>
      </c>
      <c r="AV490" s="7" t="s">
        <v>2041</v>
      </c>
      <c r="AW490" s="7" t="s">
        <v>1687</v>
      </c>
      <c r="AX490" s="7" t="s">
        <v>2588</v>
      </c>
      <c r="AY490" s="7" t="s">
        <v>1695</v>
      </c>
      <c r="AZ490" s="7" t="s">
        <v>1650</v>
      </c>
      <c r="BA490" s="7">
        <v>326</v>
      </c>
      <c r="BB490" s="7">
        <v>318</v>
      </c>
      <c r="BC490" s="7" t="s">
        <v>2606</v>
      </c>
      <c r="BD490" s="7">
        <v>39.748399999999997</v>
      </c>
      <c r="BF490" s="7">
        <f>46.9434-BD490</f>
        <v>7.1950000000000003</v>
      </c>
      <c r="BG490" s="7" t="s">
        <v>2612</v>
      </c>
      <c r="BH490" s="7">
        <v>15.2453</v>
      </c>
      <c r="BJ490" s="7">
        <f>16.805-BH490</f>
        <v>1.5596999999999994</v>
      </c>
    </row>
    <row r="491" spans="1:63" x14ac:dyDescent="0.2">
      <c r="A491" s="7">
        <v>107</v>
      </c>
      <c r="B491" s="7" t="s">
        <v>907</v>
      </c>
      <c r="C491" s="7" t="s">
        <v>906</v>
      </c>
      <c r="D491" s="7" t="s">
        <v>905</v>
      </c>
      <c r="E491" s="7" t="s">
        <v>904</v>
      </c>
      <c r="F491" s="7" t="s">
        <v>862</v>
      </c>
      <c r="G491" s="7">
        <v>2011</v>
      </c>
      <c r="H491" s="7">
        <v>40743</v>
      </c>
      <c r="I491" s="7" t="s">
        <v>32</v>
      </c>
      <c r="J491" s="7" t="s">
        <v>32</v>
      </c>
      <c r="K491" s="7" t="s">
        <v>903</v>
      </c>
      <c r="L491" s="7">
        <v>2</v>
      </c>
      <c r="M491" s="7" t="s">
        <v>902</v>
      </c>
      <c r="N491" s="7" t="s">
        <v>34</v>
      </c>
      <c r="O491" s="7" t="s">
        <v>190</v>
      </c>
      <c r="P491" s="7" t="s">
        <v>34</v>
      </c>
      <c r="Q491" s="7" t="s">
        <v>34</v>
      </c>
      <c r="R491" s="7" t="s">
        <v>34</v>
      </c>
      <c r="S491" s="7" t="s">
        <v>34</v>
      </c>
      <c r="T491" s="7" t="s">
        <v>34</v>
      </c>
      <c r="U491" s="7" t="s">
        <v>32</v>
      </c>
      <c r="V491" s="7">
        <v>1</v>
      </c>
      <c r="W491" s="7" t="s">
        <v>32</v>
      </c>
      <c r="X491" s="7" t="s">
        <v>32</v>
      </c>
      <c r="Y491" s="7" t="s">
        <v>32</v>
      </c>
      <c r="Z491" s="7" t="s">
        <v>32</v>
      </c>
      <c r="AA491" s="7">
        <v>21764847</v>
      </c>
      <c r="AB491" s="7">
        <v>1</v>
      </c>
      <c r="AD491" s="7">
        <v>5</v>
      </c>
      <c r="AE491" s="24">
        <v>17</v>
      </c>
      <c r="AF491" s="7">
        <v>9</v>
      </c>
      <c r="AG491" s="7">
        <v>8</v>
      </c>
      <c r="AH491" s="7" t="s">
        <v>1642</v>
      </c>
      <c r="AI491" s="7" t="s">
        <v>1642</v>
      </c>
      <c r="AJ491" s="7" t="s">
        <v>1719</v>
      </c>
      <c r="AK491" s="7">
        <v>27.5</v>
      </c>
      <c r="AM491" s="7" t="s">
        <v>1719</v>
      </c>
      <c r="AN491" s="7">
        <v>27.5</v>
      </c>
      <c r="AP491" s="7">
        <v>1</v>
      </c>
      <c r="AQ491" s="7" t="s">
        <v>2589</v>
      </c>
      <c r="AR491" s="7" t="s">
        <v>1814</v>
      </c>
      <c r="AS491" s="7" t="s">
        <v>1638</v>
      </c>
      <c r="AT491" s="7" t="s">
        <v>2407</v>
      </c>
      <c r="AU491" s="7" t="s">
        <v>178</v>
      </c>
      <c r="AV491" s="7" t="s">
        <v>2041</v>
      </c>
      <c r="AW491" s="7" t="s">
        <v>1687</v>
      </c>
      <c r="AX491" s="7" t="s">
        <v>2588</v>
      </c>
      <c r="AY491" s="7" t="s">
        <v>1695</v>
      </c>
      <c r="AZ491" s="7" t="s">
        <v>1650</v>
      </c>
      <c r="BA491" s="7">
        <v>326</v>
      </c>
      <c r="BB491" s="7">
        <v>318</v>
      </c>
      <c r="BC491" s="7" t="s">
        <v>2607</v>
      </c>
      <c r="BD491" s="7">
        <v>38.943399999999997</v>
      </c>
      <c r="BF491" s="7">
        <f>45.434-BD491</f>
        <v>6.4906000000000006</v>
      </c>
      <c r="BG491" s="7" t="s">
        <v>2613</v>
      </c>
      <c r="BH491" s="7">
        <v>13.484299999999999</v>
      </c>
      <c r="BJ491" s="7">
        <f>15.195-BH491</f>
        <v>1.710700000000001</v>
      </c>
    </row>
    <row r="492" spans="1:63" x14ac:dyDescent="0.2">
      <c r="A492" s="7">
        <v>107</v>
      </c>
      <c r="B492" s="7" t="s">
        <v>907</v>
      </c>
      <c r="C492" s="7" t="s">
        <v>906</v>
      </c>
      <c r="D492" s="7" t="s">
        <v>905</v>
      </c>
      <c r="E492" s="7" t="s">
        <v>904</v>
      </c>
      <c r="F492" s="7" t="s">
        <v>862</v>
      </c>
      <c r="G492" s="7">
        <v>2011</v>
      </c>
      <c r="H492" s="7">
        <v>40743</v>
      </c>
      <c r="I492" s="7" t="s">
        <v>32</v>
      </c>
      <c r="J492" s="7" t="s">
        <v>32</v>
      </c>
      <c r="K492" s="7" t="s">
        <v>903</v>
      </c>
      <c r="L492" s="7">
        <v>2</v>
      </c>
      <c r="M492" s="7" t="s">
        <v>902</v>
      </c>
      <c r="N492" s="7" t="s">
        <v>34</v>
      </c>
      <c r="O492" s="7" t="s">
        <v>190</v>
      </c>
      <c r="P492" s="7" t="s">
        <v>34</v>
      </c>
      <c r="Q492" s="7" t="s">
        <v>34</v>
      </c>
      <c r="R492" s="7" t="s">
        <v>34</v>
      </c>
      <c r="S492" s="7" t="s">
        <v>34</v>
      </c>
      <c r="T492" s="7" t="s">
        <v>34</v>
      </c>
      <c r="U492" s="7" t="s">
        <v>32</v>
      </c>
      <c r="V492" s="7">
        <v>1</v>
      </c>
      <c r="W492" s="7" t="s">
        <v>32</v>
      </c>
      <c r="X492" s="7" t="s">
        <v>32</v>
      </c>
      <c r="Y492" s="7" t="s">
        <v>32</v>
      </c>
      <c r="Z492" s="7" t="s">
        <v>32</v>
      </c>
      <c r="AA492" s="7">
        <v>21764847</v>
      </c>
      <c r="AB492" s="7">
        <v>1</v>
      </c>
      <c r="AD492" s="7">
        <v>5</v>
      </c>
      <c r="AE492" s="24">
        <v>17</v>
      </c>
      <c r="AF492" s="7">
        <v>9</v>
      </c>
      <c r="AG492" s="7">
        <v>8</v>
      </c>
      <c r="AH492" s="7" t="s">
        <v>1642</v>
      </c>
      <c r="AI492" s="7" t="s">
        <v>1642</v>
      </c>
      <c r="AJ492" s="7" t="s">
        <v>1719</v>
      </c>
      <c r="AK492" s="7">
        <v>27.5</v>
      </c>
      <c r="AM492" s="7" t="s">
        <v>1719</v>
      </c>
      <c r="AN492" s="7">
        <v>27.5</v>
      </c>
      <c r="AP492" s="7">
        <v>1</v>
      </c>
      <c r="AQ492" s="7" t="s">
        <v>2589</v>
      </c>
      <c r="AR492" s="7" t="s">
        <v>1814</v>
      </c>
      <c r="AS492" s="7" t="s">
        <v>1638</v>
      </c>
      <c r="AT492" s="7" t="s">
        <v>2407</v>
      </c>
      <c r="AU492" s="7" t="s">
        <v>178</v>
      </c>
      <c r="AV492" s="7" t="s">
        <v>2042</v>
      </c>
      <c r="AW492" s="7" t="s">
        <v>1687</v>
      </c>
      <c r="AX492" s="7" t="s">
        <v>2588</v>
      </c>
      <c r="AY492" s="7" t="s">
        <v>1695</v>
      </c>
      <c r="AZ492" s="7" t="s">
        <v>1650</v>
      </c>
      <c r="BA492" s="7">
        <v>326</v>
      </c>
      <c r="BB492" s="7">
        <v>318</v>
      </c>
      <c r="BC492" s="7" t="s">
        <v>2608</v>
      </c>
      <c r="BD492" s="7">
        <v>33.459099999999999</v>
      </c>
      <c r="BF492" s="7">
        <f>37.5849-BD492</f>
        <v>4.1257999999999981</v>
      </c>
      <c r="BG492" s="7" t="s">
        <v>2614</v>
      </c>
      <c r="BH492" s="7">
        <v>26.314499999999999</v>
      </c>
      <c r="BJ492" s="7">
        <f>28.327-BH492</f>
        <v>2.0125000000000028</v>
      </c>
    </row>
    <row r="493" spans="1:63" x14ac:dyDescent="0.2">
      <c r="A493" s="7">
        <v>107</v>
      </c>
      <c r="B493" s="7" t="s">
        <v>907</v>
      </c>
      <c r="C493" s="7" t="s">
        <v>906</v>
      </c>
      <c r="D493" s="7" t="s">
        <v>905</v>
      </c>
      <c r="E493" s="7" t="s">
        <v>904</v>
      </c>
      <c r="F493" s="7" t="s">
        <v>862</v>
      </c>
      <c r="G493" s="7">
        <v>2011</v>
      </c>
      <c r="H493" s="7">
        <v>40743</v>
      </c>
      <c r="I493" s="7" t="s">
        <v>32</v>
      </c>
      <c r="J493" s="7" t="s">
        <v>32</v>
      </c>
      <c r="K493" s="7" t="s">
        <v>903</v>
      </c>
      <c r="L493" s="7">
        <v>2</v>
      </c>
      <c r="M493" s="7" t="s">
        <v>902</v>
      </c>
      <c r="N493" s="7" t="s">
        <v>34</v>
      </c>
      <c r="O493" s="7" t="s">
        <v>190</v>
      </c>
      <c r="P493" s="7" t="s">
        <v>34</v>
      </c>
      <c r="Q493" s="7" t="s">
        <v>34</v>
      </c>
      <c r="R493" s="7" t="s">
        <v>34</v>
      </c>
      <c r="S493" s="7" t="s">
        <v>34</v>
      </c>
      <c r="T493" s="7" t="s">
        <v>34</v>
      </c>
      <c r="U493" s="7" t="s">
        <v>32</v>
      </c>
      <c r="V493" s="7">
        <v>1</v>
      </c>
      <c r="W493" s="7" t="s">
        <v>32</v>
      </c>
      <c r="X493" s="7" t="s">
        <v>32</v>
      </c>
      <c r="Y493" s="7" t="s">
        <v>32</v>
      </c>
      <c r="Z493" s="7" t="s">
        <v>32</v>
      </c>
      <c r="AA493" s="7">
        <v>21764847</v>
      </c>
      <c r="AB493" s="7">
        <v>1</v>
      </c>
      <c r="AD493" s="7">
        <v>5</v>
      </c>
      <c r="AE493" s="24">
        <v>17</v>
      </c>
      <c r="AF493" s="7">
        <v>9</v>
      </c>
      <c r="AG493" s="7">
        <v>8</v>
      </c>
      <c r="AH493" s="7" t="s">
        <v>1642</v>
      </c>
      <c r="AI493" s="7" t="s">
        <v>1642</v>
      </c>
      <c r="AJ493" s="7" t="s">
        <v>1719</v>
      </c>
      <c r="AK493" s="7">
        <v>27.5</v>
      </c>
      <c r="AM493" s="7" t="s">
        <v>1719</v>
      </c>
      <c r="AN493" s="7">
        <v>27.5</v>
      </c>
      <c r="AP493" s="7">
        <v>1</v>
      </c>
      <c r="AQ493" s="7" t="s">
        <v>2589</v>
      </c>
      <c r="AR493" s="7" t="s">
        <v>1814</v>
      </c>
      <c r="AS493" s="7" t="s">
        <v>1638</v>
      </c>
      <c r="AT493" s="7" t="s">
        <v>2407</v>
      </c>
      <c r="AU493" s="7" t="s">
        <v>178</v>
      </c>
      <c r="AV493" s="7" t="s">
        <v>2042</v>
      </c>
      <c r="AW493" s="7" t="s">
        <v>1687</v>
      </c>
      <c r="AX493" s="7" t="s">
        <v>2588</v>
      </c>
      <c r="AY493" s="7" t="s">
        <v>1695</v>
      </c>
      <c r="AZ493" s="7" t="s">
        <v>1650</v>
      </c>
      <c r="BA493" s="7">
        <v>326</v>
      </c>
      <c r="BB493" s="7">
        <v>318</v>
      </c>
      <c r="BC493" s="7" t="s">
        <v>2609</v>
      </c>
      <c r="BD493" s="7">
        <v>23.2956</v>
      </c>
      <c r="BF493" s="7">
        <f>29.7862-BD493</f>
        <v>6.4906000000000006</v>
      </c>
      <c r="BG493" s="7" t="s">
        <v>2615</v>
      </c>
      <c r="BH493" s="7">
        <v>10.264200000000001</v>
      </c>
      <c r="BJ493" s="7">
        <f>12.1258-BH493</f>
        <v>1.8615999999999993</v>
      </c>
    </row>
    <row r="494" spans="1:63" s="20" customFormat="1" x14ac:dyDescent="0.2">
      <c r="A494" s="20">
        <v>108</v>
      </c>
      <c r="B494" s="20" t="s">
        <v>901</v>
      </c>
      <c r="C494" s="20" t="s">
        <v>900</v>
      </c>
      <c r="D494" s="20" t="s">
        <v>899</v>
      </c>
      <c r="E494" s="20" t="s">
        <v>898</v>
      </c>
      <c r="F494" s="20" t="s">
        <v>159</v>
      </c>
      <c r="G494" s="20">
        <v>2011</v>
      </c>
      <c r="H494" s="20">
        <v>40689</v>
      </c>
      <c r="I494" s="20" t="s">
        <v>897</v>
      </c>
      <c r="J494" s="20" t="s">
        <v>32</v>
      </c>
      <c r="K494" s="20" t="s">
        <v>896</v>
      </c>
      <c r="L494" s="20">
        <v>2</v>
      </c>
      <c r="M494" s="20" t="s">
        <v>895</v>
      </c>
      <c r="N494" s="20" t="s">
        <v>67</v>
      </c>
      <c r="O494" s="20" t="s">
        <v>190</v>
      </c>
      <c r="P494" s="20" t="s">
        <v>34</v>
      </c>
      <c r="Q494" s="20" t="s">
        <v>34</v>
      </c>
      <c r="R494" s="20" t="s">
        <v>34</v>
      </c>
      <c r="S494" s="20" t="s">
        <v>34</v>
      </c>
      <c r="T494" s="20" t="s">
        <v>34</v>
      </c>
      <c r="U494" s="20" t="s">
        <v>34</v>
      </c>
      <c r="V494" s="20" t="s">
        <v>894</v>
      </c>
      <c r="W494" s="20" t="s">
        <v>34</v>
      </c>
      <c r="X494" s="20">
        <v>1</v>
      </c>
      <c r="Y494" s="20" t="s">
        <v>893</v>
      </c>
      <c r="Z494" s="20" t="s">
        <v>892</v>
      </c>
      <c r="AA494" s="20">
        <v>21611173</v>
      </c>
      <c r="AB494" s="20">
        <v>0</v>
      </c>
      <c r="AC494" s="20" t="s">
        <v>2617</v>
      </c>
      <c r="AE494" s="26"/>
      <c r="BK494" s="41"/>
    </row>
    <row r="495" spans="1:63" s="21" customFormat="1" x14ac:dyDescent="0.2">
      <c r="A495" s="21">
        <v>109</v>
      </c>
      <c r="B495" s="21" t="s">
        <v>891</v>
      </c>
      <c r="C495" s="21" t="s">
        <v>890</v>
      </c>
      <c r="D495" s="21" t="s">
        <v>889</v>
      </c>
      <c r="E495" s="21" t="s">
        <v>888</v>
      </c>
      <c r="F495" s="21" t="s">
        <v>45</v>
      </c>
      <c r="G495" s="21">
        <v>2011</v>
      </c>
      <c r="H495" s="21">
        <v>40683</v>
      </c>
      <c r="I495" s="21" t="s">
        <v>887</v>
      </c>
      <c r="J495" s="21" t="s">
        <v>32</v>
      </c>
      <c r="K495" s="21" t="s">
        <v>886</v>
      </c>
      <c r="L495" s="21">
        <v>2</v>
      </c>
      <c r="M495" s="21" t="s">
        <v>32</v>
      </c>
      <c r="N495" s="21" t="s">
        <v>34</v>
      </c>
      <c r="O495" s="21" t="s">
        <v>67</v>
      </c>
      <c r="P495" s="21" t="s">
        <v>34</v>
      </c>
      <c r="Q495" s="21" t="s">
        <v>34</v>
      </c>
      <c r="R495" s="21" t="s">
        <v>34</v>
      </c>
      <c r="S495" s="21" t="s">
        <v>34</v>
      </c>
      <c r="T495" s="21" t="s">
        <v>34</v>
      </c>
      <c r="U495" s="21" t="s">
        <v>34</v>
      </c>
      <c r="V495" s="21">
        <v>1</v>
      </c>
      <c r="W495" s="21" t="s">
        <v>178</v>
      </c>
      <c r="X495" s="21">
        <v>1</v>
      </c>
      <c r="Y495" s="21" t="s">
        <v>885</v>
      </c>
      <c r="Z495" s="21" t="s">
        <v>884</v>
      </c>
      <c r="AA495" s="21">
        <v>21593730</v>
      </c>
      <c r="AB495" s="21">
        <v>1</v>
      </c>
      <c r="AD495" s="21">
        <v>4</v>
      </c>
      <c r="AE495" s="23">
        <v>14</v>
      </c>
      <c r="AF495" s="21">
        <v>7</v>
      </c>
      <c r="AG495" s="21">
        <v>7</v>
      </c>
      <c r="AH495" s="21" t="s">
        <v>1642</v>
      </c>
      <c r="AI495" s="21" t="s">
        <v>1642</v>
      </c>
      <c r="AK495" s="21">
        <v>275</v>
      </c>
      <c r="AN495" s="21">
        <v>275</v>
      </c>
      <c r="AP495" s="21">
        <v>60</v>
      </c>
      <c r="AQ495" s="21" t="s">
        <v>2297</v>
      </c>
      <c r="AR495" s="21" t="s">
        <v>1814</v>
      </c>
      <c r="AS495" s="21" t="s">
        <v>1667</v>
      </c>
      <c r="AT495" s="21" t="s">
        <v>1640</v>
      </c>
      <c r="AU495" s="21" t="s">
        <v>178</v>
      </c>
      <c r="AV495" s="21" t="s">
        <v>1641</v>
      </c>
      <c r="AW495" s="21" t="s">
        <v>1678</v>
      </c>
      <c r="AX495" s="21" t="s">
        <v>2618</v>
      </c>
      <c r="AY495" s="21" t="s">
        <v>3810</v>
      </c>
      <c r="AZ495" s="21" t="s">
        <v>1650</v>
      </c>
      <c r="BA495" s="21">
        <v>327</v>
      </c>
      <c r="BB495" s="21">
        <v>319</v>
      </c>
      <c r="BC495" s="21" t="s">
        <v>3809</v>
      </c>
      <c r="BD495" s="21">
        <v>27.436399999999999</v>
      </c>
      <c r="BF495" s="21">
        <f>29.661-BD495</f>
        <v>2.2246000000000024</v>
      </c>
      <c r="BG495" s="21" t="s">
        <v>3817</v>
      </c>
      <c r="BH495" s="21">
        <v>53.813600000000001</v>
      </c>
      <c r="BJ495" s="21">
        <f>56.9915-BH495</f>
        <v>3.1779000000000011</v>
      </c>
      <c r="BK495" s="40" t="s">
        <v>3811</v>
      </c>
    </row>
    <row r="496" spans="1:63" s="21" customFormat="1" x14ac:dyDescent="0.2">
      <c r="A496" s="21">
        <v>109</v>
      </c>
      <c r="B496" s="21" t="s">
        <v>891</v>
      </c>
      <c r="C496" s="21" t="s">
        <v>890</v>
      </c>
      <c r="D496" s="21" t="s">
        <v>889</v>
      </c>
      <c r="E496" s="21" t="s">
        <v>888</v>
      </c>
      <c r="F496" s="21" t="s">
        <v>45</v>
      </c>
      <c r="G496" s="21">
        <v>2011</v>
      </c>
      <c r="H496" s="21">
        <v>40683</v>
      </c>
      <c r="I496" s="21" t="s">
        <v>887</v>
      </c>
      <c r="J496" s="21" t="s">
        <v>32</v>
      </c>
      <c r="K496" s="21" t="s">
        <v>886</v>
      </c>
      <c r="L496" s="21">
        <v>2</v>
      </c>
      <c r="M496" s="21" t="s">
        <v>32</v>
      </c>
      <c r="N496" s="21" t="s">
        <v>34</v>
      </c>
      <c r="O496" s="21" t="s">
        <v>67</v>
      </c>
      <c r="P496" s="21" t="s">
        <v>34</v>
      </c>
      <c r="Q496" s="21" t="s">
        <v>34</v>
      </c>
      <c r="R496" s="21" t="s">
        <v>34</v>
      </c>
      <c r="S496" s="21" t="s">
        <v>34</v>
      </c>
      <c r="T496" s="21" t="s">
        <v>34</v>
      </c>
      <c r="U496" s="21" t="s">
        <v>34</v>
      </c>
      <c r="V496" s="21">
        <v>1</v>
      </c>
      <c r="W496" s="21" t="s">
        <v>178</v>
      </c>
      <c r="X496" s="21">
        <v>1</v>
      </c>
      <c r="Y496" s="21" t="s">
        <v>885</v>
      </c>
      <c r="Z496" s="21" t="s">
        <v>884</v>
      </c>
      <c r="AA496" s="21">
        <v>21593730</v>
      </c>
      <c r="AB496" s="21">
        <v>1</v>
      </c>
      <c r="AD496" s="21">
        <v>4</v>
      </c>
      <c r="AE496" s="23">
        <v>14</v>
      </c>
      <c r="AF496" s="21">
        <v>7</v>
      </c>
      <c r="AG496" s="21">
        <v>7</v>
      </c>
      <c r="AH496" s="21" t="s">
        <v>1642</v>
      </c>
      <c r="AI496" s="21" t="s">
        <v>1642</v>
      </c>
      <c r="AK496" s="21">
        <v>275</v>
      </c>
      <c r="AN496" s="21">
        <v>275</v>
      </c>
      <c r="AP496" s="21">
        <v>60</v>
      </c>
      <c r="AQ496" s="21" t="s">
        <v>2297</v>
      </c>
      <c r="AR496" s="21" t="s">
        <v>1814</v>
      </c>
      <c r="AS496" s="21" t="s">
        <v>1667</v>
      </c>
      <c r="AT496" s="21" t="s">
        <v>1640</v>
      </c>
      <c r="AU496" s="21" t="s">
        <v>178</v>
      </c>
      <c r="AV496" s="21" t="s">
        <v>1641</v>
      </c>
      <c r="AW496" s="21" t="s">
        <v>1678</v>
      </c>
      <c r="AX496" s="21" t="s">
        <v>2618</v>
      </c>
      <c r="AY496" s="21" t="s">
        <v>1684</v>
      </c>
      <c r="AZ496" s="21" t="s">
        <v>1650</v>
      </c>
      <c r="BA496" s="21">
        <v>327</v>
      </c>
      <c r="BB496" s="21">
        <v>319</v>
      </c>
      <c r="BC496" s="21" t="s">
        <v>3812</v>
      </c>
      <c r="BD496" s="21">
        <v>82.365600000000001</v>
      </c>
      <c r="BF496" s="21">
        <f>84.9052-BD496</f>
        <v>2.539599999999993</v>
      </c>
      <c r="BG496" s="21" t="s">
        <v>3818</v>
      </c>
      <c r="BH496" s="21">
        <v>16.990600000000001</v>
      </c>
      <c r="BJ496" s="21">
        <f>21.2233-BH496</f>
        <v>4.2326999999999977</v>
      </c>
      <c r="BK496" s="40"/>
    </row>
    <row r="497" spans="1:63" s="21" customFormat="1" x14ac:dyDescent="0.2">
      <c r="A497" s="21">
        <v>109</v>
      </c>
      <c r="B497" s="21" t="s">
        <v>891</v>
      </c>
      <c r="C497" s="21" t="s">
        <v>890</v>
      </c>
      <c r="D497" s="21" t="s">
        <v>889</v>
      </c>
      <c r="E497" s="21" t="s">
        <v>888</v>
      </c>
      <c r="F497" s="21" t="s">
        <v>45</v>
      </c>
      <c r="G497" s="21">
        <v>2011</v>
      </c>
      <c r="H497" s="21">
        <v>40683</v>
      </c>
      <c r="I497" s="21" t="s">
        <v>887</v>
      </c>
      <c r="J497" s="21" t="s">
        <v>32</v>
      </c>
      <c r="K497" s="21" t="s">
        <v>886</v>
      </c>
      <c r="L497" s="21">
        <v>2</v>
      </c>
      <c r="M497" s="21" t="s">
        <v>32</v>
      </c>
      <c r="N497" s="21" t="s">
        <v>34</v>
      </c>
      <c r="O497" s="21" t="s">
        <v>67</v>
      </c>
      <c r="P497" s="21" t="s">
        <v>34</v>
      </c>
      <c r="Q497" s="21" t="s">
        <v>34</v>
      </c>
      <c r="R497" s="21" t="s">
        <v>34</v>
      </c>
      <c r="S497" s="21" t="s">
        <v>34</v>
      </c>
      <c r="T497" s="21" t="s">
        <v>34</v>
      </c>
      <c r="U497" s="21" t="s">
        <v>34</v>
      </c>
      <c r="V497" s="21">
        <v>1</v>
      </c>
      <c r="W497" s="21" t="s">
        <v>178</v>
      </c>
      <c r="X497" s="21">
        <v>1</v>
      </c>
      <c r="Y497" s="21" t="s">
        <v>885</v>
      </c>
      <c r="Z497" s="21" t="s">
        <v>884</v>
      </c>
      <c r="AA497" s="21">
        <v>21593730</v>
      </c>
      <c r="AB497" s="21">
        <v>1</v>
      </c>
      <c r="AD497" s="21">
        <v>4</v>
      </c>
      <c r="AE497" s="23">
        <v>14</v>
      </c>
      <c r="AF497" s="21">
        <v>7</v>
      </c>
      <c r="AG497" s="21">
        <v>7</v>
      </c>
      <c r="AH497" s="21" t="s">
        <v>1642</v>
      </c>
      <c r="AI497" s="21" t="s">
        <v>1642</v>
      </c>
      <c r="AK497" s="21">
        <v>275</v>
      </c>
      <c r="AN497" s="21">
        <v>275</v>
      </c>
      <c r="AP497" s="21">
        <v>60</v>
      </c>
      <c r="AQ497" s="21" t="s">
        <v>2297</v>
      </c>
      <c r="AR497" s="21" t="s">
        <v>1814</v>
      </c>
      <c r="AS497" s="21" t="s">
        <v>1667</v>
      </c>
      <c r="AT497" s="21" t="s">
        <v>1640</v>
      </c>
      <c r="AU497" s="21" t="s">
        <v>178</v>
      </c>
      <c r="AV497" s="21" t="s">
        <v>1641</v>
      </c>
      <c r="AW497" s="21" t="s">
        <v>1678</v>
      </c>
      <c r="AX497" s="21" t="s">
        <v>2618</v>
      </c>
      <c r="AY497" s="21" t="s">
        <v>3813</v>
      </c>
      <c r="AZ497" s="21" t="s">
        <v>1650</v>
      </c>
      <c r="BA497" s="21">
        <v>327</v>
      </c>
      <c r="BB497" s="21">
        <v>319</v>
      </c>
      <c r="BC497" s="21" t="s">
        <v>3814</v>
      </c>
      <c r="BD497" s="21">
        <v>9.9661600000000004</v>
      </c>
      <c r="BF497" s="21">
        <f>11.6539-BD497</f>
        <v>1.6877399999999998</v>
      </c>
      <c r="BG497" s="21" t="s">
        <v>3819</v>
      </c>
      <c r="BH497" s="21">
        <v>51.557299999999998</v>
      </c>
      <c r="BJ497" s="21">
        <f>55.5672-BH497</f>
        <v>4.0099000000000018</v>
      </c>
      <c r="BK497" s="40"/>
    </row>
    <row r="498" spans="1:63" s="21" customFormat="1" x14ac:dyDescent="0.2">
      <c r="A498" s="21">
        <v>109</v>
      </c>
      <c r="B498" s="21" t="s">
        <v>891</v>
      </c>
      <c r="C498" s="21" t="s">
        <v>890</v>
      </c>
      <c r="D498" s="21" t="s">
        <v>889</v>
      </c>
      <c r="E498" s="21" t="s">
        <v>888</v>
      </c>
      <c r="F498" s="21" t="s">
        <v>45</v>
      </c>
      <c r="G498" s="21">
        <v>2011</v>
      </c>
      <c r="H498" s="21">
        <v>40683</v>
      </c>
      <c r="I498" s="21" t="s">
        <v>887</v>
      </c>
      <c r="J498" s="21" t="s">
        <v>32</v>
      </c>
      <c r="K498" s="21" t="s">
        <v>886</v>
      </c>
      <c r="L498" s="21">
        <v>2</v>
      </c>
      <c r="M498" s="21" t="s">
        <v>32</v>
      </c>
      <c r="N498" s="21" t="s">
        <v>34</v>
      </c>
      <c r="O498" s="21" t="s">
        <v>67</v>
      </c>
      <c r="P498" s="21" t="s">
        <v>34</v>
      </c>
      <c r="Q498" s="21" t="s">
        <v>34</v>
      </c>
      <c r="R498" s="21" t="s">
        <v>34</v>
      </c>
      <c r="S498" s="21" t="s">
        <v>34</v>
      </c>
      <c r="T498" s="21" t="s">
        <v>34</v>
      </c>
      <c r="U498" s="21" t="s">
        <v>34</v>
      </c>
      <c r="V498" s="21">
        <v>1</v>
      </c>
      <c r="W498" s="21" t="s">
        <v>178</v>
      </c>
      <c r="X498" s="21">
        <v>1</v>
      </c>
      <c r="Y498" s="21" t="s">
        <v>885</v>
      </c>
      <c r="Z498" s="21" t="s">
        <v>884</v>
      </c>
      <c r="AA498" s="21">
        <v>21593730</v>
      </c>
      <c r="AB498" s="21">
        <v>1</v>
      </c>
      <c r="AD498" s="21">
        <v>4</v>
      </c>
      <c r="AE498" s="23">
        <v>14</v>
      </c>
      <c r="AF498" s="21">
        <v>7</v>
      </c>
      <c r="AG498" s="21">
        <v>7</v>
      </c>
      <c r="AH498" s="21" t="s">
        <v>1642</v>
      </c>
      <c r="AI498" s="21" t="s">
        <v>1642</v>
      </c>
      <c r="AK498" s="21">
        <v>275</v>
      </c>
      <c r="AN498" s="21">
        <v>275</v>
      </c>
      <c r="AP498" s="21">
        <v>60</v>
      </c>
      <c r="AQ498" s="21" t="s">
        <v>2297</v>
      </c>
      <c r="AR498" s="21" t="s">
        <v>1814</v>
      </c>
      <c r="AS498" s="21" t="s">
        <v>1667</v>
      </c>
      <c r="AT498" s="21" t="s">
        <v>1640</v>
      </c>
      <c r="AU498" s="21" t="s">
        <v>178</v>
      </c>
      <c r="AV498" s="21" t="s">
        <v>1641</v>
      </c>
      <c r="AW498" s="21" t="s">
        <v>1678</v>
      </c>
      <c r="AX498" s="21" t="s">
        <v>2618</v>
      </c>
      <c r="AY498" s="21" t="s">
        <v>3816</v>
      </c>
      <c r="AZ498" s="21" t="s">
        <v>1650</v>
      </c>
      <c r="BA498" s="21">
        <v>327</v>
      </c>
      <c r="BB498" s="21">
        <v>319</v>
      </c>
      <c r="BC498" s="21" t="s">
        <v>3815</v>
      </c>
      <c r="BD498" s="21">
        <v>9.6419999999999995</v>
      </c>
      <c r="BF498" s="21">
        <f>10.488-BD498</f>
        <v>0.84600000000000009</v>
      </c>
      <c r="BG498" s="21" t="s">
        <v>3820</v>
      </c>
      <c r="BH498" s="21">
        <v>23.399000000000001</v>
      </c>
      <c r="BJ498" s="21">
        <f>25.6188-BH498</f>
        <v>2.2197999999999993</v>
      </c>
      <c r="BK498" s="40"/>
    </row>
    <row r="499" spans="1:63" s="21" customFormat="1" x14ac:dyDescent="0.2">
      <c r="A499" s="21">
        <v>109</v>
      </c>
      <c r="B499" s="21" t="s">
        <v>891</v>
      </c>
      <c r="C499" s="21" t="s">
        <v>890</v>
      </c>
      <c r="D499" s="21" t="s">
        <v>889</v>
      </c>
      <c r="E499" s="21" t="s">
        <v>888</v>
      </c>
      <c r="F499" s="21" t="s">
        <v>45</v>
      </c>
      <c r="G499" s="21">
        <v>2011</v>
      </c>
      <c r="H499" s="21">
        <v>40683</v>
      </c>
      <c r="I499" s="21" t="s">
        <v>887</v>
      </c>
      <c r="J499" s="21" t="s">
        <v>32</v>
      </c>
      <c r="K499" s="21" t="s">
        <v>886</v>
      </c>
      <c r="L499" s="21">
        <v>2</v>
      </c>
      <c r="M499" s="21" t="s">
        <v>32</v>
      </c>
      <c r="N499" s="21" t="s">
        <v>34</v>
      </c>
      <c r="O499" s="21" t="s">
        <v>67</v>
      </c>
      <c r="P499" s="21" t="s">
        <v>34</v>
      </c>
      <c r="Q499" s="21" t="s">
        <v>34</v>
      </c>
      <c r="R499" s="21" t="s">
        <v>34</v>
      </c>
      <c r="S499" s="21" t="s">
        <v>34</v>
      </c>
      <c r="T499" s="21" t="s">
        <v>34</v>
      </c>
      <c r="U499" s="21" t="s">
        <v>34</v>
      </c>
      <c r="V499" s="21">
        <v>1</v>
      </c>
      <c r="W499" s="21" t="s">
        <v>178</v>
      </c>
      <c r="X499" s="21">
        <v>1</v>
      </c>
      <c r="Y499" s="21" t="s">
        <v>885</v>
      </c>
      <c r="Z499" s="21" t="s">
        <v>884</v>
      </c>
      <c r="AA499" s="21">
        <v>21593730</v>
      </c>
      <c r="AB499" s="21">
        <v>1</v>
      </c>
      <c r="AD499" s="21">
        <v>4</v>
      </c>
      <c r="AE499" s="23">
        <v>14</v>
      </c>
      <c r="AF499" s="21">
        <v>7</v>
      </c>
      <c r="AG499" s="21">
        <v>7</v>
      </c>
      <c r="AH499" s="21" t="s">
        <v>1642</v>
      </c>
      <c r="AI499" s="21" t="s">
        <v>1642</v>
      </c>
      <c r="AK499" s="21">
        <v>275</v>
      </c>
      <c r="AN499" s="21">
        <v>275</v>
      </c>
      <c r="AP499" s="21">
        <v>60</v>
      </c>
      <c r="AQ499" s="21" t="s">
        <v>2297</v>
      </c>
      <c r="AR499" s="21" t="s">
        <v>1814</v>
      </c>
      <c r="AS499" s="21" t="s">
        <v>1667</v>
      </c>
      <c r="AT499" s="21" t="s">
        <v>1640</v>
      </c>
      <c r="AU499" s="21" t="s">
        <v>178</v>
      </c>
      <c r="AV499" s="21" t="s">
        <v>1641</v>
      </c>
      <c r="AW499" s="21" t="s">
        <v>1678</v>
      </c>
      <c r="AX499" s="21" t="s">
        <v>2618</v>
      </c>
      <c r="AY499" s="21" t="s">
        <v>1684</v>
      </c>
      <c r="AZ499" s="21" t="s">
        <v>1650</v>
      </c>
      <c r="BA499" s="21">
        <v>328</v>
      </c>
      <c r="BB499" s="21">
        <v>320</v>
      </c>
      <c r="BC499" s="21" t="s">
        <v>3822</v>
      </c>
      <c r="BD499" s="21">
        <v>76.003399999999999</v>
      </c>
      <c r="BF499" s="21">
        <f>79.362-BD499</f>
        <v>3.3585999999999956</v>
      </c>
      <c r="BG499" s="21" t="s">
        <v>3826</v>
      </c>
      <c r="BH499" s="21">
        <v>18.872499999999999</v>
      </c>
      <c r="BJ499" s="21">
        <f>22.2311-BH499</f>
        <v>3.3586000000000027</v>
      </c>
      <c r="BK499" s="40"/>
    </row>
    <row r="500" spans="1:63" s="21" customFormat="1" x14ac:dyDescent="0.2">
      <c r="A500" s="21">
        <v>109</v>
      </c>
      <c r="B500" s="21" t="s">
        <v>891</v>
      </c>
      <c r="C500" s="21" t="s">
        <v>890</v>
      </c>
      <c r="D500" s="21" t="s">
        <v>889</v>
      </c>
      <c r="E500" s="21" t="s">
        <v>888</v>
      </c>
      <c r="F500" s="21" t="s">
        <v>45</v>
      </c>
      <c r="G500" s="21">
        <v>2011</v>
      </c>
      <c r="H500" s="21">
        <v>40683</v>
      </c>
      <c r="I500" s="21" t="s">
        <v>887</v>
      </c>
      <c r="J500" s="21" t="s">
        <v>32</v>
      </c>
      <c r="K500" s="21" t="s">
        <v>886</v>
      </c>
      <c r="L500" s="21">
        <v>2</v>
      </c>
      <c r="M500" s="21" t="s">
        <v>32</v>
      </c>
      <c r="N500" s="21" t="s">
        <v>34</v>
      </c>
      <c r="O500" s="21" t="s">
        <v>67</v>
      </c>
      <c r="P500" s="21" t="s">
        <v>34</v>
      </c>
      <c r="Q500" s="21" t="s">
        <v>34</v>
      </c>
      <c r="R500" s="21" t="s">
        <v>34</v>
      </c>
      <c r="S500" s="21" t="s">
        <v>34</v>
      </c>
      <c r="T500" s="21" t="s">
        <v>34</v>
      </c>
      <c r="U500" s="21" t="s">
        <v>34</v>
      </c>
      <c r="V500" s="21">
        <v>1</v>
      </c>
      <c r="W500" s="21" t="s">
        <v>178</v>
      </c>
      <c r="X500" s="21">
        <v>1</v>
      </c>
      <c r="Y500" s="21" t="s">
        <v>885</v>
      </c>
      <c r="Z500" s="21" t="s">
        <v>884</v>
      </c>
      <c r="AA500" s="21">
        <v>21593730</v>
      </c>
      <c r="AB500" s="21">
        <v>1</v>
      </c>
      <c r="AD500" s="21">
        <v>4</v>
      </c>
      <c r="AE500" s="23">
        <v>14</v>
      </c>
      <c r="AF500" s="21">
        <v>7</v>
      </c>
      <c r="AG500" s="21">
        <v>7</v>
      </c>
      <c r="AH500" s="21" t="s">
        <v>1642</v>
      </c>
      <c r="AI500" s="21" t="s">
        <v>1642</v>
      </c>
      <c r="AK500" s="21">
        <v>275</v>
      </c>
      <c r="AN500" s="21">
        <v>275</v>
      </c>
      <c r="AP500" s="21">
        <v>60</v>
      </c>
      <c r="AQ500" s="21" t="s">
        <v>2297</v>
      </c>
      <c r="AR500" s="21" t="s">
        <v>1814</v>
      </c>
      <c r="AS500" s="21" t="s">
        <v>1667</v>
      </c>
      <c r="AT500" s="21" t="s">
        <v>1640</v>
      </c>
      <c r="AU500" s="21" t="s">
        <v>178</v>
      </c>
      <c r="AV500" s="21" t="s">
        <v>1641</v>
      </c>
      <c r="AW500" s="21" t="s">
        <v>1678</v>
      </c>
      <c r="AX500" s="21" t="s">
        <v>2618</v>
      </c>
      <c r="AY500" s="21" t="s">
        <v>3813</v>
      </c>
      <c r="AZ500" s="21" t="s">
        <v>1650</v>
      </c>
      <c r="BA500" s="21">
        <v>328</v>
      </c>
      <c r="BB500" s="21">
        <v>320</v>
      </c>
      <c r="BC500" s="21" t="s">
        <v>3823</v>
      </c>
      <c r="BD500" s="21">
        <v>13.8011</v>
      </c>
      <c r="BF500" s="21">
        <f>15.2603-BD500</f>
        <v>1.4592000000000009</v>
      </c>
      <c r="BG500" s="21" t="s">
        <v>3827</v>
      </c>
      <c r="BH500" s="21">
        <v>50.776600000000002</v>
      </c>
      <c r="BJ500" s="21">
        <f>53.5489-BH500</f>
        <v>2.7723000000000013</v>
      </c>
      <c r="BK500" s="40"/>
    </row>
    <row r="501" spans="1:63" s="21" customFormat="1" x14ac:dyDescent="0.2">
      <c r="A501" s="21">
        <v>109</v>
      </c>
      <c r="B501" s="21" t="s">
        <v>891</v>
      </c>
      <c r="C501" s="21" t="s">
        <v>890</v>
      </c>
      <c r="D501" s="21" t="s">
        <v>889</v>
      </c>
      <c r="E501" s="21" t="s">
        <v>888</v>
      </c>
      <c r="F501" s="21" t="s">
        <v>45</v>
      </c>
      <c r="G501" s="21">
        <v>2011</v>
      </c>
      <c r="H501" s="21">
        <v>40683</v>
      </c>
      <c r="I501" s="21" t="s">
        <v>887</v>
      </c>
      <c r="J501" s="21" t="s">
        <v>32</v>
      </c>
      <c r="K501" s="21" t="s">
        <v>886</v>
      </c>
      <c r="L501" s="21">
        <v>2</v>
      </c>
      <c r="M501" s="21" t="s">
        <v>32</v>
      </c>
      <c r="N501" s="21" t="s">
        <v>34</v>
      </c>
      <c r="O501" s="21" t="s">
        <v>67</v>
      </c>
      <c r="P501" s="21" t="s">
        <v>34</v>
      </c>
      <c r="Q501" s="21" t="s">
        <v>34</v>
      </c>
      <c r="R501" s="21" t="s">
        <v>34</v>
      </c>
      <c r="S501" s="21" t="s">
        <v>34</v>
      </c>
      <c r="T501" s="21" t="s">
        <v>34</v>
      </c>
      <c r="U501" s="21" t="s">
        <v>34</v>
      </c>
      <c r="V501" s="21">
        <v>1</v>
      </c>
      <c r="W501" s="21" t="s">
        <v>178</v>
      </c>
      <c r="X501" s="21">
        <v>1</v>
      </c>
      <c r="Y501" s="21" t="s">
        <v>885</v>
      </c>
      <c r="Z501" s="21" t="s">
        <v>884</v>
      </c>
      <c r="AA501" s="21">
        <v>21593730</v>
      </c>
      <c r="AB501" s="21">
        <v>1</v>
      </c>
      <c r="AD501" s="21">
        <v>4</v>
      </c>
      <c r="AE501" s="23">
        <v>14</v>
      </c>
      <c r="AF501" s="21">
        <v>7</v>
      </c>
      <c r="AG501" s="21">
        <v>7</v>
      </c>
      <c r="AH501" s="21" t="s">
        <v>1642</v>
      </c>
      <c r="AI501" s="21" t="s">
        <v>1642</v>
      </c>
      <c r="AK501" s="21">
        <v>275</v>
      </c>
      <c r="AN501" s="21">
        <v>275</v>
      </c>
      <c r="AP501" s="21">
        <v>60</v>
      </c>
      <c r="AQ501" s="21" t="s">
        <v>2297</v>
      </c>
      <c r="AR501" s="21" t="s">
        <v>1814</v>
      </c>
      <c r="AS501" s="21" t="s">
        <v>1667</v>
      </c>
      <c r="AT501" s="21" t="s">
        <v>1640</v>
      </c>
      <c r="AU501" s="21" t="s">
        <v>178</v>
      </c>
      <c r="AV501" s="21" t="s">
        <v>1641</v>
      </c>
      <c r="AW501" s="21" t="s">
        <v>1678</v>
      </c>
      <c r="AX501" s="21" t="s">
        <v>2618</v>
      </c>
      <c r="AY501" s="21" t="s">
        <v>3816</v>
      </c>
      <c r="AZ501" s="21" t="s">
        <v>1650</v>
      </c>
      <c r="BA501" s="21">
        <v>328</v>
      </c>
      <c r="BB501" s="21">
        <v>320</v>
      </c>
      <c r="BC501" s="21" t="s">
        <v>3824</v>
      </c>
      <c r="BD501" s="21">
        <v>11.0402</v>
      </c>
      <c r="BF501" s="21">
        <f>12.9777-BD501</f>
        <v>1.9375</v>
      </c>
      <c r="BG501" s="21" t="s">
        <v>3828</v>
      </c>
      <c r="BH501" s="21">
        <v>22.855</v>
      </c>
      <c r="BJ501" s="21">
        <f>25.1447-BH501</f>
        <v>2.2896999999999998</v>
      </c>
      <c r="BK501" s="40"/>
    </row>
    <row r="502" spans="1:63" s="21" customFormat="1" x14ac:dyDescent="0.2">
      <c r="A502" s="21">
        <v>109</v>
      </c>
      <c r="B502" s="21" t="s">
        <v>891</v>
      </c>
      <c r="C502" s="21" t="s">
        <v>890</v>
      </c>
      <c r="D502" s="21" t="s">
        <v>889</v>
      </c>
      <c r="E502" s="21" t="s">
        <v>888</v>
      </c>
      <c r="F502" s="21" t="s">
        <v>45</v>
      </c>
      <c r="G502" s="21">
        <v>2011</v>
      </c>
      <c r="H502" s="21">
        <v>40683</v>
      </c>
      <c r="I502" s="21" t="s">
        <v>887</v>
      </c>
      <c r="J502" s="21" t="s">
        <v>32</v>
      </c>
      <c r="K502" s="21" t="s">
        <v>886</v>
      </c>
      <c r="L502" s="21">
        <v>2</v>
      </c>
      <c r="M502" s="21" t="s">
        <v>32</v>
      </c>
      <c r="N502" s="21" t="s">
        <v>34</v>
      </c>
      <c r="O502" s="21" t="s">
        <v>67</v>
      </c>
      <c r="P502" s="21" t="s">
        <v>34</v>
      </c>
      <c r="Q502" s="21" t="s">
        <v>34</v>
      </c>
      <c r="R502" s="21" t="s">
        <v>34</v>
      </c>
      <c r="S502" s="21" t="s">
        <v>34</v>
      </c>
      <c r="T502" s="21" t="s">
        <v>34</v>
      </c>
      <c r="U502" s="21" t="s">
        <v>34</v>
      </c>
      <c r="V502" s="21">
        <v>1</v>
      </c>
      <c r="W502" s="21" t="s">
        <v>178</v>
      </c>
      <c r="X502" s="21">
        <v>1</v>
      </c>
      <c r="Y502" s="21" t="s">
        <v>885</v>
      </c>
      <c r="Z502" s="21" t="s">
        <v>884</v>
      </c>
      <c r="AA502" s="21">
        <v>21593730</v>
      </c>
      <c r="AB502" s="21">
        <v>1</v>
      </c>
      <c r="AD502" s="21">
        <v>4</v>
      </c>
      <c r="AE502" s="23">
        <v>14</v>
      </c>
      <c r="AF502" s="21">
        <v>7</v>
      </c>
      <c r="AG502" s="21">
        <v>7</v>
      </c>
      <c r="AH502" s="21" t="s">
        <v>1642</v>
      </c>
      <c r="AI502" s="21" t="s">
        <v>1642</v>
      </c>
      <c r="AK502" s="21">
        <v>275</v>
      </c>
      <c r="AN502" s="21">
        <v>275</v>
      </c>
      <c r="AP502" s="21">
        <v>60</v>
      </c>
      <c r="AQ502" s="21" t="s">
        <v>2297</v>
      </c>
      <c r="AR502" s="21" t="s">
        <v>1814</v>
      </c>
      <c r="AS502" s="21" t="s">
        <v>1667</v>
      </c>
      <c r="AT502" s="21" t="s">
        <v>1640</v>
      </c>
      <c r="AU502" s="21" t="s">
        <v>178</v>
      </c>
      <c r="AV502" s="21" t="s">
        <v>1641</v>
      </c>
      <c r="AW502" s="21" t="s">
        <v>1678</v>
      </c>
      <c r="AX502" s="21" t="s">
        <v>2618</v>
      </c>
      <c r="AY502" s="21" t="s">
        <v>3810</v>
      </c>
      <c r="AZ502" s="21" t="s">
        <v>1650</v>
      </c>
      <c r="BA502" s="21">
        <v>328</v>
      </c>
      <c r="BB502" s="21">
        <v>320</v>
      </c>
      <c r="BC502" s="21" t="s">
        <v>3821</v>
      </c>
      <c r="BD502" s="21">
        <v>26.415600000000001</v>
      </c>
      <c r="BF502" s="21">
        <f>29.9255-BD502</f>
        <v>3.5098999999999982</v>
      </c>
      <c r="BG502" s="21" t="s">
        <v>3825</v>
      </c>
      <c r="BH502" s="21">
        <v>53.674700000000001</v>
      </c>
      <c r="BJ502" s="21">
        <f>56.7449-BH502</f>
        <v>3.0701999999999998</v>
      </c>
      <c r="BK502" s="40"/>
    </row>
    <row r="503" spans="1:63" s="21" customFormat="1" x14ac:dyDescent="0.2">
      <c r="A503" s="21">
        <v>109</v>
      </c>
      <c r="B503" s="21" t="s">
        <v>891</v>
      </c>
      <c r="C503" s="21" t="s">
        <v>890</v>
      </c>
      <c r="D503" s="21" t="s">
        <v>889</v>
      </c>
      <c r="E503" s="21" t="s">
        <v>888</v>
      </c>
      <c r="F503" s="21" t="s">
        <v>45</v>
      </c>
      <c r="G503" s="21">
        <v>2011</v>
      </c>
      <c r="H503" s="21">
        <v>40683</v>
      </c>
      <c r="I503" s="21" t="s">
        <v>887</v>
      </c>
      <c r="J503" s="21" t="s">
        <v>32</v>
      </c>
      <c r="K503" s="21" t="s">
        <v>886</v>
      </c>
      <c r="L503" s="21">
        <v>2</v>
      </c>
      <c r="M503" s="21" t="s">
        <v>32</v>
      </c>
      <c r="N503" s="21" t="s">
        <v>34</v>
      </c>
      <c r="O503" s="21" t="s">
        <v>67</v>
      </c>
      <c r="P503" s="21" t="s">
        <v>34</v>
      </c>
      <c r="Q503" s="21" t="s">
        <v>34</v>
      </c>
      <c r="R503" s="21" t="s">
        <v>34</v>
      </c>
      <c r="S503" s="21" t="s">
        <v>34</v>
      </c>
      <c r="T503" s="21" t="s">
        <v>34</v>
      </c>
      <c r="U503" s="21" t="s">
        <v>34</v>
      </c>
      <c r="V503" s="21">
        <v>1</v>
      </c>
      <c r="W503" s="21" t="s">
        <v>178</v>
      </c>
      <c r="X503" s="21">
        <v>1</v>
      </c>
      <c r="Y503" s="21" t="s">
        <v>885</v>
      </c>
      <c r="Z503" s="21" t="s">
        <v>884</v>
      </c>
      <c r="AA503" s="21">
        <v>21593730</v>
      </c>
      <c r="AB503" s="21">
        <v>1</v>
      </c>
      <c r="AD503" s="21">
        <v>4</v>
      </c>
      <c r="AE503" s="23">
        <v>14</v>
      </c>
      <c r="AF503" s="21">
        <v>7</v>
      </c>
      <c r="AG503" s="21">
        <v>7</v>
      </c>
      <c r="AH503" s="21" t="s">
        <v>1642</v>
      </c>
      <c r="AI503" s="21" t="s">
        <v>1642</v>
      </c>
      <c r="AK503" s="21">
        <v>275</v>
      </c>
      <c r="AN503" s="21">
        <v>275</v>
      </c>
      <c r="AP503" s="21">
        <v>60</v>
      </c>
      <c r="AQ503" s="21" t="s">
        <v>2297</v>
      </c>
      <c r="AR503" s="21" t="s">
        <v>1814</v>
      </c>
      <c r="AS503" s="21" t="s">
        <v>1667</v>
      </c>
      <c r="AT503" s="21" t="s">
        <v>1640</v>
      </c>
      <c r="AU503" s="21" t="s">
        <v>178</v>
      </c>
      <c r="AV503" s="21" t="s">
        <v>1641</v>
      </c>
      <c r="AW503" s="21" t="s">
        <v>1678</v>
      </c>
      <c r="AX503" s="21" t="s">
        <v>2618</v>
      </c>
      <c r="AY503" s="21" t="s">
        <v>1684</v>
      </c>
      <c r="AZ503" s="21" t="s">
        <v>1650</v>
      </c>
      <c r="BA503" s="21">
        <v>1328</v>
      </c>
      <c r="BB503" s="21">
        <v>1320</v>
      </c>
      <c r="BC503" s="21" t="s">
        <v>3829</v>
      </c>
      <c r="BD503" s="21">
        <v>82.138800000000003</v>
      </c>
      <c r="BF503" s="21">
        <f>85.4922-BD503</f>
        <v>3.3533999999999935</v>
      </c>
      <c r="BG503" s="21" t="s">
        <v>3830</v>
      </c>
      <c r="BH503" s="21">
        <v>15.837899999999999</v>
      </c>
      <c r="BJ503" s="21">
        <f>18.4859-BH503</f>
        <v>2.6480000000000015</v>
      </c>
      <c r="BK503" s="40"/>
    </row>
    <row r="504" spans="1:63" s="21" customFormat="1" x14ac:dyDescent="0.2">
      <c r="A504" s="21">
        <v>109</v>
      </c>
      <c r="B504" s="21" t="s">
        <v>891</v>
      </c>
      <c r="C504" s="21" t="s">
        <v>890</v>
      </c>
      <c r="D504" s="21" t="s">
        <v>889</v>
      </c>
      <c r="E504" s="21" t="s">
        <v>888</v>
      </c>
      <c r="F504" s="21" t="s">
        <v>45</v>
      </c>
      <c r="G504" s="21">
        <v>2011</v>
      </c>
      <c r="H504" s="21">
        <v>40683</v>
      </c>
      <c r="I504" s="21" t="s">
        <v>887</v>
      </c>
      <c r="J504" s="21" t="s">
        <v>32</v>
      </c>
      <c r="K504" s="21" t="s">
        <v>886</v>
      </c>
      <c r="L504" s="21">
        <v>2</v>
      </c>
      <c r="M504" s="21" t="s">
        <v>32</v>
      </c>
      <c r="N504" s="21" t="s">
        <v>34</v>
      </c>
      <c r="O504" s="21" t="s">
        <v>67</v>
      </c>
      <c r="P504" s="21" t="s">
        <v>34</v>
      </c>
      <c r="Q504" s="21" t="s">
        <v>34</v>
      </c>
      <c r="R504" s="21" t="s">
        <v>34</v>
      </c>
      <c r="S504" s="21" t="s">
        <v>34</v>
      </c>
      <c r="T504" s="21" t="s">
        <v>34</v>
      </c>
      <c r="U504" s="21" t="s">
        <v>34</v>
      </c>
      <c r="V504" s="21">
        <v>1</v>
      </c>
      <c r="W504" s="21" t="s">
        <v>178</v>
      </c>
      <c r="X504" s="21">
        <v>1</v>
      </c>
      <c r="Y504" s="21" t="s">
        <v>885</v>
      </c>
      <c r="Z504" s="21" t="s">
        <v>884</v>
      </c>
      <c r="AA504" s="21">
        <v>21593730</v>
      </c>
      <c r="AB504" s="21">
        <v>1</v>
      </c>
      <c r="AD504" s="21">
        <v>4</v>
      </c>
      <c r="AE504" s="23">
        <v>14</v>
      </c>
      <c r="AF504" s="21">
        <v>7</v>
      </c>
      <c r="AG504" s="21">
        <v>7</v>
      </c>
      <c r="AH504" s="21" t="s">
        <v>1642</v>
      </c>
      <c r="AI504" s="21" t="s">
        <v>1642</v>
      </c>
      <c r="AK504" s="21">
        <v>275</v>
      </c>
      <c r="AN504" s="21">
        <v>275</v>
      </c>
      <c r="AP504" s="21">
        <v>60</v>
      </c>
      <c r="AQ504" s="21" t="s">
        <v>2297</v>
      </c>
      <c r="AR504" s="21" t="s">
        <v>1814</v>
      </c>
      <c r="AS504" s="21" t="s">
        <v>1667</v>
      </c>
      <c r="AT504" s="21" t="s">
        <v>1640</v>
      </c>
      <c r="AU504" s="21" t="s">
        <v>178</v>
      </c>
      <c r="AV504" s="21" t="s">
        <v>1641</v>
      </c>
      <c r="AW504" s="21" t="s">
        <v>1678</v>
      </c>
      <c r="AX504" s="21" t="s">
        <v>2618</v>
      </c>
      <c r="AY504" s="21" t="s">
        <v>3813</v>
      </c>
      <c r="AZ504" s="21" t="s">
        <v>1650</v>
      </c>
      <c r="BA504" s="21">
        <v>1328</v>
      </c>
      <c r="BB504" s="21">
        <v>1320</v>
      </c>
      <c r="BC504" s="21" t="s">
        <v>3831</v>
      </c>
      <c r="BD504" s="21">
        <v>13.1556</v>
      </c>
      <c r="BF504" s="21">
        <f>15.0673-BD504</f>
        <v>1.9116999999999997</v>
      </c>
      <c r="BG504" s="21" t="s">
        <v>3832</v>
      </c>
      <c r="BH504" s="21">
        <v>48.787999999999997</v>
      </c>
      <c r="BJ504" s="21">
        <f>51.7291-BH504</f>
        <v>2.9411000000000058</v>
      </c>
      <c r="BK504" s="40"/>
    </row>
    <row r="505" spans="1:63" s="21" customFormat="1" x14ac:dyDescent="0.2">
      <c r="A505" s="21">
        <v>109</v>
      </c>
      <c r="B505" s="21" t="s">
        <v>891</v>
      </c>
      <c r="C505" s="21" t="s">
        <v>890</v>
      </c>
      <c r="D505" s="21" t="s">
        <v>889</v>
      </c>
      <c r="E505" s="21" t="s">
        <v>888</v>
      </c>
      <c r="F505" s="21" t="s">
        <v>45</v>
      </c>
      <c r="G505" s="21">
        <v>2011</v>
      </c>
      <c r="H505" s="21">
        <v>40683</v>
      </c>
      <c r="I505" s="21" t="s">
        <v>887</v>
      </c>
      <c r="J505" s="21" t="s">
        <v>32</v>
      </c>
      <c r="K505" s="21" t="s">
        <v>886</v>
      </c>
      <c r="L505" s="21">
        <v>2</v>
      </c>
      <c r="M505" s="21" t="s">
        <v>32</v>
      </c>
      <c r="N505" s="21" t="s">
        <v>34</v>
      </c>
      <c r="O505" s="21" t="s">
        <v>67</v>
      </c>
      <c r="P505" s="21" t="s">
        <v>34</v>
      </c>
      <c r="Q505" s="21" t="s">
        <v>34</v>
      </c>
      <c r="R505" s="21" t="s">
        <v>34</v>
      </c>
      <c r="S505" s="21" t="s">
        <v>34</v>
      </c>
      <c r="T505" s="21" t="s">
        <v>34</v>
      </c>
      <c r="U505" s="21" t="s">
        <v>34</v>
      </c>
      <c r="V505" s="21">
        <v>1</v>
      </c>
      <c r="W505" s="21" t="s">
        <v>178</v>
      </c>
      <c r="X505" s="21">
        <v>1</v>
      </c>
      <c r="Y505" s="21" t="s">
        <v>885</v>
      </c>
      <c r="Z505" s="21" t="s">
        <v>884</v>
      </c>
      <c r="AA505" s="21">
        <v>21593730</v>
      </c>
      <c r="AB505" s="21">
        <v>1</v>
      </c>
      <c r="AD505" s="21">
        <v>4</v>
      </c>
      <c r="AE505" s="23">
        <v>14</v>
      </c>
      <c r="AF505" s="21">
        <v>7</v>
      </c>
      <c r="AG505" s="21">
        <v>7</v>
      </c>
      <c r="AH505" s="21" t="s">
        <v>1642</v>
      </c>
      <c r="AI505" s="21" t="s">
        <v>1642</v>
      </c>
      <c r="AK505" s="21">
        <v>275</v>
      </c>
      <c r="AN505" s="21">
        <v>275</v>
      </c>
      <c r="AP505" s="21">
        <v>60</v>
      </c>
      <c r="AQ505" s="21" t="s">
        <v>2297</v>
      </c>
      <c r="AR505" s="21" t="s">
        <v>1814</v>
      </c>
      <c r="AS505" s="21" t="s">
        <v>1667</v>
      </c>
      <c r="AT505" s="21" t="s">
        <v>1640</v>
      </c>
      <c r="AU505" s="21" t="s">
        <v>178</v>
      </c>
      <c r="AV505" s="21" t="s">
        <v>1641</v>
      </c>
      <c r="AW505" s="21" t="s">
        <v>1678</v>
      </c>
      <c r="AX505" s="21" t="s">
        <v>2618</v>
      </c>
      <c r="AY505" s="21" t="s">
        <v>3816</v>
      </c>
      <c r="AZ505" s="21" t="s">
        <v>1650</v>
      </c>
      <c r="BA505" s="21">
        <v>1328</v>
      </c>
      <c r="BB505" s="21">
        <v>1320</v>
      </c>
      <c r="BC505" s="21" t="s">
        <v>3833</v>
      </c>
      <c r="BD505" s="21">
        <v>9.2550100000000004</v>
      </c>
      <c r="BF505" s="21">
        <f>10.2865-BD505</f>
        <v>1.0314899999999998</v>
      </c>
      <c r="BG505" s="21" t="s">
        <v>3834</v>
      </c>
      <c r="BH505" s="21">
        <v>20.039899999999999</v>
      </c>
      <c r="BJ505" s="21">
        <f>23.2799-BH505</f>
        <v>3.240000000000002</v>
      </c>
      <c r="BK505" s="40"/>
    </row>
    <row r="506" spans="1:63" s="21" customFormat="1" x14ac:dyDescent="0.2">
      <c r="A506" s="21">
        <v>109</v>
      </c>
      <c r="B506" s="21" t="s">
        <v>891</v>
      </c>
      <c r="C506" s="21" t="s">
        <v>890</v>
      </c>
      <c r="D506" s="21" t="s">
        <v>889</v>
      </c>
      <c r="E506" s="21" t="s">
        <v>888</v>
      </c>
      <c r="F506" s="21" t="s">
        <v>45</v>
      </c>
      <c r="G506" s="21">
        <v>2011</v>
      </c>
      <c r="H506" s="21">
        <v>40683</v>
      </c>
      <c r="I506" s="21" t="s">
        <v>887</v>
      </c>
      <c r="J506" s="21" t="s">
        <v>32</v>
      </c>
      <c r="K506" s="21" t="s">
        <v>886</v>
      </c>
      <c r="L506" s="21">
        <v>2</v>
      </c>
      <c r="M506" s="21" t="s">
        <v>32</v>
      </c>
      <c r="N506" s="21" t="s">
        <v>34</v>
      </c>
      <c r="O506" s="21" t="s">
        <v>67</v>
      </c>
      <c r="P506" s="21" t="s">
        <v>34</v>
      </c>
      <c r="Q506" s="21" t="s">
        <v>34</v>
      </c>
      <c r="R506" s="21" t="s">
        <v>34</v>
      </c>
      <c r="S506" s="21" t="s">
        <v>34</v>
      </c>
      <c r="T506" s="21" t="s">
        <v>34</v>
      </c>
      <c r="U506" s="21" t="s">
        <v>34</v>
      </c>
      <c r="V506" s="21">
        <v>1</v>
      </c>
      <c r="W506" s="21" t="s">
        <v>178</v>
      </c>
      <c r="X506" s="21">
        <v>1</v>
      </c>
      <c r="Y506" s="21" t="s">
        <v>885</v>
      </c>
      <c r="Z506" s="21" t="s">
        <v>884</v>
      </c>
      <c r="AA506" s="21">
        <v>21593730</v>
      </c>
      <c r="AB506" s="21">
        <v>1</v>
      </c>
      <c r="AD506" s="21">
        <v>4</v>
      </c>
      <c r="AE506" s="23">
        <v>14</v>
      </c>
      <c r="AF506" s="21">
        <v>7</v>
      </c>
      <c r="AG506" s="21">
        <v>7</v>
      </c>
      <c r="AH506" s="21" t="s">
        <v>1642</v>
      </c>
      <c r="AI506" s="21" t="s">
        <v>1642</v>
      </c>
      <c r="AK506" s="21">
        <v>275</v>
      </c>
      <c r="AN506" s="21">
        <v>275</v>
      </c>
      <c r="AP506" s="21">
        <v>60</v>
      </c>
      <c r="AQ506" s="21" t="s">
        <v>2297</v>
      </c>
      <c r="AR506" s="21" t="s">
        <v>1814</v>
      </c>
      <c r="AS506" s="21" t="s">
        <v>1667</v>
      </c>
      <c r="AT506" s="21" t="s">
        <v>1640</v>
      </c>
      <c r="AU506" s="21" t="s">
        <v>178</v>
      </c>
      <c r="AV506" s="21" t="s">
        <v>1641</v>
      </c>
      <c r="AW506" s="21" t="s">
        <v>1678</v>
      </c>
      <c r="AX506" s="21" t="s">
        <v>2618</v>
      </c>
      <c r="AY506" s="21" t="s">
        <v>3810</v>
      </c>
      <c r="AZ506" s="21" t="s">
        <v>1650</v>
      </c>
      <c r="BA506" s="21">
        <v>1328</v>
      </c>
      <c r="BB506" s="21">
        <v>1320</v>
      </c>
      <c r="BC506" s="21" t="s">
        <v>3835</v>
      </c>
      <c r="BD506" s="21">
        <v>23.111599999999999</v>
      </c>
      <c r="BF506" s="21">
        <f>24.6374-BD506</f>
        <v>1.5258000000000003</v>
      </c>
      <c r="BG506" s="21" t="s">
        <v>3836</v>
      </c>
      <c r="BH506" s="21">
        <v>47.6218</v>
      </c>
      <c r="BJ506" s="21">
        <f>49.1494-BH506</f>
        <v>1.5275999999999996</v>
      </c>
      <c r="BK506" s="40"/>
    </row>
    <row r="507" spans="1:63" s="21" customFormat="1" x14ac:dyDescent="0.2">
      <c r="A507" s="21">
        <v>109</v>
      </c>
      <c r="B507" s="21" t="s">
        <v>891</v>
      </c>
      <c r="C507" s="21" t="s">
        <v>890</v>
      </c>
      <c r="D507" s="21" t="s">
        <v>889</v>
      </c>
      <c r="E507" s="21" t="s">
        <v>888</v>
      </c>
      <c r="F507" s="21" t="s">
        <v>45</v>
      </c>
      <c r="G507" s="21">
        <v>2011</v>
      </c>
      <c r="H507" s="21">
        <v>40683</v>
      </c>
      <c r="I507" s="21" t="s">
        <v>887</v>
      </c>
      <c r="J507" s="21" t="s">
        <v>32</v>
      </c>
      <c r="K507" s="21" t="s">
        <v>886</v>
      </c>
      <c r="L507" s="21">
        <v>2</v>
      </c>
      <c r="M507" s="21" t="s">
        <v>32</v>
      </c>
      <c r="N507" s="21" t="s">
        <v>34</v>
      </c>
      <c r="O507" s="21" t="s">
        <v>67</v>
      </c>
      <c r="P507" s="21" t="s">
        <v>34</v>
      </c>
      <c r="Q507" s="21" t="s">
        <v>34</v>
      </c>
      <c r="R507" s="21" t="s">
        <v>34</v>
      </c>
      <c r="S507" s="21" t="s">
        <v>34</v>
      </c>
      <c r="T507" s="21" t="s">
        <v>34</v>
      </c>
      <c r="U507" s="21" t="s">
        <v>34</v>
      </c>
      <c r="V507" s="21">
        <v>1</v>
      </c>
      <c r="W507" s="21" t="s">
        <v>178</v>
      </c>
      <c r="X507" s="21">
        <v>1</v>
      </c>
      <c r="Y507" s="21" t="s">
        <v>885</v>
      </c>
      <c r="Z507" s="21" t="s">
        <v>884</v>
      </c>
      <c r="AA507" s="21">
        <v>21593730</v>
      </c>
      <c r="AB507" s="21">
        <v>1</v>
      </c>
      <c r="AD507" s="21">
        <v>4</v>
      </c>
      <c r="AE507" s="23">
        <v>14</v>
      </c>
      <c r="AF507" s="21">
        <v>7</v>
      </c>
      <c r="AG507" s="21">
        <v>7</v>
      </c>
      <c r="AH507" s="21" t="s">
        <v>1642</v>
      </c>
      <c r="AI507" s="21" t="s">
        <v>1642</v>
      </c>
      <c r="AK507" s="21">
        <v>275</v>
      </c>
      <c r="AN507" s="21">
        <v>275</v>
      </c>
      <c r="AP507" s="21">
        <v>60</v>
      </c>
      <c r="AQ507" s="21" t="s">
        <v>2297</v>
      </c>
      <c r="AR507" s="21" t="s">
        <v>1814</v>
      </c>
      <c r="AS507" s="21" t="s">
        <v>1667</v>
      </c>
      <c r="AT507" s="21" t="s">
        <v>1640</v>
      </c>
      <c r="AU507" s="21" t="s">
        <v>178</v>
      </c>
      <c r="AV507" s="21" t="s">
        <v>1764</v>
      </c>
      <c r="AW507" s="21" t="s">
        <v>1678</v>
      </c>
      <c r="AX507" s="21" t="s">
        <v>2618</v>
      </c>
      <c r="AY507" s="21" t="s">
        <v>1684</v>
      </c>
      <c r="AZ507" s="21" t="s">
        <v>1650</v>
      </c>
      <c r="BA507" s="21">
        <v>2328</v>
      </c>
      <c r="BB507" s="21">
        <v>2320</v>
      </c>
      <c r="BC507" s="21" t="s">
        <v>3837</v>
      </c>
      <c r="BD507" s="21">
        <v>80.665800000000004</v>
      </c>
      <c r="BF507" s="21">
        <f>82.8483-BD507</f>
        <v>2.1824999999999903</v>
      </c>
      <c r="BG507" s="21" t="s">
        <v>3838</v>
      </c>
      <c r="BH507" s="21">
        <v>21.839300000000001</v>
      </c>
      <c r="BJ507" s="21">
        <f>24.2037-BH507</f>
        <v>2.3643999999999998</v>
      </c>
      <c r="BK507" s="40"/>
    </row>
    <row r="508" spans="1:63" s="21" customFormat="1" x14ac:dyDescent="0.2">
      <c r="A508" s="21">
        <v>109</v>
      </c>
      <c r="B508" s="21" t="s">
        <v>891</v>
      </c>
      <c r="C508" s="21" t="s">
        <v>890</v>
      </c>
      <c r="D508" s="21" t="s">
        <v>889</v>
      </c>
      <c r="E508" s="21" t="s">
        <v>888</v>
      </c>
      <c r="F508" s="21" t="s">
        <v>45</v>
      </c>
      <c r="G508" s="21">
        <v>2011</v>
      </c>
      <c r="H508" s="21">
        <v>40683</v>
      </c>
      <c r="I508" s="21" t="s">
        <v>887</v>
      </c>
      <c r="J508" s="21" t="s">
        <v>32</v>
      </c>
      <c r="K508" s="21" t="s">
        <v>886</v>
      </c>
      <c r="L508" s="21">
        <v>2</v>
      </c>
      <c r="M508" s="21" t="s">
        <v>32</v>
      </c>
      <c r="N508" s="21" t="s">
        <v>34</v>
      </c>
      <c r="O508" s="21" t="s">
        <v>67</v>
      </c>
      <c r="P508" s="21" t="s">
        <v>34</v>
      </c>
      <c r="Q508" s="21" t="s">
        <v>34</v>
      </c>
      <c r="R508" s="21" t="s">
        <v>34</v>
      </c>
      <c r="S508" s="21" t="s">
        <v>34</v>
      </c>
      <c r="T508" s="21" t="s">
        <v>34</v>
      </c>
      <c r="U508" s="21" t="s">
        <v>34</v>
      </c>
      <c r="V508" s="21">
        <v>1</v>
      </c>
      <c r="W508" s="21" t="s">
        <v>178</v>
      </c>
      <c r="X508" s="21">
        <v>1</v>
      </c>
      <c r="Y508" s="21" t="s">
        <v>885</v>
      </c>
      <c r="Z508" s="21" t="s">
        <v>884</v>
      </c>
      <c r="AA508" s="21">
        <v>21593730</v>
      </c>
      <c r="AB508" s="21">
        <v>1</v>
      </c>
      <c r="AD508" s="21">
        <v>4</v>
      </c>
      <c r="AE508" s="23">
        <v>14</v>
      </c>
      <c r="AF508" s="21">
        <v>7</v>
      </c>
      <c r="AG508" s="21">
        <v>7</v>
      </c>
      <c r="AH508" s="21" t="s">
        <v>1642</v>
      </c>
      <c r="AI508" s="21" t="s">
        <v>1642</v>
      </c>
      <c r="AK508" s="21">
        <v>275</v>
      </c>
      <c r="AN508" s="21">
        <v>275</v>
      </c>
      <c r="AP508" s="21">
        <v>60</v>
      </c>
      <c r="AQ508" s="21" t="s">
        <v>2297</v>
      </c>
      <c r="AR508" s="21" t="s">
        <v>1814</v>
      </c>
      <c r="AS508" s="21" t="s">
        <v>1667</v>
      </c>
      <c r="AT508" s="21" t="s">
        <v>1640</v>
      </c>
      <c r="AU508" s="21" t="s">
        <v>178</v>
      </c>
      <c r="AV508" s="21" t="s">
        <v>1764</v>
      </c>
      <c r="AW508" s="21" t="s">
        <v>1678</v>
      </c>
      <c r="AX508" s="21" t="s">
        <v>2618</v>
      </c>
      <c r="AY508" s="21" t="s">
        <v>3813</v>
      </c>
      <c r="AZ508" s="21" t="s">
        <v>1650</v>
      </c>
      <c r="BA508" s="21">
        <v>2328</v>
      </c>
      <c r="BB508" s="21">
        <v>2320</v>
      </c>
      <c r="BC508" s="21" t="s">
        <v>3839</v>
      </c>
      <c r="BD508" s="21">
        <v>15.7859</v>
      </c>
      <c r="BF508" s="21">
        <f>18.2003-BD508</f>
        <v>2.4143999999999988</v>
      </c>
      <c r="BG508" s="21" t="s">
        <v>3840</v>
      </c>
      <c r="BH508" s="21">
        <v>51.308500000000002</v>
      </c>
      <c r="BJ508" s="21">
        <f>54.478-BH508</f>
        <v>3.1694999999999993</v>
      </c>
      <c r="BK508" s="40"/>
    </row>
    <row r="509" spans="1:63" s="21" customFormat="1" x14ac:dyDescent="0.2">
      <c r="A509" s="21">
        <v>109</v>
      </c>
      <c r="B509" s="21" t="s">
        <v>891</v>
      </c>
      <c r="C509" s="21" t="s">
        <v>890</v>
      </c>
      <c r="D509" s="21" t="s">
        <v>889</v>
      </c>
      <c r="E509" s="21" t="s">
        <v>888</v>
      </c>
      <c r="F509" s="21" t="s">
        <v>45</v>
      </c>
      <c r="G509" s="21">
        <v>2011</v>
      </c>
      <c r="H509" s="21">
        <v>40683</v>
      </c>
      <c r="I509" s="21" t="s">
        <v>887</v>
      </c>
      <c r="J509" s="21" t="s">
        <v>32</v>
      </c>
      <c r="K509" s="21" t="s">
        <v>886</v>
      </c>
      <c r="L509" s="21">
        <v>2</v>
      </c>
      <c r="M509" s="21" t="s">
        <v>32</v>
      </c>
      <c r="N509" s="21" t="s">
        <v>34</v>
      </c>
      <c r="O509" s="21" t="s">
        <v>67</v>
      </c>
      <c r="P509" s="21" t="s">
        <v>34</v>
      </c>
      <c r="Q509" s="21" t="s">
        <v>34</v>
      </c>
      <c r="R509" s="21" t="s">
        <v>34</v>
      </c>
      <c r="S509" s="21" t="s">
        <v>34</v>
      </c>
      <c r="T509" s="21" t="s">
        <v>34</v>
      </c>
      <c r="U509" s="21" t="s">
        <v>34</v>
      </c>
      <c r="V509" s="21">
        <v>1</v>
      </c>
      <c r="W509" s="21" t="s">
        <v>178</v>
      </c>
      <c r="X509" s="21">
        <v>1</v>
      </c>
      <c r="Y509" s="21" t="s">
        <v>885</v>
      </c>
      <c r="Z509" s="21" t="s">
        <v>884</v>
      </c>
      <c r="AA509" s="21">
        <v>21593730</v>
      </c>
      <c r="AB509" s="21">
        <v>1</v>
      </c>
      <c r="AD509" s="21">
        <v>4</v>
      </c>
      <c r="AE509" s="23">
        <v>14</v>
      </c>
      <c r="AF509" s="21">
        <v>7</v>
      </c>
      <c r="AG509" s="21">
        <v>7</v>
      </c>
      <c r="AH509" s="21" t="s">
        <v>1642</v>
      </c>
      <c r="AI509" s="21" t="s">
        <v>1642</v>
      </c>
      <c r="AK509" s="21">
        <v>275</v>
      </c>
      <c r="AN509" s="21">
        <v>275</v>
      </c>
      <c r="AP509" s="21">
        <v>60</v>
      </c>
      <c r="AQ509" s="21" t="s">
        <v>2297</v>
      </c>
      <c r="AR509" s="21" t="s">
        <v>1814</v>
      </c>
      <c r="AS509" s="21" t="s">
        <v>1667</v>
      </c>
      <c r="AT509" s="21" t="s">
        <v>1640</v>
      </c>
      <c r="AU509" s="21" t="s">
        <v>178</v>
      </c>
      <c r="AV509" s="21" t="s">
        <v>1764</v>
      </c>
      <c r="AW509" s="21" t="s">
        <v>1678</v>
      </c>
      <c r="AX509" s="21" t="s">
        <v>2618</v>
      </c>
      <c r="AY509" s="21" t="s">
        <v>3816</v>
      </c>
      <c r="AZ509" s="21" t="s">
        <v>1650</v>
      </c>
      <c r="BA509" s="21">
        <v>2328</v>
      </c>
      <c r="BB509" s="21">
        <v>2320</v>
      </c>
      <c r="BC509" s="21" t="s">
        <v>3841</v>
      </c>
      <c r="BD509" s="21">
        <v>10.415100000000001</v>
      </c>
      <c r="BF509" s="21">
        <f>12.1552-BD509</f>
        <v>1.7401</v>
      </c>
      <c r="BG509" s="21" t="s">
        <v>3842</v>
      </c>
      <c r="BH509" s="21">
        <v>20.433700000000002</v>
      </c>
      <c r="BJ509" s="21">
        <f>22.1741-BH509</f>
        <v>1.7403999999999975</v>
      </c>
      <c r="BK509" s="40"/>
    </row>
    <row r="510" spans="1:63" s="21" customFormat="1" x14ac:dyDescent="0.2">
      <c r="A510" s="21">
        <v>109</v>
      </c>
      <c r="B510" s="21" t="s">
        <v>891</v>
      </c>
      <c r="C510" s="21" t="s">
        <v>890</v>
      </c>
      <c r="D510" s="21" t="s">
        <v>889</v>
      </c>
      <c r="E510" s="21" t="s">
        <v>888</v>
      </c>
      <c r="F510" s="21" t="s">
        <v>45</v>
      </c>
      <c r="G510" s="21">
        <v>2011</v>
      </c>
      <c r="H510" s="21">
        <v>40683</v>
      </c>
      <c r="I510" s="21" t="s">
        <v>887</v>
      </c>
      <c r="J510" s="21" t="s">
        <v>32</v>
      </c>
      <c r="K510" s="21" t="s">
        <v>886</v>
      </c>
      <c r="L510" s="21">
        <v>2</v>
      </c>
      <c r="M510" s="21" t="s">
        <v>32</v>
      </c>
      <c r="N510" s="21" t="s">
        <v>34</v>
      </c>
      <c r="O510" s="21" t="s">
        <v>67</v>
      </c>
      <c r="P510" s="21" t="s">
        <v>34</v>
      </c>
      <c r="Q510" s="21" t="s">
        <v>34</v>
      </c>
      <c r="R510" s="21" t="s">
        <v>34</v>
      </c>
      <c r="S510" s="21" t="s">
        <v>34</v>
      </c>
      <c r="T510" s="21" t="s">
        <v>34</v>
      </c>
      <c r="U510" s="21" t="s">
        <v>34</v>
      </c>
      <c r="V510" s="21">
        <v>1</v>
      </c>
      <c r="W510" s="21" t="s">
        <v>178</v>
      </c>
      <c r="X510" s="21">
        <v>1</v>
      </c>
      <c r="Y510" s="21" t="s">
        <v>885</v>
      </c>
      <c r="Z510" s="21" t="s">
        <v>884</v>
      </c>
      <c r="AA510" s="21">
        <v>21593730</v>
      </c>
      <c r="AB510" s="21">
        <v>1</v>
      </c>
      <c r="AD510" s="21">
        <v>4</v>
      </c>
      <c r="AE510" s="23">
        <v>14</v>
      </c>
      <c r="AF510" s="21">
        <v>7</v>
      </c>
      <c r="AG510" s="21">
        <v>7</v>
      </c>
      <c r="AH510" s="21" t="s">
        <v>1642</v>
      </c>
      <c r="AI510" s="21" t="s">
        <v>1642</v>
      </c>
      <c r="AK510" s="21">
        <v>275</v>
      </c>
      <c r="AN510" s="21">
        <v>275</v>
      </c>
      <c r="AP510" s="21">
        <v>60</v>
      </c>
      <c r="AQ510" s="21" t="s">
        <v>2297</v>
      </c>
      <c r="AR510" s="21" t="s">
        <v>1814</v>
      </c>
      <c r="AS510" s="21" t="s">
        <v>1667</v>
      </c>
      <c r="AT510" s="21" t="s">
        <v>1640</v>
      </c>
      <c r="AU510" s="21" t="s">
        <v>178</v>
      </c>
      <c r="AV510" s="21" t="s">
        <v>1764</v>
      </c>
      <c r="AW510" s="21" t="s">
        <v>1678</v>
      </c>
      <c r="AX510" s="21" t="s">
        <v>2618</v>
      </c>
      <c r="AY510" s="21" t="s">
        <v>3810</v>
      </c>
      <c r="AZ510" s="21" t="s">
        <v>1650</v>
      </c>
      <c r="BA510" s="21">
        <v>2328</v>
      </c>
      <c r="BB510" s="21">
        <v>2320</v>
      </c>
      <c r="BC510" s="21" t="s">
        <v>3843</v>
      </c>
      <c r="BD510" s="21">
        <v>24.2163</v>
      </c>
      <c r="BF510" s="21">
        <f>27.0098-BD510</f>
        <v>2.7934999999999981</v>
      </c>
      <c r="BG510" s="21" t="s">
        <v>3844</v>
      </c>
      <c r="BH510" s="21">
        <v>48.659799999999997</v>
      </c>
      <c r="BJ510" s="21">
        <f>51.8181-BH510</f>
        <v>3.1583000000000041</v>
      </c>
      <c r="BK510" s="40"/>
    </row>
    <row r="511" spans="1:63" s="21" customFormat="1" x14ac:dyDescent="0.2">
      <c r="A511" s="21">
        <v>109</v>
      </c>
      <c r="B511" s="21" t="s">
        <v>891</v>
      </c>
      <c r="C511" s="21" t="s">
        <v>890</v>
      </c>
      <c r="D511" s="21" t="s">
        <v>889</v>
      </c>
      <c r="E511" s="21" t="s">
        <v>888</v>
      </c>
      <c r="F511" s="21" t="s">
        <v>45</v>
      </c>
      <c r="G511" s="21">
        <v>2011</v>
      </c>
      <c r="H511" s="21">
        <v>40683</v>
      </c>
      <c r="I511" s="21" t="s">
        <v>887</v>
      </c>
      <c r="J511" s="21" t="s">
        <v>32</v>
      </c>
      <c r="K511" s="21" t="s">
        <v>886</v>
      </c>
      <c r="L511" s="21">
        <v>2</v>
      </c>
      <c r="M511" s="21" t="s">
        <v>32</v>
      </c>
      <c r="N511" s="21" t="s">
        <v>34</v>
      </c>
      <c r="O511" s="21" t="s">
        <v>67</v>
      </c>
      <c r="P511" s="21" t="s">
        <v>34</v>
      </c>
      <c r="Q511" s="21" t="s">
        <v>34</v>
      </c>
      <c r="R511" s="21" t="s">
        <v>34</v>
      </c>
      <c r="S511" s="21" t="s">
        <v>34</v>
      </c>
      <c r="T511" s="21" t="s">
        <v>34</v>
      </c>
      <c r="U511" s="21" t="s">
        <v>34</v>
      </c>
      <c r="V511" s="21">
        <v>1</v>
      </c>
      <c r="W511" s="21" t="s">
        <v>178</v>
      </c>
      <c r="X511" s="21">
        <v>1</v>
      </c>
      <c r="Y511" s="21" t="s">
        <v>885</v>
      </c>
      <c r="Z511" s="21" t="s">
        <v>884</v>
      </c>
      <c r="AA511" s="21">
        <v>21593730</v>
      </c>
      <c r="AB511" s="21">
        <v>1</v>
      </c>
      <c r="AD511" s="21">
        <v>4</v>
      </c>
      <c r="AE511" s="23">
        <v>12</v>
      </c>
      <c r="AF511" s="21">
        <v>6</v>
      </c>
      <c r="AG511" s="21">
        <v>6</v>
      </c>
      <c r="AH511" s="21" t="s">
        <v>1642</v>
      </c>
      <c r="AI511" s="21" t="s">
        <v>1642</v>
      </c>
      <c r="AK511" s="21">
        <v>275</v>
      </c>
      <c r="AN511" s="21">
        <v>275</v>
      </c>
      <c r="AP511" s="21">
        <v>60</v>
      </c>
      <c r="AQ511" s="21" t="s">
        <v>2297</v>
      </c>
      <c r="AR511" s="21" t="s">
        <v>1814</v>
      </c>
      <c r="AS511" s="21" t="s">
        <v>1667</v>
      </c>
      <c r="AT511" s="21" t="s">
        <v>1640</v>
      </c>
      <c r="AU511" s="21" t="s">
        <v>178</v>
      </c>
      <c r="AV511" s="21" t="s">
        <v>1641</v>
      </c>
      <c r="AW511" s="21" t="s">
        <v>1678</v>
      </c>
      <c r="AX511" s="21" t="s">
        <v>2618</v>
      </c>
      <c r="AY511" s="21" t="s">
        <v>3813</v>
      </c>
      <c r="AZ511" s="21" t="s">
        <v>1650</v>
      </c>
      <c r="BA511" s="21">
        <v>3328</v>
      </c>
      <c r="BB511" s="21">
        <v>3320</v>
      </c>
      <c r="BC511" s="21" t="s">
        <v>3845</v>
      </c>
      <c r="BD511" s="21">
        <v>12.6608</v>
      </c>
      <c r="BF511" s="21">
        <f>14.057-BD511</f>
        <v>1.3962000000000003</v>
      </c>
      <c r="BG511" s="21" t="s">
        <v>3847</v>
      </c>
      <c r="BH511" s="21">
        <v>52.846200000000003</v>
      </c>
      <c r="BJ511" s="21">
        <f>56.1966-BH511</f>
        <v>3.3503999999999934</v>
      </c>
      <c r="BK511" s="40"/>
    </row>
    <row r="512" spans="1:63" s="21" customFormat="1" x14ac:dyDescent="0.2">
      <c r="A512" s="21">
        <v>109</v>
      </c>
      <c r="B512" s="21" t="s">
        <v>891</v>
      </c>
      <c r="C512" s="21" t="s">
        <v>890</v>
      </c>
      <c r="D512" s="21" t="s">
        <v>889</v>
      </c>
      <c r="E512" s="21" t="s">
        <v>888</v>
      </c>
      <c r="F512" s="21" t="s">
        <v>45</v>
      </c>
      <c r="G512" s="21">
        <v>2011</v>
      </c>
      <c r="H512" s="21">
        <v>40683</v>
      </c>
      <c r="I512" s="21" t="s">
        <v>887</v>
      </c>
      <c r="J512" s="21" t="s">
        <v>32</v>
      </c>
      <c r="K512" s="21" t="s">
        <v>886</v>
      </c>
      <c r="L512" s="21">
        <v>2</v>
      </c>
      <c r="M512" s="21" t="s">
        <v>32</v>
      </c>
      <c r="N512" s="21" t="s">
        <v>34</v>
      </c>
      <c r="O512" s="21" t="s">
        <v>67</v>
      </c>
      <c r="P512" s="21" t="s">
        <v>34</v>
      </c>
      <c r="Q512" s="21" t="s">
        <v>34</v>
      </c>
      <c r="R512" s="21" t="s">
        <v>34</v>
      </c>
      <c r="S512" s="21" t="s">
        <v>34</v>
      </c>
      <c r="T512" s="21" t="s">
        <v>34</v>
      </c>
      <c r="U512" s="21" t="s">
        <v>34</v>
      </c>
      <c r="V512" s="21">
        <v>1</v>
      </c>
      <c r="W512" s="21" t="s">
        <v>178</v>
      </c>
      <c r="X512" s="21">
        <v>1</v>
      </c>
      <c r="Y512" s="21" t="s">
        <v>885</v>
      </c>
      <c r="Z512" s="21" t="s">
        <v>884</v>
      </c>
      <c r="AA512" s="21">
        <v>21593730</v>
      </c>
      <c r="AB512" s="21">
        <v>1</v>
      </c>
      <c r="AD512" s="21">
        <v>4</v>
      </c>
      <c r="AE512" s="23">
        <v>12</v>
      </c>
      <c r="AF512" s="21">
        <v>6</v>
      </c>
      <c r="AG512" s="21">
        <v>6</v>
      </c>
      <c r="AH512" s="21" t="s">
        <v>1642</v>
      </c>
      <c r="AI512" s="21" t="s">
        <v>1642</v>
      </c>
      <c r="AK512" s="21">
        <v>275</v>
      </c>
      <c r="AN512" s="21">
        <v>275</v>
      </c>
      <c r="AP512" s="21">
        <v>60</v>
      </c>
      <c r="AQ512" s="21" t="s">
        <v>2297</v>
      </c>
      <c r="AR512" s="21" t="s">
        <v>1814</v>
      </c>
      <c r="AS512" s="21" t="s">
        <v>1667</v>
      </c>
      <c r="AT512" s="21" t="s">
        <v>1640</v>
      </c>
      <c r="AU512" s="21" t="s">
        <v>178</v>
      </c>
      <c r="AV512" s="21" t="s">
        <v>1641</v>
      </c>
      <c r="AW512" s="21" t="s">
        <v>1678</v>
      </c>
      <c r="AX512" s="21" t="s">
        <v>2618</v>
      </c>
      <c r="AY512" s="21" t="s">
        <v>3816</v>
      </c>
      <c r="AZ512" s="21" t="s">
        <v>1650</v>
      </c>
      <c r="BA512" s="21">
        <v>3328</v>
      </c>
      <c r="BB512" s="21">
        <v>3320</v>
      </c>
      <c r="BC512" s="21" t="s">
        <v>3846</v>
      </c>
      <c r="BD512" s="21">
        <v>9.5696399999999997</v>
      </c>
      <c r="BF512" s="21">
        <f>10.9636-BD512</f>
        <v>1.3939599999999999</v>
      </c>
      <c r="BG512" s="21" t="s">
        <v>3848</v>
      </c>
      <c r="BH512" s="21">
        <v>19.337499999999999</v>
      </c>
      <c r="BJ512" s="21">
        <f>21.8928-BH512</f>
        <v>2.5553000000000026</v>
      </c>
      <c r="BK512" s="40"/>
    </row>
    <row r="513" spans="1:63" s="21" customFormat="1" x14ac:dyDescent="0.2">
      <c r="A513" s="21">
        <v>109</v>
      </c>
      <c r="B513" s="21" t="s">
        <v>891</v>
      </c>
      <c r="C513" s="21" t="s">
        <v>890</v>
      </c>
      <c r="D513" s="21" t="s">
        <v>889</v>
      </c>
      <c r="E513" s="21" t="s">
        <v>888</v>
      </c>
      <c r="F513" s="21" t="s">
        <v>45</v>
      </c>
      <c r="G513" s="21">
        <v>2011</v>
      </c>
      <c r="H513" s="21">
        <v>40683</v>
      </c>
      <c r="I513" s="21" t="s">
        <v>887</v>
      </c>
      <c r="J513" s="21" t="s">
        <v>32</v>
      </c>
      <c r="K513" s="21" t="s">
        <v>886</v>
      </c>
      <c r="L513" s="21">
        <v>2</v>
      </c>
      <c r="M513" s="21" t="s">
        <v>32</v>
      </c>
      <c r="N513" s="21" t="s">
        <v>34</v>
      </c>
      <c r="O513" s="21" t="s">
        <v>67</v>
      </c>
      <c r="P513" s="21" t="s">
        <v>34</v>
      </c>
      <c r="Q513" s="21" t="s">
        <v>34</v>
      </c>
      <c r="R513" s="21" t="s">
        <v>34</v>
      </c>
      <c r="S513" s="21" t="s">
        <v>34</v>
      </c>
      <c r="T513" s="21" t="s">
        <v>34</v>
      </c>
      <c r="U513" s="21" t="s">
        <v>34</v>
      </c>
      <c r="V513" s="21">
        <v>1</v>
      </c>
      <c r="W513" s="21" t="s">
        <v>178</v>
      </c>
      <c r="X513" s="21">
        <v>1</v>
      </c>
      <c r="Y513" s="21" t="s">
        <v>885</v>
      </c>
      <c r="Z513" s="21" t="s">
        <v>884</v>
      </c>
      <c r="AA513" s="21">
        <v>21593730</v>
      </c>
      <c r="AB513" s="21">
        <v>1</v>
      </c>
      <c r="AD513" s="21">
        <v>4</v>
      </c>
      <c r="AE513" s="23">
        <v>14</v>
      </c>
      <c r="AF513" s="21">
        <v>7</v>
      </c>
      <c r="AG513" s="21">
        <v>7</v>
      </c>
      <c r="AH513" s="21" t="s">
        <v>1642</v>
      </c>
      <c r="AI513" s="21" t="s">
        <v>1642</v>
      </c>
      <c r="AK513" s="21">
        <v>275</v>
      </c>
      <c r="AN513" s="21">
        <v>275</v>
      </c>
      <c r="AP513" s="21">
        <v>60</v>
      </c>
      <c r="AQ513" s="21" t="s">
        <v>2297</v>
      </c>
      <c r="AR513" s="21" t="s">
        <v>1814</v>
      </c>
      <c r="AS513" s="21" t="s">
        <v>1667</v>
      </c>
      <c r="AT513" s="21" t="s">
        <v>1640</v>
      </c>
      <c r="AU513" s="21" t="s">
        <v>178</v>
      </c>
      <c r="AV513" s="21" t="s">
        <v>2040</v>
      </c>
      <c r="AW513" s="21" t="s">
        <v>1678</v>
      </c>
      <c r="AX513" s="21" t="s">
        <v>2618</v>
      </c>
      <c r="AY513" s="21" t="s">
        <v>3810</v>
      </c>
      <c r="AZ513" s="21" t="s">
        <v>1650</v>
      </c>
      <c r="BA513" s="21">
        <v>4328</v>
      </c>
      <c r="BB513" s="21">
        <v>4320</v>
      </c>
      <c r="BC513" s="21" t="s">
        <v>3849</v>
      </c>
      <c r="BD513" s="21">
        <v>22.991199999999999</v>
      </c>
      <c r="BF513" s="21">
        <f>27.2872-BD513</f>
        <v>4.2959999999999994</v>
      </c>
      <c r="BG513" s="21" t="s">
        <v>3853</v>
      </c>
      <c r="BH513" s="21">
        <v>48.2896</v>
      </c>
      <c r="BJ513" s="21">
        <f>50.8353-BH513</f>
        <v>2.5456999999999965</v>
      </c>
      <c r="BK513" s="40"/>
    </row>
    <row r="514" spans="1:63" s="21" customFormat="1" x14ac:dyDescent="0.2">
      <c r="A514" s="21">
        <v>109</v>
      </c>
      <c r="B514" s="21" t="s">
        <v>891</v>
      </c>
      <c r="C514" s="21" t="s">
        <v>890</v>
      </c>
      <c r="D514" s="21" t="s">
        <v>889</v>
      </c>
      <c r="E514" s="21" t="s">
        <v>888</v>
      </c>
      <c r="F514" s="21" t="s">
        <v>45</v>
      </c>
      <c r="G514" s="21">
        <v>2011</v>
      </c>
      <c r="H514" s="21">
        <v>40683</v>
      </c>
      <c r="I514" s="21" t="s">
        <v>887</v>
      </c>
      <c r="J514" s="21" t="s">
        <v>32</v>
      </c>
      <c r="K514" s="21" t="s">
        <v>886</v>
      </c>
      <c r="L514" s="21">
        <v>2</v>
      </c>
      <c r="M514" s="21" t="s">
        <v>32</v>
      </c>
      <c r="N514" s="21" t="s">
        <v>34</v>
      </c>
      <c r="O514" s="21" t="s">
        <v>67</v>
      </c>
      <c r="P514" s="21" t="s">
        <v>34</v>
      </c>
      <c r="Q514" s="21" t="s">
        <v>34</v>
      </c>
      <c r="R514" s="21" t="s">
        <v>34</v>
      </c>
      <c r="S514" s="21" t="s">
        <v>34</v>
      </c>
      <c r="T514" s="21" t="s">
        <v>34</v>
      </c>
      <c r="U514" s="21" t="s">
        <v>34</v>
      </c>
      <c r="V514" s="21">
        <v>1</v>
      </c>
      <c r="W514" s="21" t="s">
        <v>178</v>
      </c>
      <c r="X514" s="21">
        <v>1</v>
      </c>
      <c r="Y514" s="21" t="s">
        <v>885</v>
      </c>
      <c r="Z514" s="21" t="s">
        <v>884</v>
      </c>
      <c r="AA514" s="21">
        <v>21593730</v>
      </c>
      <c r="AB514" s="21">
        <v>1</v>
      </c>
      <c r="AD514" s="21">
        <v>4</v>
      </c>
      <c r="AE514" s="23">
        <v>14</v>
      </c>
      <c r="AF514" s="21">
        <v>7</v>
      </c>
      <c r="AG514" s="21">
        <v>7</v>
      </c>
      <c r="AH514" s="21" t="s">
        <v>1642</v>
      </c>
      <c r="AI514" s="21" t="s">
        <v>1642</v>
      </c>
      <c r="AK514" s="21">
        <v>275</v>
      </c>
      <c r="AN514" s="21">
        <v>275</v>
      </c>
      <c r="AP514" s="21">
        <v>60</v>
      </c>
      <c r="AQ514" s="21" t="s">
        <v>2297</v>
      </c>
      <c r="AR514" s="21" t="s">
        <v>1814</v>
      </c>
      <c r="AS514" s="21" t="s">
        <v>1667</v>
      </c>
      <c r="AT514" s="21" t="s">
        <v>1640</v>
      </c>
      <c r="AU514" s="21" t="s">
        <v>178</v>
      </c>
      <c r="AV514" s="21" t="s">
        <v>2040</v>
      </c>
      <c r="AW514" s="21" t="s">
        <v>1678</v>
      </c>
      <c r="AX514" s="21" t="s">
        <v>2618</v>
      </c>
      <c r="AY514" s="21" t="s">
        <v>1684</v>
      </c>
      <c r="AZ514" s="21" t="s">
        <v>1650</v>
      </c>
      <c r="BA514" s="21">
        <v>4328</v>
      </c>
      <c r="BB514" s="21">
        <v>4320</v>
      </c>
      <c r="BC514" s="21" t="s">
        <v>3850</v>
      </c>
      <c r="BD514" s="21">
        <v>82.895799999999994</v>
      </c>
      <c r="BF514" s="21">
        <f>86.5553-BD514</f>
        <v>3.6595000000000084</v>
      </c>
      <c r="BG514" s="21" t="s">
        <v>3854</v>
      </c>
      <c r="BH514" s="21">
        <v>15.751799999999999</v>
      </c>
      <c r="BJ514" s="21">
        <f>18.7749-BH514</f>
        <v>3.0230999999999995</v>
      </c>
      <c r="BK514" s="40"/>
    </row>
    <row r="515" spans="1:63" s="21" customFormat="1" x14ac:dyDescent="0.2">
      <c r="A515" s="21">
        <v>109</v>
      </c>
      <c r="B515" s="21" t="s">
        <v>891</v>
      </c>
      <c r="C515" s="21" t="s">
        <v>890</v>
      </c>
      <c r="D515" s="21" t="s">
        <v>889</v>
      </c>
      <c r="E515" s="21" t="s">
        <v>888</v>
      </c>
      <c r="F515" s="21" t="s">
        <v>45</v>
      </c>
      <c r="G515" s="21">
        <v>2011</v>
      </c>
      <c r="H515" s="21">
        <v>40683</v>
      </c>
      <c r="I515" s="21" t="s">
        <v>887</v>
      </c>
      <c r="J515" s="21" t="s">
        <v>32</v>
      </c>
      <c r="K515" s="21" t="s">
        <v>886</v>
      </c>
      <c r="L515" s="21">
        <v>2</v>
      </c>
      <c r="M515" s="21" t="s">
        <v>32</v>
      </c>
      <c r="N515" s="21" t="s">
        <v>34</v>
      </c>
      <c r="O515" s="21" t="s">
        <v>67</v>
      </c>
      <c r="P515" s="21" t="s">
        <v>34</v>
      </c>
      <c r="Q515" s="21" t="s">
        <v>34</v>
      </c>
      <c r="R515" s="21" t="s">
        <v>34</v>
      </c>
      <c r="S515" s="21" t="s">
        <v>34</v>
      </c>
      <c r="T515" s="21" t="s">
        <v>34</v>
      </c>
      <c r="U515" s="21" t="s">
        <v>34</v>
      </c>
      <c r="V515" s="21">
        <v>1</v>
      </c>
      <c r="W515" s="21" t="s">
        <v>178</v>
      </c>
      <c r="X515" s="21">
        <v>1</v>
      </c>
      <c r="Y515" s="21" t="s">
        <v>885</v>
      </c>
      <c r="Z515" s="21" t="s">
        <v>884</v>
      </c>
      <c r="AA515" s="21">
        <v>21593730</v>
      </c>
      <c r="AB515" s="21">
        <v>1</v>
      </c>
      <c r="AD515" s="21">
        <v>4</v>
      </c>
      <c r="AE515" s="23">
        <v>14</v>
      </c>
      <c r="AF515" s="21">
        <v>7</v>
      </c>
      <c r="AG515" s="21">
        <v>7</v>
      </c>
      <c r="AH515" s="21" t="s">
        <v>1642</v>
      </c>
      <c r="AI515" s="21" t="s">
        <v>1642</v>
      </c>
      <c r="AK515" s="21">
        <v>275</v>
      </c>
      <c r="AN515" s="21">
        <v>275</v>
      </c>
      <c r="AP515" s="21">
        <v>60</v>
      </c>
      <c r="AQ515" s="21" t="s">
        <v>2297</v>
      </c>
      <c r="AR515" s="21" t="s">
        <v>1814</v>
      </c>
      <c r="AS515" s="21" t="s">
        <v>1667</v>
      </c>
      <c r="AT515" s="21" t="s">
        <v>1640</v>
      </c>
      <c r="AU515" s="21" t="s">
        <v>178</v>
      </c>
      <c r="AV515" s="21" t="s">
        <v>2040</v>
      </c>
      <c r="AW515" s="21" t="s">
        <v>1678</v>
      </c>
      <c r="AX515" s="21" t="s">
        <v>2618</v>
      </c>
      <c r="AY515" s="21" t="s">
        <v>3813</v>
      </c>
      <c r="AZ515" s="21" t="s">
        <v>1650</v>
      </c>
      <c r="BA515" s="21">
        <v>4328</v>
      </c>
      <c r="BB515" s="21">
        <v>4320</v>
      </c>
      <c r="BC515" s="21" t="s">
        <v>3851</v>
      </c>
      <c r="BD515" s="21">
        <v>12.0923</v>
      </c>
      <c r="BF515" s="21">
        <f>14.638-BD515</f>
        <v>2.5457000000000001</v>
      </c>
      <c r="BG515" s="21" t="s">
        <v>3855</v>
      </c>
      <c r="BH515" s="21">
        <v>49.482900000000001</v>
      </c>
      <c r="BJ515" s="21">
        <f>52.9833-BH515</f>
        <v>3.5003999999999991</v>
      </c>
      <c r="BK515" s="40"/>
    </row>
    <row r="516" spans="1:63" s="21" customFormat="1" x14ac:dyDescent="0.2">
      <c r="A516" s="21">
        <v>109</v>
      </c>
      <c r="B516" s="21" t="s">
        <v>891</v>
      </c>
      <c r="C516" s="21" t="s">
        <v>890</v>
      </c>
      <c r="D516" s="21" t="s">
        <v>889</v>
      </c>
      <c r="E516" s="21" t="s">
        <v>888</v>
      </c>
      <c r="F516" s="21" t="s">
        <v>45</v>
      </c>
      <c r="G516" s="21">
        <v>2011</v>
      </c>
      <c r="H516" s="21">
        <v>40683</v>
      </c>
      <c r="I516" s="21" t="s">
        <v>887</v>
      </c>
      <c r="J516" s="21" t="s">
        <v>32</v>
      </c>
      <c r="K516" s="21" t="s">
        <v>886</v>
      </c>
      <c r="L516" s="21">
        <v>2</v>
      </c>
      <c r="M516" s="21" t="s">
        <v>32</v>
      </c>
      <c r="N516" s="21" t="s">
        <v>34</v>
      </c>
      <c r="O516" s="21" t="s">
        <v>67</v>
      </c>
      <c r="P516" s="21" t="s">
        <v>34</v>
      </c>
      <c r="Q516" s="21" t="s">
        <v>34</v>
      </c>
      <c r="R516" s="21" t="s">
        <v>34</v>
      </c>
      <c r="S516" s="21" t="s">
        <v>34</v>
      </c>
      <c r="T516" s="21" t="s">
        <v>34</v>
      </c>
      <c r="U516" s="21" t="s">
        <v>34</v>
      </c>
      <c r="V516" s="21">
        <v>1</v>
      </c>
      <c r="W516" s="21" t="s">
        <v>178</v>
      </c>
      <c r="X516" s="21">
        <v>1</v>
      </c>
      <c r="Y516" s="21" t="s">
        <v>885</v>
      </c>
      <c r="Z516" s="21" t="s">
        <v>884</v>
      </c>
      <c r="AA516" s="21">
        <v>21593730</v>
      </c>
      <c r="AB516" s="21">
        <v>1</v>
      </c>
      <c r="AD516" s="21">
        <v>4</v>
      </c>
      <c r="AE516" s="23">
        <v>14</v>
      </c>
      <c r="AF516" s="21">
        <v>7</v>
      </c>
      <c r="AG516" s="21">
        <v>7</v>
      </c>
      <c r="AH516" s="21" t="s">
        <v>1642</v>
      </c>
      <c r="AI516" s="21" t="s">
        <v>1642</v>
      </c>
      <c r="AK516" s="21">
        <v>275</v>
      </c>
      <c r="AN516" s="21">
        <v>275</v>
      </c>
      <c r="AP516" s="21">
        <v>60</v>
      </c>
      <c r="AQ516" s="21" t="s">
        <v>2297</v>
      </c>
      <c r="AR516" s="21" t="s">
        <v>1814</v>
      </c>
      <c r="AS516" s="21" t="s">
        <v>1667</v>
      </c>
      <c r="AT516" s="21" t="s">
        <v>1640</v>
      </c>
      <c r="AU516" s="21" t="s">
        <v>178</v>
      </c>
      <c r="AV516" s="21" t="s">
        <v>2040</v>
      </c>
      <c r="AW516" s="21" t="s">
        <v>1678</v>
      </c>
      <c r="AX516" s="21" t="s">
        <v>2618</v>
      </c>
      <c r="AY516" s="21" t="s">
        <v>3816</v>
      </c>
      <c r="AZ516" s="21" t="s">
        <v>1650</v>
      </c>
      <c r="BA516" s="21">
        <v>4328</v>
      </c>
      <c r="BB516" s="21">
        <v>4320</v>
      </c>
      <c r="BC516" s="21" t="s">
        <v>3852</v>
      </c>
      <c r="BD516" s="21">
        <v>9.9641999999999999</v>
      </c>
      <c r="BF516" s="21">
        <f>11.1575-BD516</f>
        <v>1.1933000000000007</v>
      </c>
      <c r="BG516" s="21" t="s">
        <v>3856</v>
      </c>
      <c r="BH516" s="21">
        <v>22.553699999999999</v>
      </c>
      <c r="BJ516" s="21">
        <f>24.4033-BH516</f>
        <v>1.8496000000000024</v>
      </c>
      <c r="BK516" s="40"/>
    </row>
    <row r="517" spans="1:63" s="21" customFormat="1" x14ac:dyDescent="0.2">
      <c r="A517" s="21">
        <v>109</v>
      </c>
      <c r="B517" s="21" t="s">
        <v>891</v>
      </c>
      <c r="C517" s="21" t="s">
        <v>890</v>
      </c>
      <c r="D517" s="21" t="s">
        <v>889</v>
      </c>
      <c r="E517" s="21" t="s">
        <v>888</v>
      </c>
      <c r="F517" s="21" t="s">
        <v>45</v>
      </c>
      <c r="G517" s="21">
        <v>2011</v>
      </c>
      <c r="H517" s="21">
        <v>40683</v>
      </c>
      <c r="I517" s="21" t="s">
        <v>887</v>
      </c>
      <c r="J517" s="21" t="s">
        <v>32</v>
      </c>
      <c r="K517" s="21" t="s">
        <v>886</v>
      </c>
      <c r="L517" s="21">
        <v>2</v>
      </c>
      <c r="M517" s="21" t="s">
        <v>32</v>
      </c>
      <c r="N517" s="21" t="s">
        <v>34</v>
      </c>
      <c r="O517" s="21" t="s">
        <v>67</v>
      </c>
      <c r="P517" s="21" t="s">
        <v>34</v>
      </c>
      <c r="Q517" s="21" t="s">
        <v>34</v>
      </c>
      <c r="R517" s="21" t="s">
        <v>34</v>
      </c>
      <c r="S517" s="21" t="s">
        <v>34</v>
      </c>
      <c r="T517" s="21" t="s">
        <v>34</v>
      </c>
      <c r="U517" s="21" t="s">
        <v>34</v>
      </c>
      <c r="V517" s="21">
        <v>1</v>
      </c>
      <c r="W517" s="21" t="s">
        <v>178</v>
      </c>
      <c r="X517" s="21">
        <v>1</v>
      </c>
      <c r="Y517" s="21" t="s">
        <v>885</v>
      </c>
      <c r="Z517" s="21" t="s">
        <v>884</v>
      </c>
      <c r="AA517" s="21">
        <v>21593730</v>
      </c>
      <c r="AB517" s="21">
        <v>1</v>
      </c>
      <c r="AD517" s="21">
        <v>4</v>
      </c>
      <c r="AE517" s="23">
        <v>14</v>
      </c>
      <c r="AF517" s="21">
        <v>7</v>
      </c>
      <c r="AG517" s="21">
        <v>7</v>
      </c>
      <c r="AH517" s="21" t="s">
        <v>1642</v>
      </c>
      <c r="AI517" s="21" t="s">
        <v>1642</v>
      </c>
      <c r="AK517" s="21">
        <v>275</v>
      </c>
      <c r="AN517" s="21">
        <v>275</v>
      </c>
      <c r="AP517" s="21">
        <v>60</v>
      </c>
      <c r="AQ517" s="21" t="s">
        <v>2297</v>
      </c>
      <c r="AR517" s="21" t="s">
        <v>1814</v>
      </c>
      <c r="AS517" s="21" t="s">
        <v>1667</v>
      </c>
      <c r="AT517" s="21" t="s">
        <v>1640</v>
      </c>
      <c r="AU517" s="21" t="s">
        <v>178</v>
      </c>
      <c r="AV517" s="21" t="s">
        <v>2532</v>
      </c>
      <c r="AW517" s="21" t="s">
        <v>1678</v>
      </c>
      <c r="AX517" s="21" t="s">
        <v>2618</v>
      </c>
      <c r="AY517" s="21" t="s">
        <v>3810</v>
      </c>
      <c r="AZ517" s="21" t="s">
        <v>1650</v>
      </c>
      <c r="BA517" s="21">
        <v>5328</v>
      </c>
      <c r="BB517" s="21">
        <v>5320</v>
      </c>
      <c r="BC517" s="21" t="s">
        <v>3857</v>
      </c>
      <c r="BD517" s="21">
        <v>27.588699999999999</v>
      </c>
      <c r="BF517" s="21">
        <f>29.8614-BD517</f>
        <v>2.2727000000000004</v>
      </c>
      <c r="BG517" s="21" t="s">
        <v>3861</v>
      </c>
      <c r="BH517" s="21">
        <v>49.326700000000002</v>
      </c>
      <c r="BJ517" s="21">
        <f>52.5464-BH517</f>
        <v>3.219699999999996</v>
      </c>
      <c r="BK517" s="40"/>
    </row>
    <row r="518" spans="1:63" s="21" customFormat="1" x14ac:dyDescent="0.2">
      <c r="A518" s="21">
        <v>109</v>
      </c>
      <c r="B518" s="21" t="s">
        <v>891</v>
      </c>
      <c r="C518" s="21" t="s">
        <v>890</v>
      </c>
      <c r="D518" s="21" t="s">
        <v>889</v>
      </c>
      <c r="E518" s="21" t="s">
        <v>888</v>
      </c>
      <c r="F518" s="21" t="s">
        <v>45</v>
      </c>
      <c r="G518" s="21">
        <v>2011</v>
      </c>
      <c r="H518" s="21">
        <v>40683</v>
      </c>
      <c r="I518" s="21" t="s">
        <v>887</v>
      </c>
      <c r="J518" s="21" t="s">
        <v>32</v>
      </c>
      <c r="K518" s="21" t="s">
        <v>886</v>
      </c>
      <c r="L518" s="21">
        <v>2</v>
      </c>
      <c r="M518" s="21" t="s">
        <v>32</v>
      </c>
      <c r="N518" s="21" t="s">
        <v>34</v>
      </c>
      <c r="O518" s="21" t="s">
        <v>67</v>
      </c>
      <c r="P518" s="21" t="s">
        <v>34</v>
      </c>
      <c r="Q518" s="21" t="s">
        <v>34</v>
      </c>
      <c r="R518" s="21" t="s">
        <v>34</v>
      </c>
      <c r="S518" s="21" t="s">
        <v>34</v>
      </c>
      <c r="T518" s="21" t="s">
        <v>34</v>
      </c>
      <c r="U518" s="21" t="s">
        <v>34</v>
      </c>
      <c r="V518" s="21">
        <v>1</v>
      </c>
      <c r="W518" s="21" t="s">
        <v>178</v>
      </c>
      <c r="X518" s="21">
        <v>1</v>
      </c>
      <c r="Y518" s="21" t="s">
        <v>885</v>
      </c>
      <c r="Z518" s="21" t="s">
        <v>884</v>
      </c>
      <c r="AA518" s="21">
        <v>21593730</v>
      </c>
      <c r="AB518" s="21">
        <v>1</v>
      </c>
      <c r="AD518" s="21">
        <v>4</v>
      </c>
      <c r="AE518" s="23">
        <v>14</v>
      </c>
      <c r="AF518" s="21">
        <v>7</v>
      </c>
      <c r="AG518" s="21">
        <v>7</v>
      </c>
      <c r="AH518" s="21" t="s">
        <v>1642</v>
      </c>
      <c r="AI518" s="21" t="s">
        <v>1642</v>
      </c>
      <c r="AK518" s="21">
        <v>275</v>
      </c>
      <c r="AN518" s="21">
        <v>275</v>
      </c>
      <c r="AP518" s="21">
        <v>60</v>
      </c>
      <c r="AQ518" s="21" t="s">
        <v>2297</v>
      </c>
      <c r="AR518" s="21" t="s">
        <v>1814</v>
      </c>
      <c r="AS518" s="21" t="s">
        <v>1667</v>
      </c>
      <c r="AT518" s="21" t="s">
        <v>1640</v>
      </c>
      <c r="AU518" s="21" t="s">
        <v>178</v>
      </c>
      <c r="AV518" s="21" t="s">
        <v>2532</v>
      </c>
      <c r="AW518" s="21" t="s">
        <v>1678</v>
      </c>
      <c r="AX518" s="21" t="s">
        <v>2618</v>
      </c>
      <c r="AY518" s="21" t="s">
        <v>1684</v>
      </c>
      <c r="AZ518" s="21" t="s">
        <v>1650</v>
      </c>
      <c r="BA518" s="21">
        <v>5328</v>
      </c>
      <c r="BB518" s="21">
        <v>5320</v>
      </c>
      <c r="BC518" s="21" t="s">
        <v>3858</v>
      </c>
      <c r="BD518" s="21">
        <v>80.199200000000005</v>
      </c>
      <c r="BF518" s="21">
        <f>83.8494-BD518</f>
        <v>3.6501999999999981</v>
      </c>
      <c r="BG518" s="21" t="s">
        <v>3862</v>
      </c>
      <c r="BH518" s="21">
        <v>16.709299999999999</v>
      </c>
      <c r="BJ518" s="21">
        <f>19.4469-BH518</f>
        <v>2.7376000000000005</v>
      </c>
      <c r="BK518" s="40"/>
    </row>
    <row r="519" spans="1:63" s="21" customFormat="1" x14ac:dyDescent="0.2">
      <c r="A519" s="21">
        <v>109</v>
      </c>
      <c r="B519" s="21" t="s">
        <v>891</v>
      </c>
      <c r="C519" s="21" t="s">
        <v>890</v>
      </c>
      <c r="D519" s="21" t="s">
        <v>889</v>
      </c>
      <c r="E519" s="21" t="s">
        <v>888</v>
      </c>
      <c r="F519" s="21" t="s">
        <v>45</v>
      </c>
      <c r="G519" s="21">
        <v>2011</v>
      </c>
      <c r="H519" s="21">
        <v>40683</v>
      </c>
      <c r="I519" s="21" t="s">
        <v>887</v>
      </c>
      <c r="J519" s="21" t="s">
        <v>32</v>
      </c>
      <c r="K519" s="21" t="s">
        <v>886</v>
      </c>
      <c r="L519" s="21">
        <v>2</v>
      </c>
      <c r="M519" s="21" t="s">
        <v>32</v>
      </c>
      <c r="N519" s="21" t="s">
        <v>34</v>
      </c>
      <c r="O519" s="21" t="s">
        <v>67</v>
      </c>
      <c r="P519" s="21" t="s">
        <v>34</v>
      </c>
      <c r="Q519" s="21" t="s">
        <v>34</v>
      </c>
      <c r="R519" s="21" t="s">
        <v>34</v>
      </c>
      <c r="S519" s="21" t="s">
        <v>34</v>
      </c>
      <c r="T519" s="21" t="s">
        <v>34</v>
      </c>
      <c r="U519" s="21" t="s">
        <v>34</v>
      </c>
      <c r="V519" s="21">
        <v>1</v>
      </c>
      <c r="W519" s="21" t="s">
        <v>178</v>
      </c>
      <c r="X519" s="21">
        <v>1</v>
      </c>
      <c r="Y519" s="21" t="s">
        <v>885</v>
      </c>
      <c r="Z519" s="21" t="s">
        <v>884</v>
      </c>
      <c r="AA519" s="21">
        <v>21593730</v>
      </c>
      <c r="AB519" s="21">
        <v>1</v>
      </c>
      <c r="AD519" s="21">
        <v>4</v>
      </c>
      <c r="AE519" s="23">
        <v>14</v>
      </c>
      <c r="AF519" s="21">
        <v>7</v>
      </c>
      <c r="AG519" s="21">
        <v>7</v>
      </c>
      <c r="AH519" s="21" t="s">
        <v>1642</v>
      </c>
      <c r="AI519" s="21" t="s">
        <v>1642</v>
      </c>
      <c r="AK519" s="21">
        <v>275</v>
      </c>
      <c r="AN519" s="21">
        <v>275</v>
      </c>
      <c r="AP519" s="21">
        <v>60</v>
      </c>
      <c r="AQ519" s="21" t="s">
        <v>2297</v>
      </c>
      <c r="AR519" s="21" t="s">
        <v>1814</v>
      </c>
      <c r="AS519" s="21" t="s">
        <v>1667</v>
      </c>
      <c r="AT519" s="21" t="s">
        <v>1640</v>
      </c>
      <c r="AU519" s="21" t="s">
        <v>178</v>
      </c>
      <c r="AV519" s="21" t="s">
        <v>2532</v>
      </c>
      <c r="AW519" s="21" t="s">
        <v>1678</v>
      </c>
      <c r="AX519" s="21" t="s">
        <v>2618</v>
      </c>
      <c r="AY519" s="21" t="s">
        <v>3813</v>
      </c>
      <c r="AZ519" s="21" t="s">
        <v>1650</v>
      </c>
      <c r="BA519" s="21">
        <v>5328</v>
      </c>
      <c r="BB519" s="21">
        <v>5320</v>
      </c>
      <c r="BC519" s="21" t="s">
        <v>3859</v>
      </c>
      <c r="BD519" s="21">
        <v>10.962400000000001</v>
      </c>
      <c r="BF519" s="21">
        <f>12.8599-BD519</f>
        <v>1.8974999999999991</v>
      </c>
      <c r="BG519" s="21" t="s">
        <v>3863</v>
      </c>
      <c r="BH519" s="21">
        <v>54.197899999999997</v>
      </c>
      <c r="BJ519" s="21">
        <f>57.0439-BH519</f>
        <v>2.8460000000000036</v>
      </c>
      <c r="BK519" s="40"/>
    </row>
    <row r="520" spans="1:63" s="21" customFormat="1" x14ac:dyDescent="0.2">
      <c r="A520" s="21">
        <v>109</v>
      </c>
      <c r="B520" s="21" t="s">
        <v>891</v>
      </c>
      <c r="C520" s="21" t="s">
        <v>890</v>
      </c>
      <c r="D520" s="21" t="s">
        <v>889</v>
      </c>
      <c r="E520" s="21" t="s">
        <v>888</v>
      </c>
      <c r="F520" s="21" t="s">
        <v>45</v>
      </c>
      <c r="G520" s="21">
        <v>2011</v>
      </c>
      <c r="H520" s="21">
        <v>40683</v>
      </c>
      <c r="I520" s="21" t="s">
        <v>887</v>
      </c>
      <c r="J520" s="21" t="s">
        <v>32</v>
      </c>
      <c r="K520" s="21" t="s">
        <v>886</v>
      </c>
      <c r="L520" s="21">
        <v>2</v>
      </c>
      <c r="M520" s="21" t="s">
        <v>32</v>
      </c>
      <c r="N520" s="21" t="s">
        <v>34</v>
      </c>
      <c r="O520" s="21" t="s">
        <v>67</v>
      </c>
      <c r="P520" s="21" t="s">
        <v>34</v>
      </c>
      <c r="Q520" s="21" t="s">
        <v>34</v>
      </c>
      <c r="R520" s="21" t="s">
        <v>34</v>
      </c>
      <c r="S520" s="21" t="s">
        <v>34</v>
      </c>
      <c r="T520" s="21" t="s">
        <v>34</v>
      </c>
      <c r="U520" s="21" t="s">
        <v>34</v>
      </c>
      <c r="V520" s="21">
        <v>1</v>
      </c>
      <c r="W520" s="21" t="s">
        <v>178</v>
      </c>
      <c r="X520" s="21">
        <v>1</v>
      </c>
      <c r="Y520" s="21" t="s">
        <v>885</v>
      </c>
      <c r="Z520" s="21" t="s">
        <v>884</v>
      </c>
      <c r="AA520" s="21">
        <v>21593730</v>
      </c>
      <c r="AB520" s="21">
        <v>1</v>
      </c>
      <c r="AD520" s="21">
        <v>4</v>
      </c>
      <c r="AE520" s="23">
        <v>14</v>
      </c>
      <c r="AF520" s="21">
        <v>7</v>
      </c>
      <c r="AG520" s="21">
        <v>7</v>
      </c>
      <c r="AH520" s="21" t="s">
        <v>1642</v>
      </c>
      <c r="AI520" s="21" t="s">
        <v>1642</v>
      </c>
      <c r="AK520" s="21">
        <v>275</v>
      </c>
      <c r="AN520" s="21">
        <v>275</v>
      </c>
      <c r="AP520" s="21">
        <v>60</v>
      </c>
      <c r="AQ520" s="21" t="s">
        <v>2297</v>
      </c>
      <c r="AR520" s="21" t="s">
        <v>1814</v>
      </c>
      <c r="AS520" s="21" t="s">
        <v>1667</v>
      </c>
      <c r="AT520" s="21" t="s">
        <v>1640</v>
      </c>
      <c r="AU520" s="21" t="s">
        <v>178</v>
      </c>
      <c r="AV520" s="21" t="s">
        <v>2532</v>
      </c>
      <c r="AW520" s="21" t="s">
        <v>1678</v>
      </c>
      <c r="AX520" s="21" t="s">
        <v>2618</v>
      </c>
      <c r="AY520" s="21" t="s">
        <v>3816</v>
      </c>
      <c r="AZ520" s="21" t="s">
        <v>1650</v>
      </c>
      <c r="BA520" s="21">
        <v>5328</v>
      </c>
      <c r="BB520" s="21">
        <v>5320</v>
      </c>
      <c r="BC520" s="21" t="s">
        <v>3860</v>
      </c>
      <c r="BD520" s="21">
        <v>9.2721800000000005</v>
      </c>
      <c r="BF520" s="21">
        <f>10.055-BD520</f>
        <v>0.78281999999999918</v>
      </c>
      <c r="BG520" s="21" t="s">
        <v>3864</v>
      </c>
      <c r="BH520" s="21">
        <v>19.462</v>
      </c>
      <c r="BJ520" s="21">
        <f>22.2371-BH520</f>
        <v>2.7751000000000019</v>
      </c>
      <c r="BK520" s="40"/>
    </row>
    <row r="521" spans="1:63" s="21" customFormat="1" x14ac:dyDescent="0.2">
      <c r="A521" s="21">
        <v>109</v>
      </c>
      <c r="B521" s="21" t="s">
        <v>891</v>
      </c>
      <c r="C521" s="21" t="s">
        <v>890</v>
      </c>
      <c r="D521" s="21" t="s">
        <v>889</v>
      </c>
      <c r="E521" s="21" t="s">
        <v>888</v>
      </c>
      <c r="F521" s="21" t="s">
        <v>45</v>
      </c>
      <c r="G521" s="21">
        <v>2011</v>
      </c>
      <c r="H521" s="21">
        <v>40683</v>
      </c>
      <c r="I521" s="21" t="s">
        <v>887</v>
      </c>
      <c r="J521" s="21" t="s">
        <v>32</v>
      </c>
      <c r="K521" s="21" t="s">
        <v>886</v>
      </c>
      <c r="L521" s="21">
        <v>2</v>
      </c>
      <c r="M521" s="21" t="s">
        <v>32</v>
      </c>
      <c r="N521" s="21" t="s">
        <v>34</v>
      </c>
      <c r="O521" s="21" t="s">
        <v>67</v>
      </c>
      <c r="P521" s="21" t="s">
        <v>34</v>
      </c>
      <c r="Q521" s="21" t="s">
        <v>34</v>
      </c>
      <c r="R521" s="21" t="s">
        <v>34</v>
      </c>
      <c r="S521" s="21" t="s">
        <v>34</v>
      </c>
      <c r="T521" s="21" t="s">
        <v>34</v>
      </c>
      <c r="U521" s="21" t="s">
        <v>34</v>
      </c>
      <c r="V521" s="21">
        <v>1</v>
      </c>
      <c r="W521" s="21" t="s">
        <v>178</v>
      </c>
      <c r="X521" s="21">
        <v>1</v>
      </c>
      <c r="Y521" s="21" t="s">
        <v>885</v>
      </c>
      <c r="Z521" s="21" t="s">
        <v>884</v>
      </c>
      <c r="AA521" s="21">
        <v>21593730</v>
      </c>
      <c r="AB521" s="21">
        <v>1</v>
      </c>
      <c r="AD521" s="21">
        <v>4</v>
      </c>
      <c r="AE521" s="23">
        <v>14</v>
      </c>
      <c r="AF521" s="21">
        <v>7</v>
      </c>
      <c r="AG521" s="21">
        <v>7</v>
      </c>
      <c r="AH521" s="21" t="s">
        <v>1642</v>
      </c>
      <c r="AI521" s="21" t="s">
        <v>1642</v>
      </c>
      <c r="AK521" s="21">
        <v>275</v>
      </c>
      <c r="AN521" s="21">
        <v>275</v>
      </c>
      <c r="AP521" s="21">
        <v>60</v>
      </c>
      <c r="AQ521" s="21" t="s">
        <v>2297</v>
      </c>
      <c r="AR521" s="21" t="s">
        <v>1814</v>
      </c>
      <c r="AS521" s="21" t="s">
        <v>1667</v>
      </c>
      <c r="AT521" s="21" t="s">
        <v>1640</v>
      </c>
      <c r="AU521" s="21" t="s">
        <v>178</v>
      </c>
      <c r="AV521" s="21" t="s">
        <v>2532</v>
      </c>
      <c r="AW521" s="21" t="s">
        <v>1678</v>
      </c>
      <c r="AX521" s="21" t="s">
        <v>2618</v>
      </c>
      <c r="AY521" s="21" t="s">
        <v>1684</v>
      </c>
      <c r="AZ521" s="21" t="s">
        <v>1650</v>
      </c>
      <c r="BA521" s="21">
        <v>6328</v>
      </c>
      <c r="BB521" s="21">
        <v>6320</v>
      </c>
      <c r="BC521" s="21" t="s">
        <v>3865</v>
      </c>
      <c r="BD521" s="21">
        <v>77.750299999999996</v>
      </c>
      <c r="BF521" s="21">
        <f>81.0201-BD521</f>
        <v>3.2698000000000036</v>
      </c>
      <c r="BG521" s="21" t="s">
        <v>3869</v>
      </c>
      <c r="BH521" s="21">
        <v>18.517700000000001</v>
      </c>
      <c r="BJ521" s="21">
        <f>22.4414-BH521</f>
        <v>3.9237000000000002</v>
      </c>
      <c r="BK521" s="40"/>
    </row>
    <row r="522" spans="1:63" s="21" customFormat="1" x14ac:dyDescent="0.2">
      <c r="A522" s="21">
        <v>109</v>
      </c>
      <c r="B522" s="21" t="s">
        <v>891</v>
      </c>
      <c r="C522" s="21" t="s">
        <v>890</v>
      </c>
      <c r="D522" s="21" t="s">
        <v>889</v>
      </c>
      <c r="E522" s="21" t="s">
        <v>888</v>
      </c>
      <c r="F522" s="21" t="s">
        <v>45</v>
      </c>
      <c r="G522" s="21">
        <v>2011</v>
      </c>
      <c r="H522" s="21">
        <v>40683</v>
      </c>
      <c r="I522" s="21" t="s">
        <v>887</v>
      </c>
      <c r="J522" s="21" t="s">
        <v>32</v>
      </c>
      <c r="K522" s="21" t="s">
        <v>886</v>
      </c>
      <c r="L522" s="21">
        <v>2</v>
      </c>
      <c r="M522" s="21" t="s">
        <v>32</v>
      </c>
      <c r="N522" s="21" t="s">
        <v>34</v>
      </c>
      <c r="O522" s="21" t="s">
        <v>67</v>
      </c>
      <c r="P522" s="21" t="s">
        <v>34</v>
      </c>
      <c r="Q522" s="21" t="s">
        <v>34</v>
      </c>
      <c r="R522" s="21" t="s">
        <v>34</v>
      </c>
      <c r="S522" s="21" t="s">
        <v>34</v>
      </c>
      <c r="T522" s="21" t="s">
        <v>34</v>
      </c>
      <c r="U522" s="21" t="s">
        <v>34</v>
      </c>
      <c r="V522" s="21">
        <v>1</v>
      </c>
      <c r="W522" s="21" t="s">
        <v>178</v>
      </c>
      <c r="X522" s="21">
        <v>1</v>
      </c>
      <c r="Y522" s="21" t="s">
        <v>885</v>
      </c>
      <c r="Z522" s="21" t="s">
        <v>884</v>
      </c>
      <c r="AA522" s="21">
        <v>21593730</v>
      </c>
      <c r="AB522" s="21">
        <v>1</v>
      </c>
      <c r="AD522" s="21">
        <v>4</v>
      </c>
      <c r="AE522" s="23">
        <v>14</v>
      </c>
      <c r="AF522" s="21">
        <v>7</v>
      </c>
      <c r="AG522" s="21">
        <v>7</v>
      </c>
      <c r="AH522" s="21" t="s">
        <v>1642</v>
      </c>
      <c r="AI522" s="21" t="s">
        <v>1642</v>
      </c>
      <c r="AK522" s="21">
        <v>275</v>
      </c>
      <c r="AN522" s="21">
        <v>275</v>
      </c>
      <c r="AP522" s="21">
        <v>60</v>
      </c>
      <c r="AQ522" s="21" t="s">
        <v>2297</v>
      </c>
      <c r="AR522" s="21" t="s">
        <v>1814</v>
      </c>
      <c r="AS522" s="21" t="s">
        <v>1667</v>
      </c>
      <c r="AT522" s="21" t="s">
        <v>1640</v>
      </c>
      <c r="AU522" s="21" t="s">
        <v>178</v>
      </c>
      <c r="AV522" s="21" t="s">
        <v>2532</v>
      </c>
      <c r="AW522" s="21" t="s">
        <v>1678</v>
      </c>
      <c r="AX522" s="21" t="s">
        <v>2618</v>
      </c>
      <c r="AY522" s="21" t="s">
        <v>3813</v>
      </c>
      <c r="AZ522" s="21" t="s">
        <v>1650</v>
      </c>
      <c r="BA522" s="21">
        <v>6328</v>
      </c>
      <c r="BB522" s="21">
        <v>6320</v>
      </c>
      <c r="BC522" s="21" t="s">
        <v>3866</v>
      </c>
      <c r="BD522" s="21">
        <v>13.605399999999999</v>
      </c>
      <c r="BF522" s="21">
        <f>16.1905-BD522</f>
        <v>2.5851000000000006</v>
      </c>
      <c r="BG522" s="21" t="s">
        <v>3870</v>
      </c>
      <c r="BH522" s="21">
        <v>53.877600000000001</v>
      </c>
      <c r="BJ522" s="21">
        <f>57.415-BH522</f>
        <v>3.5373999999999981</v>
      </c>
      <c r="BK522" s="40"/>
    </row>
    <row r="523" spans="1:63" s="21" customFormat="1" x14ac:dyDescent="0.2">
      <c r="A523" s="21">
        <v>109</v>
      </c>
      <c r="B523" s="21" t="s">
        <v>891</v>
      </c>
      <c r="C523" s="21" t="s">
        <v>890</v>
      </c>
      <c r="D523" s="21" t="s">
        <v>889</v>
      </c>
      <c r="E523" s="21" t="s">
        <v>888</v>
      </c>
      <c r="F523" s="21" t="s">
        <v>45</v>
      </c>
      <c r="G523" s="21">
        <v>2011</v>
      </c>
      <c r="H523" s="21">
        <v>40683</v>
      </c>
      <c r="I523" s="21" t="s">
        <v>887</v>
      </c>
      <c r="J523" s="21" t="s">
        <v>32</v>
      </c>
      <c r="K523" s="21" t="s">
        <v>886</v>
      </c>
      <c r="L523" s="21">
        <v>2</v>
      </c>
      <c r="M523" s="21" t="s">
        <v>32</v>
      </c>
      <c r="N523" s="21" t="s">
        <v>34</v>
      </c>
      <c r="O523" s="21" t="s">
        <v>67</v>
      </c>
      <c r="P523" s="21" t="s">
        <v>34</v>
      </c>
      <c r="Q523" s="21" t="s">
        <v>34</v>
      </c>
      <c r="R523" s="21" t="s">
        <v>34</v>
      </c>
      <c r="S523" s="21" t="s">
        <v>34</v>
      </c>
      <c r="T523" s="21" t="s">
        <v>34</v>
      </c>
      <c r="U523" s="21" t="s">
        <v>34</v>
      </c>
      <c r="V523" s="21">
        <v>1</v>
      </c>
      <c r="W523" s="21" t="s">
        <v>178</v>
      </c>
      <c r="X523" s="21">
        <v>1</v>
      </c>
      <c r="Y523" s="21" t="s">
        <v>885</v>
      </c>
      <c r="Z523" s="21" t="s">
        <v>884</v>
      </c>
      <c r="AA523" s="21">
        <v>21593730</v>
      </c>
      <c r="AB523" s="21">
        <v>1</v>
      </c>
      <c r="AD523" s="21">
        <v>4</v>
      </c>
      <c r="AE523" s="23">
        <v>14</v>
      </c>
      <c r="AF523" s="21">
        <v>7</v>
      </c>
      <c r="AG523" s="21">
        <v>7</v>
      </c>
      <c r="AH523" s="21" t="s">
        <v>1642</v>
      </c>
      <c r="AI523" s="21" t="s">
        <v>1642</v>
      </c>
      <c r="AK523" s="21">
        <v>275</v>
      </c>
      <c r="AN523" s="21">
        <v>275</v>
      </c>
      <c r="AP523" s="21">
        <v>60</v>
      </c>
      <c r="AQ523" s="21" t="s">
        <v>2297</v>
      </c>
      <c r="AR523" s="21" t="s">
        <v>1814</v>
      </c>
      <c r="AS523" s="21" t="s">
        <v>1667</v>
      </c>
      <c r="AT523" s="21" t="s">
        <v>1640</v>
      </c>
      <c r="AU523" s="21" t="s">
        <v>178</v>
      </c>
      <c r="AV523" s="21" t="s">
        <v>2532</v>
      </c>
      <c r="AW523" s="21" t="s">
        <v>1678</v>
      </c>
      <c r="AX523" s="21" t="s">
        <v>2618</v>
      </c>
      <c r="AY523" s="21" t="s">
        <v>3816</v>
      </c>
      <c r="AZ523" s="21" t="s">
        <v>1650</v>
      </c>
      <c r="BA523" s="21">
        <v>6328</v>
      </c>
      <c r="BB523" s="21">
        <v>6320</v>
      </c>
      <c r="BC523" s="21" t="s">
        <v>3867</v>
      </c>
      <c r="BD523" s="21">
        <v>9.9864099999999993</v>
      </c>
      <c r="BF523" s="21">
        <f>11.2092-BD523</f>
        <v>1.2227899999999998</v>
      </c>
      <c r="BG523" s="21" t="s">
        <v>3871</v>
      </c>
      <c r="BH523" s="21">
        <v>19.497299999999999</v>
      </c>
      <c r="BJ523" s="21">
        <f>22.0788-BH523</f>
        <v>2.5815000000000019</v>
      </c>
      <c r="BK523" s="40"/>
    </row>
    <row r="524" spans="1:63" s="21" customFormat="1" x14ac:dyDescent="0.2">
      <c r="A524" s="21">
        <v>109</v>
      </c>
      <c r="B524" s="21" t="s">
        <v>891</v>
      </c>
      <c r="C524" s="21" t="s">
        <v>890</v>
      </c>
      <c r="D524" s="21" t="s">
        <v>889</v>
      </c>
      <c r="E524" s="21" t="s">
        <v>888</v>
      </c>
      <c r="F524" s="21" t="s">
        <v>45</v>
      </c>
      <c r="G524" s="21">
        <v>2011</v>
      </c>
      <c r="H524" s="21">
        <v>40683</v>
      </c>
      <c r="I524" s="21" t="s">
        <v>887</v>
      </c>
      <c r="J524" s="21" t="s">
        <v>32</v>
      </c>
      <c r="K524" s="21" t="s">
        <v>886</v>
      </c>
      <c r="L524" s="21">
        <v>2</v>
      </c>
      <c r="M524" s="21" t="s">
        <v>32</v>
      </c>
      <c r="N524" s="21" t="s">
        <v>34</v>
      </c>
      <c r="O524" s="21" t="s">
        <v>67</v>
      </c>
      <c r="P524" s="21" t="s">
        <v>34</v>
      </c>
      <c r="Q524" s="21" t="s">
        <v>34</v>
      </c>
      <c r="R524" s="21" t="s">
        <v>34</v>
      </c>
      <c r="S524" s="21" t="s">
        <v>34</v>
      </c>
      <c r="T524" s="21" t="s">
        <v>34</v>
      </c>
      <c r="U524" s="21" t="s">
        <v>34</v>
      </c>
      <c r="V524" s="21">
        <v>1</v>
      </c>
      <c r="W524" s="21" t="s">
        <v>178</v>
      </c>
      <c r="X524" s="21">
        <v>1</v>
      </c>
      <c r="Y524" s="21" t="s">
        <v>885</v>
      </c>
      <c r="Z524" s="21" t="s">
        <v>884</v>
      </c>
      <c r="AA524" s="21">
        <v>21593730</v>
      </c>
      <c r="AB524" s="21">
        <v>1</v>
      </c>
      <c r="AD524" s="21">
        <v>4</v>
      </c>
      <c r="AE524" s="23">
        <v>14</v>
      </c>
      <c r="AF524" s="21">
        <v>7</v>
      </c>
      <c r="AG524" s="21">
        <v>7</v>
      </c>
      <c r="AH524" s="21" t="s">
        <v>1642</v>
      </c>
      <c r="AI524" s="21" t="s">
        <v>1642</v>
      </c>
      <c r="AK524" s="21">
        <v>275</v>
      </c>
      <c r="AN524" s="21">
        <v>275</v>
      </c>
      <c r="AP524" s="21">
        <v>60</v>
      </c>
      <c r="AQ524" s="21" t="s">
        <v>2297</v>
      </c>
      <c r="AR524" s="21" t="s">
        <v>1814</v>
      </c>
      <c r="AS524" s="21" t="s">
        <v>1667</v>
      </c>
      <c r="AT524" s="21" t="s">
        <v>1640</v>
      </c>
      <c r="AU524" s="21" t="s">
        <v>178</v>
      </c>
      <c r="AV524" s="21" t="s">
        <v>2532</v>
      </c>
      <c r="AW524" s="21" t="s">
        <v>1678</v>
      </c>
      <c r="AX524" s="21" t="s">
        <v>2618</v>
      </c>
      <c r="AY524" s="21" t="s">
        <v>3810</v>
      </c>
      <c r="AZ524" s="21" t="s">
        <v>1650</v>
      </c>
      <c r="BA524" s="21">
        <v>6328</v>
      </c>
      <c r="BB524" s="21">
        <v>6320</v>
      </c>
      <c r="BC524" s="21" t="s">
        <v>3868</v>
      </c>
      <c r="BD524" s="21">
        <v>27.717400000000001</v>
      </c>
      <c r="BF524" s="21">
        <f>29.0761-BD524</f>
        <v>1.3586999999999989</v>
      </c>
      <c r="BG524" s="21" t="s">
        <v>3872</v>
      </c>
      <c r="BH524" s="21">
        <v>55.978299999999997</v>
      </c>
      <c r="BJ524" s="21">
        <f>56.9293-BH524</f>
        <v>0.95100000000000051</v>
      </c>
      <c r="BK524" s="40"/>
    </row>
    <row r="525" spans="1:63" s="21" customFormat="1" x14ac:dyDescent="0.2">
      <c r="A525" s="21">
        <v>109</v>
      </c>
      <c r="B525" s="21" t="s">
        <v>891</v>
      </c>
      <c r="C525" s="21" t="s">
        <v>890</v>
      </c>
      <c r="D525" s="21" t="s">
        <v>889</v>
      </c>
      <c r="E525" s="21" t="s">
        <v>888</v>
      </c>
      <c r="F525" s="21" t="s">
        <v>45</v>
      </c>
      <c r="G525" s="21">
        <v>2011</v>
      </c>
      <c r="H525" s="21">
        <v>40683</v>
      </c>
      <c r="I525" s="21" t="s">
        <v>887</v>
      </c>
      <c r="J525" s="21" t="s">
        <v>32</v>
      </c>
      <c r="K525" s="21" t="s">
        <v>886</v>
      </c>
      <c r="L525" s="21">
        <v>2</v>
      </c>
      <c r="M525" s="21" t="s">
        <v>32</v>
      </c>
      <c r="N525" s="21" t="s">
        <v>34</v>
      </c>
      <c r="O525" s="21" t="s">
        <v>67</v>
      </c>
      <c r="P525" s="21" t="s">
        <v>34</v>
      </c>
      <c r="Q525" s="21" t="s">
        <v>34</v>
      </c>
      <c r="R525" s="21" t="s">
        <v>34</v>
      </c>
      <c r="S525" s="21" t="s">
        <v>34</v>
      </c>
      <c r="T525" s="21" t="s">
        <v>34</v>
      </c>
      <c r="U525" s="21" t="s">
        <v>34</v>
      </c>
      <c r="V525" s="21">
        <v>1</v>
      </c>
      <c r="W525" s="21" t="s">
        <v>178</v>
      </c>
      <c r="X525" s="21">
        <v>1</v>
      </c>
      <c r="Y525" s="21" t="s">
        <v>885</v>
      </c>
      <c r="Z525" s="21" t="s">
        <v>884</v>
      </c>
      <c r="AA525" s="21">
        <v>21593730</v>
      </c>
      <c r="AB525" s="21">
        <v>1</v>
      </c>
      <c r="AD525" s="21">
        <v>4</v>
      </c>
      <c r="AE525" s="23">
        <v>14</v>
      </c>
      <c r="AF525" s="21">
        <v>7</v>
      </c>
      <c r="AG525" s="21">
        <v>7</v>
      </c>
      <c r="AH525" s="21" t="s">
        <v>1642</v>
      </c>
      <c r="AI525" s="21" t="s">
        <v>1642</v>
      </c>
      <c r="AK525" s="21">
        <v>275</v>
      </c>
      <c r="AN525" s="21">
        <v>275</v>
      </c>
      <c r="AP525" s="21">
        <v>60</v>
      </c>
      <c r="AQ525" s="21" t="s">
        <v>2297</v>
      </c>
      <c r="AR525" s="21" t="s">
        <v>1814</v>
      </c>
      <c r="AS525" s="21" t="s">
        <v>1667</v>
      </c>
      <c r="AT525" s="21" t="s">
        <v>1640</v>
      </c>
      <c r="AU525" s="21" t="s">
        <v>178</v>
      </c>
      <c r="AV525" s="21" t="s">
        <v>2532</v>
      </c>
      <c r="AW525" s="21" t="s">
        <v>1678</v>
      </c>
      <c r="AX525" s="21" t="s">
        <v>2618</v>
      </c>
      <c r="AY525" s="21" t="s">
        <v>1684</v>
      </c>
      <c r="AZ525" s="21" t="s">
        <v>1650</v>
      </c>
      <c r="BA525" s="21">
        <v>7328</v>
      </c>
      <c r="BB525" s="21">
        <v>7320</v>
      </c>
      <c r="BC525" s="21" t="s">
        <v>3873</v>
      </c>
      <c r="BD525" s="21">
        <v>84.310299999999998</v>
      </c>
      <c r="BF525" s="21">
        <f>87.2414-BD525</f>
        <v>2.9311000000000007</v>
      </c>
      <c r="BG525" s="21" t="s">
        <v>3874</v>
      </c>
      <c r="BH525" s="21">
        <v>22.758600000000001</v>
      </c>
      <c r="BJ525" s="21">
        <f>26.7241-BH525</f>
        <v>3.9654999999999987</v>
      </c>
      <c r="BK525" s="40"/>
    </row>
    <row r="526" spans="1:63" s="21" customFormat="1" x14ac:dyDescent="0.2">
      <c r="A526" s="21">
        <v>109</v>
      </c>
      <c r="B526" s="21" t="s">
        <v>891</v>
      </c>
      <c r="C526" s="21" t="s">
        <v>890</v>
      </c>
      <c r="D526" s="21" t="s">
        <v>889</v>
      </c>
      <c r="E526" s="21" t="s">
        <v>888</v>
      </c>
      <c r="F526" s="21" t="s">
        <v>45</v>
      </c>
      <c r="G526" s="21">
        <v>2011</v>
      </c>
      <c r="H526" s="21">
        <v>40683</v>
      </c>
      <c r="I526" s="21" t="s">
        <v>887</v>
      </c>
      <c r="J526" s="21" t="s">
        <v>32</v>
      </c>
      <c r="K526" s="21" t="s">
        <v>886</v>
      </c>
      <c r="L526" s="21">
        <v>2</v>
      </c>
      <c r="M526" s="21" t="s">
        <v>32</v>
      </c>
      <c r="N526" s="21" t="s">
        <v>34</v>
      </c>
      <c r="O526" s="21" t="s">
        <v>67</v>
      </c>
      <c r="P526" s="21" t="s">
        <v>34</v>
      </c>
      <c r="Q526" s="21" t="s">
        <v>34</v>
      </c>
      <c r="R526" s="21" t="s">
        <v>34</v>
      </c>
      <c r="S526" s="21" t="s">
        <v>34</v>
      </c>
      <c r="T526" s="21" t="s">
        <v>34</v>
      </c>
      <c r="U526" s="21" t="s">
        <v>34</v>
      </c>
      <c r="V526" s="21">
        <v>1</v>
      </c>
      <c r="W526" s="21" t="s">
        <v>178</v>
      </c>
      <c r="X526" s="21">
        <v>1</v>
      </c>
      <c r="Y526" s="21" t="s">
        <v>885</v>
      </c>
      <c r="Z526" s="21" t="s">
        <v>884</v>
      </c>
      <c r="AA526" s="21">
        <v>21593730</v>
      </c>
      <c r="AB526" s="21">
        <v>1</v>
      </c>
      <c r="AD526" s="21">
        <v>4</v>
      </c>
      <c r="AE526" s="23">
        <v>14</v>
      </c>
      <c r="AF526" s="21">
        <v>7</v>
      </c>
      <c r="AG526" s="21">
        <v>7</v>
      </c>
      <c r="AH526" s="21" t="s">
        <v>1642</v>
      </c>
      <c r="AI526" s="21" t="s">
        <v>1642</v>
      </c>
      <c r="AK526" s="21">
        <v>275</v>
      </c>
      <c r="AN526" s="21">
        <v>275</v>
      </c>
      <c r="AP526" s="21">
        <v>60</v>
      </c>
      <c r="AQ526" s="21" t="s">
        <v>2297</v>
      </c>
      <c r="AR526" s="21" t="s">
        <v>1814</v>
      </c>
      <c r="AS526" s="21" t="s">
        <v>1667</v>
      </c>
      <c r="AT526" s="21" t="s">
        <v>1640</v>
      </c>
      <c r="AU526" s="21" t="s">
        <v>178</v>
      </c>
      <c r="AV526" s="21" t="s">
        <v>2532</v>
      </c>
      <c r="AW526" s="21" t="s">
        <v>1678</v>
      </c>
      <c r="AX526" s="21" t="s">
        <v>2618</v>
      </c>
      <c r="AY526" s="21" t="s">
        <v>3813</v>
      </c>
      <c r="AZ526" s="21" t="s">
        <v>1650</v>
      </c>
      <c r="BA526" s="21">
        <v>7328</v>
      </c>
      <c r="BB526" s="21">
        <v>7320</v>
      </c>
      <c r="BC526" s="21" t="s">
        <v>3875</v>
      </c>
      <c r="BD526" s="21">
        <v>14.5594</v>
      </c>
      <c r="BF526" s="21">
        <f>16.6667-BD526</f>
        <v>2.1072999999999986</v>
      </c>
      <c r="BG526" s="21" t="s">
        <v>3876</v>
      </c>
      <c r="BH526" s="21">
        <v>56.130299999999998</v>
      </c>
      <c r="BJ526" s="21">
        <f>58.4291-BH526</f>
        <v>2.2988</v>
      </c>
      <c r="BK526" s="40"/>
    </row>
    <row r="527" spans="1:63" s="21" customFormat="1" x14ac:dyDescent="0.2">
      <c r="A527" s="21">
        <v>109</v>
      </c>
      <c r="B527" s="21" t="s">
        <v>891</v>
      </c>
      <c r="C527" s="21" t="s">
        <v>890</v>
      </c>
      <c r="D527" s="21" t="s">
        <v>889</v>
      </c>
      <c r="E527" s="21" t="s">
        <v>888</v>
      </c>
      <c r="F527" s="21" t="s">
        <v>45</v>
      </c>
      <c r="G527" s="21">
        <v>2011</v>
      </c>
      <c r="H527" s="21">
        <v>40683</v>
      </c>
      <c r="I527" s="21" t="s">
        <v>887</v>
      </c>
      <c r="J527" s="21" t="s">
        <v>32</v>
      </c>
      <c r="K527" s="21" t="s">
        <v>886</v>
      </c>
      <c r="L527" s="21">
        <v>2</v>
      </c>
      <c r="M527" s="21" t="s">
        <v>32</v>
      </c>
      <c r="N527" s="21" t="s">
        <v>34</v>
      </c>
      <c r="O527" s="21" t="s">
        <v>67</v>
      </c>
      <c r="P527" s="21" t="s">
        <v>34</v>
      </c>
      <c r="Q527" s="21" t="s">
        <v>34</v>
      </c>
      <c r="R527" s="21" t="s">
        <v>34</v>
      </c>
      <c r="S527" s="21" t="s">
        <v>34</v>
      </c>
      <c r="T527" s="21" t="s">
        <v>34</v>
      </c>
      <c r="U527" s="21" t="s">
        <v>34</v>
      </c>
      <c r="V527" s="21">
        <v>1</v>
      </c>
      <c r="W527" s="21" t="s">
        <v>178</v>
      </c>
      <c r="X527" s="21">
        <v>1</v>
      </c>
      <c r="Y527" s="21" t="s">
        <v>885</v>
      </c>
      <c r="Z527" s="21" t="s">
        <v>884</v>
      </c>
      <c r="AA527" s="21">
        <v>21593730</v>
      </c>
      <c r="AB527" s="21">
        <v>1</v>
      </c>
      <c r="AD527" s="21">
        <v>4</v>
      </c>
      <c r="AE527" s="23">
        <v>14</v>
      </c>
      <c r="AF527" s="21">
        <v>7</v>
      </c>
      <c r="AG527" s="21">
        <v>7</v>
      </c>
      <c r="AH527" s="21" t="s">
        <v>1642</v>
      </c>
      <c r="AI527" s="21" t="s">
        <v>1642</v>
      </c>
      <c r="AK527" s="21">
        <v>275</v>
      </c>
      <c r="AN527" s="21">
        <v>275</v>
      </c>
      <c r="AP527" s="21">
        <v>60</v>
      </c>
      <c r="AQ527" s="21" t="s">
        <v>2297</v>
      </c>
      <c r="AR527" s="21" t="s">
        <v>1814</v>
      </c>
      <c r="AS527" s="21" t="s">
        <v>1667</v>
      </c>
      <c r="AT527" s="21" t="s">
        <v>1640</v>
      </c>
      <c r="AU527" s="21" t="s">
        <v>178</v>
      </c>
      <c r="AV527" s="21" t="s">
        <v>2532</v>
      </c>
      <c r="AW527" s="21" t="s">
        <v>1678</v>
      </c>
      <c r="AX527" s="21" t="s">
        <v>2618</v>
      </c>
      <c r="AY527" s="21" t="s">
        <v>3816</v>
      </c>
      <c r="AZ527" s="21" t="s">
        <v>1650</v>
      </c>
      <c r="BA527" s="21">
        <v>7328</v>
      </c>
      <c r="BB527" s="21">
        <v>7320</v>
      </c>
      <c r="BC527" s="21" t="s">
        <v>3877</v>
      </c>
      <c r="BD527" s="21">
        <v>10.364699999999999</v>
      </c>
      <c r="BF527" s="21">
        <f>11.6603-BD527</f>
        <v>1.2956000000000003</v>
      </c>
      <c r="BG527" s="21" t="s">
        <v>3878</v>
      </c>
      <c r="BH527" s="21">
        <v>24.760100000000001</v>
      </c>
      <c r="BJ527" s="21">
        <f>27.9271-BH527</f>
        <v>3.166999999999998</v>
      </c>
      <c r="BK527" s="40"/>
    </row>
    <row r="528" spans="1:63" s="21" customFormat="1" x14ac:dyDescent="0.2">
      <c r="A528" s="21">
        <v>109</v>
      </c>
      <c r="B528" s="21" t="s">
        <v>891</v>
      </c>
      <c r="C528" s="21" t="s">
        <v>890</v>
      </c>
      <c r="D528" s="21" t="s">
        <v>889</v>
      </c>
      <c r="E528" s="21" t="s">
        <v>888</v>
      </c>
      <c r="F528" s="21" t="s">
        <v>45</v>
      </c>
      <c r="G528" s="21">
        <v>2011</v>
      </c>
      <c r="H528" s="21">
        <v>40683</v>
      </c>
      <c r="I528" s="21" t="s">
        <v>887</v>
      </c>
      <c r="J528" s="21" t="s">
        <v>32</v>
      </c>
      <c r="K528" s="21" t="s">
        <v>886</v>
      </c>
      <c r="L528" s="21">
        <v>2</v>
      </c>
      <c r="M528" s="21" t="s">
        <v>32</v>
      </c>
      <c r="N528" s="21" t="s">
        <v>34</v>
      </c>
      <c r="O528" s="21" t="s">
        <v>67</v>
      </c>
      <c r="P528" s="21" t="s">
        <v>34</v>
      </c>
      <c r="Q528" s="21" t="s">
        <v>34</v>
      </c>
      <c r="R528" s="21" t="s">
        <v>34</v>
      </c>
      <c r="S528" s="21" t="s">
        <v>34</v>
      </c>
      <c r="T528" s="21" t="s">
        <v>34</v>
      </c>
      <c r="U528" s="21" t="s">
        <v>34</v>
      </c>
      <c r="V528" s="21">
        <v>1</v>
      </c>
      <c r="W528" s="21" t="s">
        <v>178</v>
      </c>
      <c r="X528" s="21">
        <v>1</v>
      </c>
      <c r="Y528" s="21" t="s">
        <v>885</v>
      </c>
      <c r="Z528" s="21" t="s">
        <v>884</v>
      </c>
      <c r="AA528" s="21">
        <v>21593730</v>
      </c>
      <c r="AB528" s="21">
        <v>1</v>
      </c>
      <c r="AD528" s="21">
        <v>4</v>
      </c>
      <c r="AE528" s="23">
        <v>14</v>
      </c>
      <c r="AF528" s="21">
        <v>7</v>
      </c>
      <c r="AG528" s="21">
        <v>7</v>
      </c>
      <c r="AH528" s="21" t="s">
        <v>1642</v>
      </c>
      <c r="AI528" s="21" t="s">
        <v>1642</v>
      </c>
      <c r="AK528" s="21">
        <v>275</v>
      </c>
      <c r="AN528" s="21">
        <v>275</v>
      </c>
      <c r="AP528" s="21">
        <v>60</v>
      </c>
      <c r="AQ528" s="21" t="s">
        <v>2297</v>
      </c>
      <c r="AR528" s="21" t="s">
        <v>1814</v>
      </c>
      <c r="AS528" s="21" t="s">
        <v>1667</v>
      </c>
      <c r="AT528" s="21" t="s">
        <v>1640</v>
      </c>
      <c r="AU528" s="21" t="s">
        <v>178</v>
      </c>
      <c r="AV528" s="21" t="s">
        <v>2532</v>
      </c>
      <c r="AW528" s="21" t="s">
        <v>1678</v>
      </c>
      <c r="AX528" s="21" t="s">
        <v>2618</v>
      </c>
      <c r="AY528" s="21" t="s">
        <v>3810</v>
      </c>
      <c r="AZ528" s="21" t="s">
        <v>1650</v>
      </c>
      <c r="BA528" s="21">
        <v>7328</v>
      </c>
      <c r="BB528" s="21">
        <v>7320</v>
      </c>
      <c r="BC528" s="21" t="s">
        <v>3879</v>
      </c>
      <c r="BD528" s="21">
        <v>28.150700000000001</v>
      </c>
      <c r="BF528" s="21">
        <f>29.7281-BD528</f>
        <v>1.5774000000000008</v>
      </c>
      <c r="BG528" s="21" t="s">
        <v>3880</v>
      </c>
      <c r="BH528" s="21">
        <v>49.259700000000002</v>
      </c>
      <c r="BJ528" s="21">
        <f>52.7014-BH528</f>
        <v>3.4416999999999973</v>
      </c>
      <c r="BK528" s="40"/>
    </row>
    <row r="529" spans="1:63" s="20" customFormat="1" x14ac:dyDescent="0.2">
      <c r="A529" s="20">
        <v>110</v>
      </c>
      <c r="B529" s="20" t="s">
        <v>883</v>
      </c>
      <c r="C529" s="20" t="s">
        <v>882</v>
      </c>
      <c r="D529" s="20" t="s">
        <v>881</v>
      </c>
      <c r="E529" s="20" t="s">
        <v>880</v>
      </c>
      <c r="F529" s="20" t="s">
        <v>764</v>
      </c>
      <c r="G529" s="20">
        <v>2011</v>
      </c>
      <c r="H529" s="20">
        <v>40534</v>
      </c>
      <c r="I529" s="20" t="s">
        <v>879</v>
      </c>
      <c r="J529" s="20" t="s">
        <v>878</v>
      </c>
      <c r="K529" s="20" t="s">
        <v>877</v>
      </c>
      <c r="L529" s="20">
        <v>2</v>
      </c>
      <c r="M529" s="20" t="s">
        <v>876</v>
      </c>
      <c r="N529" s="20" t="s">
        <v>875</v>
      </c>
      <c r="O529" s="20" t="s">
        <v>34</v>
      </c>
      <c r="P529" s="20" t="s">
        <v>34</v>
      </c>
      <c r="Q529" s="20" t="s">
        <v>34</v>
      </c>
      <c r="R529" s="20" t="s">
        <v>34</v>
      </c>
      <c r="S529" s="20" t="s">
        <v>34</v>
      </c>
      <c r="T529" s="20" t="s">
        <v>34</v>
      </c>
      <c r="U529" s="20" t="s">
        <v>34</v>
      </c>
      <c r="V529" s="20">
        <v>1</v>
      </c>
      <c r="W529" s="20" t="s">
        <v>178</v>
      </c>
      <c r="X529" s="20">
        <v>1</v>
      </c>
      <c r="Y529" s="20" t="s">
        <v>874</v>
      </c>
      <c r="Z529" s="20" t="s">
        <v>873</v>
      </c>
      <c r="AA529" s="20">
        <v>21172365</v>
      </c>
      <c r="AB529" s="20">
        <v>0</v>
      </c>
      <c r="AC529" s="41" t="s">
        <v>2619</v>
      </c>
      <c r="AE529" s="26"/>
      <c r="BK529" s="41" t="s">
        <v>2619</v>
      </c>
    </row>
    <row r="530" spans="1:63" x14ac:dyDescent="0.2">
      <c r="A530" s="7">
        <v>111</v>
      </c>
      <c r="B530" s="7" t="s">
        <v>872</v>
      </c>
      <c r="C530" s="7" t="s">
        <v>871</v>
      </c>
      <c r="D530" s="7" t="s">
        <v>870</v>
      </c>
      <c r="E530" s="7" t="s">
        <v>869</v>
      </c>
      <c r="F530" s="7" t="s">
        <v>862</v>
      </c>
      <c r="G530" s="7">
        <v>2010</v>
      </c>
      <c r="H530" s="7">
        <v>40460</v>
      </c>
      <c r="I530" s="7" t="s">
        <v>868</v>
      </c>
      <c r="J530" s="7" t="s">
        <v>32</v>
      </c>
      <c r="K530" s="7" t="s">
        <v>867</v>
      </c>
      <c r="L530" s="7">
        <v>2</v>
      </c>
      <c r="M530" s="7" t="s">
        <v>32</v>
      </c>
      <c r="N530" s="7" t="s">
        <v>34</v>
      </c>
      <c r="O530" s="7" t="s">
        <v>190</v>
      </c>
      <c r="P530" s="7" t="s">
        <v>34</v>
      </c>
      <c r="Q530" s="7" t="s">
        <v>34</v>
      </c>
      <c r="R530" s="7" t="s">
        <v>34</v>
      </c>
      <c r="S530" s="7" t="s">
        <v>34</v>
      </c>
      <c r="T530" s="7" t="s">
        <v>34</v>
      </c>
      <c r="U530" s="7" t="s">
        <v>32</v>
      </c>
      <c r="V530" s="7">
        <v>1</v>
      </c>
      <c r="W530" s="7" t="s">
        <v>34</v>
      </c>
      <c r="X530" s="7" t="s">
        <v>32</v>
      </c>
      <c r="Y530" s="7" t="s">
        <v>32</v>
      </c>
      <c r="Z530" s="7" t="s">
        <v>32</v>
      </c>
      <c r="AA530" s="7">
        <v>20929713</v>
      </c>
      <c r="AB530" s="7">
        <v>1</v>
      </c>
      <c r="AD530" s="7">
        <v>4</v>
      </c>
      <c r="AE530" s="24">
        <v>22</v>
      </c>
      <c r="AF530" s="7">
        <v>10</v>
      </c>
      <c r="AG530" s="7">
        <v>12</v>
      </c>
      <c r="AH530" s="7" t="s">
        <v>1642</v>
      </c>
      <c r="AI530" s="7" t="s">
        <v>1642</v>
      </c>
      <c r="AK530" s="7">
        <v>237.5</v>
      </c>
      <c r="AN530" s="7">
        <v>237.5</v>
      </c>
      <c r="AP530" s="7">
        <v>4</v>
      </c>
      <c r="AQ530" s="7" t="s">
        <v>2445</v>
      </c>
      <c r="AR530" s="7" t="s">
        <v>1675</v>
      </c>
      <c r="AS530" s="7" t="s">
        <v>1638</v>
      </c>
      <c r="AT530" s="7" t="s">
        <v>1996</v>
      </c>
      <c r="AU530" s="7" t="s">
        <v>34</v>
      </c>
      <c r="AV530" s="7" t="s">
        <v>1689</v>
      </c>
      <c r="AW530" s="7" t="s">
        <v>1639</v>
      </c>
      <c r="AX530" s="7" t="s">
        <v>2620</v>
      </c>
      <c r="AY530" s="7" t="s">
        <v>1662</v>
      </c>
      <c r="AZ530" s="7" t="s">
        <v>1769</v>
      </c>
      <c r="BA530" s="7">
        <v>329</v>
      </c>
      <c r="BB530" s="7">
        <v>321</v>
      </c>
      <c r="BC530" s="7" t="s">
        <v>2621</v>
      </c>
      <c r="BD530" s="7">
        <v>67.1584</v>
      </c>
      <c r="BF530" s="7">
        <f>75.8141-BD530</f>
        <v>8.655699999999996</v>
      </c>
      <c r="BG530" s="7" t="s">
        <v>2628</v>
      </c>
      <c r="BH530" s="7">
        <v>56.043700000000001</v>
      </c>
      <c r="BJ530" s="7">
        <f>64.6009-BH530</f>
        <v>8.5571999999999946</v>
      </c>
    </row>
    <row r="531" spans="1:63" x14ac:dyDescent="0.2">
      <c r="A531" s="7">
        <v>111</v>
      </c>
      <c r="B531" s="7" t="s">
        <v>872</v>
      </c>
      <c r="C531" s="7" t="s">
        <v>871</v>
      </c>
      <c r="D531" s="7" t="s">
        <v>870</v>
      </c>
      <c r="E531" s="7" t="s">
        <v>869</v>
      </c>
      <c r="F531" s="7" t="s">
        <v>862</v>
      </c>
      <c r="G531" s="7">
        <v>2010</v>
      </c>
      <c r="H531" s="7">
        <v>40460</v>
      </c>
      <c r="I531" s="7" t="s">
        <v>868</v>
      </c>
      <c r="J531" s="7" t="s">
        <v>32</v>
      </c>
      <c r="K531" s="7" t="s">
        <v>867</v>
      </c>
      <c r="L531" s="7">
        <v>2</v>
      </c>
      <c r="M531" s="7" t="s">
        <v>32</v>
      </c>
      <c r="N531" s="7" t="s">
        <v>34</v>
      </c>
      <c r="O531" s="7" t="s">
        <v>190</v>
      </c>
      <c r="P531" s="7" t="s">
        <v>34</v>
      </c>
      <c r="Q531" s="7" t="s">
        <v>34</v>
      </c>
      <c r="R531" s="7" t="s">
        <v>34</v>
      </c>
      <c r="S531" s="7" t="s">
        <v>34</v>
      </c>
      <c r="T531" s="7" t="s">
        <v>34</v>
      </c>
      <c r="U531" s="7" t="s">
        <v>32</v>
      </c>
      <c r="V531" s="7">
        <v>1</v>
      </c>
      <c r="W531" s="7" t="s">
        <v>34</v>
      </c>
      <c r="X531" s="7" t="s">
        <v>32</v>
      </c>
      <c r="Y531" s="7" t="s">
        <v>32</v>
      </c>
      <c r="Z531" s="7" t="s">
        <v>32</v>
      </c>
      <c r="AA531" s="7">
        <v>20929713</v>
      </c>
      <c r="AB531" s="7">
        <v>1</v>
      </c>
      <c r="AD531" s="7">
        <v>4</v>
      </c>
      <c r="AE531" s="24">
        <v>22</v>
      </c>
      <c r="AF531" s="7">
        <v>10</v>
      </c>
      <c r="AG531" s="7">
        <v>12</v>
      </c>
      <c r="AH531" s="7" t="s">
        <v>1642</v>
      </c>
      <c r="AI531" s="7" t="s">
        <v>1642</v>
      </c>
      <c r="AK531" s="7">
        <v>237.5</v>
      </c>
      <c r="AN531" s="7">
        <v>237.5</v>
      </c>
      <c r="AP531" s="7">
        <v>4</v>
      </c>
      <c r="AQ531" s="7" t="s">
        <v>2445</v>
      </c>
      <c r="AR531" s="7" t="s">
        <v>1675</v>
      </c>
      <c r="AS531" s="7" t="s">
        <v>1638</v>
      </c>
      <c r="AT531" s="7" t="s">
        <v>1996</v>
      </c>
      <c r="AU531" s="7" t="s">
        <v>34</v>
      </c>
      <c r="AV531" s="7" t="s">
        <v>1689</v>
      </c>
      <c r="AW531" s="7" t="s">
        <v>1639</v>
      </c>
      <c r="AX531" s="7" t="s">
        <v>2620</v>
      </c>
      <c r="AY531" s="7" t="s">
        <v>1662</v>
      </c>
      <c r="AZ531" s="7" t="s">
        <v>1769</v>
      </c>
      <c r="BA531" s="7">
        <v>329</v>
      </c>
      <c r="BB531" s="7">
        <v>321</v>
      </c>
      <c r="BC531" s="7" t="s">
        <v>2622</v>
      </c>
      <c r="BD531" s="7">
        <v>85.567800000000005</v>
      </c>
      <c r="BF531" s="7">
        <f>89.0102-BD531</f>
        <v>3.4423999999999921</v>
      </c>
      <c r="BG531" s="7" t="s">
        <v>2629</v>
      </c>
      <c r="BH531" s="7">
        <v>82.420199999999994</v>
      </c>
      <c r="BJ531" s="7">
        <f>87.83-BH531</f>
        <v>5.4098000000000042</v>
      </c>
    </row>
    <row r="532" spans="1:63" x14ac:dyDescent="0.2">
      <c r="A532" s="7">
        <v>111</v>
      </c>
      <c r="B532" s="7" t="s">
        <v>872</v>
      </c>
      <c r="C532" s="7" t="s">
        <v>871</v>
      </c>
      <c r="D532" s="7" t="s">
        <v>870</v>
      </c>
      <c r="E532" s="7" t="s">
        <v>869</v>
      </c>
      <c r="F532" s="7" t="s">
        <v>862</v>
      </c>
      <c r="G532" s="7">
        <v>2010</v>
      </c>
      <c r="H532" s="7">
        <v>40460</v>
      </c>
      <c r="I532" s="7" t="s">
        <v>868</v>
      </c>
      <c r="J532" s="7" t="s">
        <v>32</v>
      </c>
      <c r="K532" s="7" t="s">
        <v>867</v>
      </c>
      <c r="L532" s="7">
        <v>2</v>
      </c>
      <c r="M532" s="7" t="s">
        <v>32</v>
      </c>
      <c r="N532" s="7" t="s">
        <v>34</v>
      </c>
      <c r="O532" s="7" t="s">
        <v>190</v>
      </c>
      <c r="P532" s="7" t="s">
        <v>34</v>
      </c>
      <c r="Q532" s="7" t="s">
        <v>34</v>
      </c>
      <c r="R532" s="7" t="s">
        <v>34</v>
      </c>
      <c r="S532" s="7" t="s">
        <v>34</v>
      </c>
      <c r="T532" s="7" t="s">
        <v>34</v>
      </c>
      <c r="U532" s="7" t="s">
        <v>32</v>
      </c>
      <c r="V532" s="7">
        <v>1</v>
      </c>
      <c r="W532" s="7" t="s">
        <v>34</v>
      </c>
      <c r="X532" s="7" t="s">
        <v>32</v>
      </c>
      <c r="Y532" s="7" t="s">
        <v>32</v>
      </c>
      <c r="Z532" s="7" t="s">
        <v>32</v>
      </c>
      <c r="AA532" s="7">
        <v>20929713</v>
      </c>
      <c r="AB532" s="7">
        <v>1</v>
      </c>
      <c r="AD532" s="7">
        <v>4</v>
      </c>
      <c r="AE532" s="24">
        <v>22</v>
      </c>
      <c r="AF532" s="7">
        <v>10</v>
      </c>
      <c r="AG532" s="7">
        <v>12</v>
      </c>
      <c r="AH532" s="7" t="s">
        <v>1642</v>
      </c>
      <c r="AI532" s="7" t="s">
        <v>1642</v>
      </c>
      <c r="AK532" s="7">
        <v>237.5</v>
      </c>
      <c r="AN532" s="7">
        <v>237.5</v>
      </c>
      <c r="AP532" s="7">
        <v>4</v>
      </c>
      <c r="AQ532" s="7" t="s">
        <v>2445</v>
      </c>
      <c r="AR532" s="7" t="s">
        <v>1675</v>
      </c>
      <c r="AS532" s="7" t="s">
        <v>1638</v>
      </c>
      <c r="AT532" s="7" t="s">
        <v>1996</v>
      </c>
      <c r="AU532" s="7" t="s">
        <v>34</v>
      </c>
      <c r="AV532" s="7" t="s">
        <v>1924</v>
      </c>
      <c r="AW532" s="7" t="s">
        <v>1639</v>
      </c>
      <c r="AX532" s="7" t="s">
        <v>2620</v>
      </c>
      <c r="AY532" s="7" t="s">
        <v>1663</v>
      </c>
      <c r="AZ532" s="7" t="s">
        <v>1769</v>
      </c>
      <c r="BA532" s="7">
        <v>329</v>
      </c>
      <c r="BB532" s="7">
        <v>321</v>
      </c>
      <c r="BC532" s="7" t="s">
        <v>2623</v>
      </c>
      <c r="BD532" s="7">
        <v>87.157300000000006</v>
      </c>
      <c r="BF532" s="7">
        <f>89.9114-BD532</f>
        <v>2.754099999999994</v>
      </c>
      <c r="BG532" s="7" t="s">
        <v>2630</v>
      </c>
      <c r="BH532" s="7">
        <v>78.403300000000002</v>
      </c>
      <c r="BJ532" s="7">
        <f>82.8294-BH532</f>
        <v>4.4261000000000053</v>
      </c>
    </row>
    <row r="533" spans="1:63" x14ac:dyDescent="0.2">
      <c r="A533" s="7">
        <v>111</v>
      </c>
      <c r="B533" s="7" t="s">
        <v>872</v>
      </c>
      <c r="C533" s="7" t="s">
        <v>871</v>
      </c>
      <c r="D533" s="7" t="s">
        <v>870</v>
      </c>
      <c r="E533" s="7" t="s">
        <v>869</v>
      </c>
      <c r="F533" s="7" t="s">
        <v>862</v>
      </c>
      <c r="G533" s="7">
        <v>2010</v>
      </c>
      <c r="H533" s="7">
        <v>40460</v>
      </c>
      <c r="I533" s="7" t="s">
        <v>868</v>
      </c>
      <c r="J533" s="7" t="s">
        <v>32</v>
      </c>
      <c r="K533" s="7" t="s">
        <v>867</v>
      </c>
      <c r="L533" s="7">
        <v>2</v>
      </c>
      <c r="M533" s="7" t="s">
        <v>32</v>
      </c>
      <c r="N533" s="7" t="s">
        <v>34</v>
      </c>
      <c r="O533" s="7" t="s">
        <v>190</v>
      </c>
      <c r="P533" s="7" t="s">
        <v>34</v>
      </c>
      <c r="Q533" s="7" t="s">
        <v>34</v>
      </c>
      <c r="R533" s="7" t="s">
        <v>34</v>
      </c>
      <c r="S533" s="7" t="s">
        <v>34</v>
      </c>
      <c r="T533" s="7" t="s">
        <v>34</v>
      </c>
      <c r="U533" s="7" t="s">
        <v>32</v>
      </c>
      <c r="V533" s="7">
        <v>1</v>
      </c>
      <c r="W533" s="7" t="s">
        <v>34</v>
      </c>
      <c r="X533" s="7" t="s">
        <v>32</v>
      </c>
      <c r="Y533" s="7" t="s">
        <v>32</v>
      </c>
      <c r="Z533" s="7" t="s">
        <v>32</v>
      </c>
      <c r="AA533" s="7">
        <v>20929713</v>
      </c>
      <c r="AB533" s="7">
        <v>1</v>
      </c>
      <c r="AD533" s="7">
        <v>4</v>
      </c>
      <c r="AE533" s="24">
        <v>22</v>
      </c>
      <c r="AF533" s="7">
        <v>10</v>
      </c>
      <c r="AG533" s="7">
        <v>12</v>
      </c>
      <c r="AH533" s="7" t="s">
        <v>1642</v>
      </c>
      <c r="AI533" s="7" t="s">
        <v>1642</v>
      </c>
      <c r="AK533" s="7">
        <v>237.5</v>
      </c>
      <c r="AN533" s="7">
        <v>237.5</v>
      </c>
      <c r="AP533" s="7">
        <v>4</v>
      </c>
      <c r="AQ533" s="7" t="s">
        <v>2445</v>
      </c>
      <c r="AR533" s="7" t="s">
        <v>1675</v>
      </c>
      <c r="AS533" s="7" t="s">
        <v>1638</v>
      </c>
      <c r="AT533" s="7" t="s">
        <v>1996</v>
      </c>
      <c r="AU533" s="7" t="s">
        <v>34</v>
      </c>
      <c r="AV533" s="7" t="s">
        <v>1924</v>
      </c>
      <c r="AW533" s="7" t="s">
        <v>1639</v>
      </c>
      <c r="AX533" s="7" t="s">
        <v>2620</v>
      </c>
      <c r="AY533" s="7" t="s">
        <v>1664</v>
      </c>
      <c r="AZ533" s="7" t="s">
        <v>1769</v>
      </c>
      <c r="BA533" s="7">
        <v>329</v>
      </c>
      <c r="BB533" s="7">
        <v>321</v>
      </c>
      <c r="BC533" s="7" t="s">
        <v>2624</v>
      </c>
      <c r="BD533" s="7">
        <v>46.566200000000002</v>
      </c>
      <c r="BF533" s="7">
        <f>55.9103-BD533</f>
        <v>9.3440999999999974</v>
      </c>
      <c r="BG533" s="7" t="s">
        <v>2631</v>
      </c>
      <c r="BH533" s="7">
        <v>26.4024</v>
      </c>
      <c r="BJ533" s="7">
        <f>33.7792-BH533</f>
        <v>7.3768000000000029</v>
      </c>
    </row>
    <row r="534" spans="1:63" x14ac:dyDescent="0.2">
      <c r="A534" s="7">
        <v>111</v>
      </c>
      <c r="B534" s="7" t="s">
        <v>872</v>
      </c>
      <c r="C534" s="7" t="s">
        <v>871</v>
      </c>
      <c r="D534" s="7" t="s">
        <v>870</v>
      </c>
      <c r="E534" s="7" t="s">
        <v>869</v>
      </c>
      <c r="F534" s="7" t="s">
        <v>862</v>
      </c>
      <c r="G534" s="7">
        <v>2010</v>
      </c>
      <c r="H534" s="7">
        <v>40460</v>
      </c>
      <c r="I534" s="7" t="s">
        <v>868</v>
      </c>
      <c r="J534" s="7" t="s">
        <v>32</v>
      </c>
      <c r="K534" s="7" t="s">
        <v>867</v>
      </c>
      <c r="L534" s="7">
        <v>2</v>
      </c>
      <c r="M534" s="7" t="s">
        <v>32</v>
      </c>
      <c r="N534" s="7" t="s">
        <v>34</v>
      </c>
      <c r="O534" s="7" t="s">
        <v>190</v>
      </c>
      <c r="P534" s="7" t="s">
        <v>34</v>
      </c>
      <c r="Q534" s="7" t="s">
        <v>34</v>
      </c>
      <c r="R534" s="7" t="s">
        <v>34</v>
      </c>
      <c r="S534" s="7" t="s">
        <v>34</v>
      </c>
      <c r="T534" s="7" t="s">
        <v>34</v>
      </c>
      <c r="U534" s="7" t="s">
        <v>32</v>
      </c>
      <c r="V534" s="7">
        <v>1</v>
      </c>
      <c r="W534" s="7" t="s">
        <v>34</v>
      </c>
      <c r="X534" s="7" t="s">
        <v>32</v>
      </c>
      <c r="Y534" s="7" t="s">
        <v>32</v>
      </c>
      <c r="Z534" s="7" t="s">
        <v>32</v>
      </c>
      <c r="AA534" s="7">
        <v>20929713</v>
      </c>
      <c r="AB534" s="7">
        <v>1</v>
      </c>
      <c r="AD534" s="7">
        <v>4</v>
      </c>
      <c r="AE534" s="24">
        <v>22</v>
      </c>
      <c r="AF534" s="7">
        <v>10</v>
      </c>
      <c r="AG534" s="7">
        <v>12</v>
      </c>
      <c r="AH534" s="7" t="s">
        <v>1642</v>
      </c>
      <c r="AI534" s="7" t="s">
        <v>1642</v>
      </c>
      <c r="AK534" s="7">
        <v>237.5</v>
      </c>
      <c r="AN534" s="7">
        <v>237.5</v>
      </c>
      <c r="AP534" s="7">
        <v>4</v>
      </c>
      <c r="AQ534" s="7" t="s">
        <v>2445</v>
      </c>
      <c r="AR534" s="7" t="s">
        <v>1675</v>
      </c>
      <c r="AS534" s="7" t="s">
        <v>1638</v>
      </c>
      <c r="AT534" s="7" t="s">
        <v>1996</v>
      </c>
      <c r="AU534" s="7" t="s">
        <v>34</v>
      </c>
      <c r="AV534" s="7" t="s">
        <v>1924</v>
      </c>
      <c r="AW534" s="7" t="s">
        <v>1639</v>
      </c>
      <c r="AX534" s="7" t="s">
        <v>2620</v>
      </c>
      <c r="AY534" s="7" t="s">
        <v>1664</v>
      </c>
      <c r="AZ534" s="7" t="s">
        <v>1769</v>
      </c>
      <c r="BA534" s="7">
        <v>329</v>
      </c>
      <c r="BB534" s="7">
        <v>321</v>
      </c>
      <c r="BC534" s="7" t="s">
        <v>2625</v>
      </c>
      <c r="BD534" s="7">
        <v>27.720800000000001</v>
      </c>
      <c r="BF534" s="7">
        <f>34.8027-BD534</f>
        <v>7.081900000000001</v>
      </c>
      <c r="BG534" s="7" t="s">
        <v>2632</v>
      </c>
      <c r="BH534" s="7">
        <v>11.294499999999999</v>
      </c>
      <c r="BJ534" s="7">
        <f>15.6222-BH534</f>
        <v>4.3277000000000001</v>
      </c>
    </row>
    <row r="535" spans="1:63" x14ac:dyDescent="0.2">
      <c r="A535" s="7">
        <v>111</v>
      </c>
      <c r="B535" s="7" t="s">
        <v>872</v>
      </c>
      <c r="C535" s="7" t="s">
        <v>871</v>
      </c>
      <c r="D535" s="7" t="s">
        <v>870</v>
      </c>
      <c r="E535" s="7" t="s">
        <v>869</v>
      </c>
      <c r="F535" s="7" t="s">
        <v>862</v>
      </c>
      <c r="G535" s="7">
        <v>2010</v>
      </c>
      <c r="H535" s="7">
        <v>40460</v>
      </c>
      <c r="I535" s="7" t="s">
        <v>868</v>
      </c>
      <c r="J535" s="7" t="s">
        <v>32</v>
      </c>
      <c r="K535" s="7" t="s">
        <v>867</v>
      </c>
      <c r="L535" s="7">
        <v>2</v>
      </c>
      <c r="M535" s="7" t="s">
        <v>32</v>
      </c>
      <c r="N535" s="7" t="s">
        <v>34</v>
      </c>
      <c r="O535" s="7" t="s">
        <v>190</v>
      </c>
      <c r="P535" s="7" t="s">
        <v>34</v>
      </c>
      <c r="Q535" s="7" t="s">
        <v>34</v>
      </c>
      <c r="R535" s="7" t="s">
        <v>34</v>
      </c>
      <c r="S535" s="7" t="s">
        <v>34</v>
      </c>
      <c r="T535" s="7" t="s">
        <v>34</v>
      </c>
      <c r="U535" s="7" t="s">
        <v>32</v>
      </c>
      <c r="V535" s="7">
        <v>1</v>
      </c>
      <c r="W535" s="7" t="s">
        <v>34</v>
      </c>
      <c r="X535" s="7" t="s">
        <v>32</v>
      </c>
      <c r="Y535" s="7" t="s">
        <v>32</v>
      </c>
      <c r="Z535" s="7" t="s">
        <v>32</v>
      </c>
      <c r="AA535" s="7">
        <v>20929713</v>
      </c>
      <c r="AB535" s="7">
        <v>1</v>
      </c>
      <c r="AD535" s="7">
        <v>4</v>
      </c>
      <c r="AE535" s="24">
        <v>22</v>
      </c>
      <c r="AF535" s="7">
        <v>10</v>
      </c>
      <c r="AG535" s="7">
        <v>12</v>
      </c>
      <c r="AH535" s="7" t="s">
        <v>1642</v>
      </c>
      <c r="AI535" s="7" t="s">
        <v>1642</v>
      </c>
      <c r="AK535" s="7">
        <v>237.5</v>
      </c>
      <c r="AN535" s="7">
        <v>237.5</v>
      </c>
      <c r="AP535" s="7">
        <v>4</v>
      </c>
      <c r="AQ535" s="7" t="s">
        <v>2445</v>
      </c>
      <c r="AR535" s="7" t="s">
        <v>1675</v>
      </c>
      <c r="AS535" s="7" t="s">
        <v>1638</v>
      </c>
      <c r="AT535" s="7" t="s">
        <v>1996</v>
      </c>
      <c r="AU535" s="7" t="s">
        <v>34</v>
      </c>
      <c r="AV535" s="7" t="s">
        <v>1696</v>
      </c>
      <c r="AW535" s="7" t="s">
        <v>1639</v>
      </c>
      <c r="AX535" s="7" t="s">
        <v>2620</v>
      </c>
      <c r="AY535" s="7" t="s">
        <v>1664</v>
      </c>
      <c r="AZ535" s="7" t="s">
        <v>1769</v>
      </c>
      <c r="BA535" s="7">
        <v>329</v>
      </c>
      <c r="BB535" s="7">
        <v>321</v>
      </c>
      <c r="BC535" s="7" t="s">
        <v>2626</v>
      </c>
      <c r="BD535" s="7">
        <v>62.5563</v>
      </c>
      <c r="BF535" s="7">
        <f>71.212-BD535</f>
        <v>8.6557000000000031</v>
      </c>
      <c r="BG535" s="7" t="s">
        <v>2633</v>
      </c>
      <c r="BH535" s="7">
        <v>36.687399999999997</v>
      </c>
      <c r="BJ535" s="7">
        <f>45.7365-BH535</f>
        <v>9.0491000000000028</v>
      </c>
    </row>
    <row r="536" spans="1:63" x14ac:dyDescent="0.2">
      <c r="A536" s="7">
        <v>111</v>
      </c>
      <c r="B536" s="7" t="s">
        <v>872</v>
      </c>
      <c r="C536" s="7" t="s">
        <v>871</v>
      </c>
      <c r="D536" s="7" t="s">
        <v>870</v>
      </c>
      <c r="E536" s="7" t="s">
        <v>869</v>
      </c>
      <c r="F536" s="7" t="s">
        <v>862</v>
      </c>
      <c r="G536" s="7">
        <v>2010</v>
      </c>
      <c r="H536" s="7">
        <v>40460</v>
      </c>
      <c r="I536" s="7" t="s">
        <v>868</v>
      </c>
      <c r="J536" s="7" t="s">
        <v>32</v>
      </c>
      <c r="K536" s="7" t="s">
        <v>867</v>
      </c>
      <c r="L536" s="7">
        <v>2</v>
      </c>
      <c r="M536" s="7" t="s">
        <v>32</v>
      </c>
      <c r="N536" s="7" t="s">
        <v>34</v>
      </c>
      <c r="O536" s="7" t="s">
        <v>190</v>
      </c>
      <c r="P536" s="7" t="s">
        <v>34</v>
      </c>
      <c r="Q536" s="7" t="s">
        <v>34</v>
      </c>
      <c r="R536" s="7" t="s">
        <v>34</v>
      </c>
      <c r="S536" s="7" t="s">
        <v>34</v>
      </c>
      <c r="T536" s="7" t="s">
        <v>34</v>
      </c>
      <c r="U536" s="7" t="s">
        <v>32</v>
      </c>
      <c r="V536" s="7">
        <v>1</v>
      </c>
      <c r="W536" s="7" t="s">
        <v>34</v>
      </c>
      <c r="X536" s="7" t="s">
        <v>32</v>
      </c>
      <c r="Y536" s="7" t="s">
        <v>32</v>
      </c>
      <c r="Z536" s="7" t="s">
        <v>32</v>
      </c>
      <c r="AA536" s="7">
        <v>20929713</v>
      </c>
      <c r="AB536" s="7">
        <v>1</v>
      </c>
      <c r="AD536" s="7">
        <v>4</v>
      </c>
      <c r="AE536" s="24">
        <v>22</v>
      </c>
      <c r="AF536" s="7">
        <v>10</v>
      </c>
      <c r="AG536" s="7">
        <v>12</v>
      </c>
      <c r="AH536" s="7" t="s">
        <v>1642</v>
      </c>
      <c r="AI536" s="7" t="s">
        <v>1642</v>
      </c>
      <c r="AK536" s="7">
        <v>237.5</v>
      </c>
      <c r="AN536" s="7">
        <v>237.5</v>
      </c>
      <c r="AP536" s="7">
        <v>4</v>
      </c>
      <c r="AQ536" s="7" t="s">
        <v>2445</v>
      </c>
      <c r="AR536" s="7" t="s">
        <v>1675</v>
      </c>
      <c r="AS536" s="7" t="s">
        <v>1638</v>
      </c>
      <c r="AT536" s="7" t="s">
        <v>1996</v>
      </c>
      <c r="AU536" s="7" t="s">
        <v>34</v>
      </c>
      <c r="AV536" s="7" t="s">
        <v>1696</v>
      </c>
      <c r="AW536" s="7" t="s">
        <v>1639</v>
      </c>
      <c r="AX536" s="7" t="s">
        <v>2620</v>
      </c>
      <c r="AY536" s="7" t="s">
        <v>1664</v>
      </c>
      <c r="AZ536" s="7" t="s">
        <v>1769</v>
      </c>
      <c r="BA536" s="7">
        <v>329</v>
      </c>
      <c r="BB536" s="7">
        <v>321</v>
      </c>
      <c r="BC536" s="7" t="s">
        <v>2636</v>
      </c>
      <c r="BD536" s="7">
        <v>23.9163</v>
      </c>
      <c r="BF536" s="7">
        <f>30.1131-BD536</f>
        <v>6.1967999999999996</v>
      </c>
      <c r="BG536" s="7" t="s">
        <v>2635</v>
      </c>
      <c r="BH536" s="7">
        <v>9.55579</v>
      </c>
      <c r="BJ536" s="7">
        <f>14.5721-BH536</f>
        <v>5.0163100000000007</v>
      </c>
    </row>
    <row r="537" spans="1:63" x14ac:dyDescent="0.2">
      <c r="A537" s="7">
        <v>111</v>
      </c>
      <c r="B537" s="7" t="s">
        <v>872</v>
      </c>
      <c r="C537" s="7" t="s">
        <v>871</v>
      </c>
      <c r="D537" s="7" t="s">
        <v>870</v>
      </c>
      <c r="E537" s="7" t="s">
        <v>869</v>
      </c>
      <c r="F537" s="7" t="s">
        <v>862</v>
      </c>
      <c r="G537" s="7">
        <v>2010</v>
      </c>
      <c r="H537" s="7">
        <v>40460</v>
      </c>
      <c r="I537" s="7" t="s">
        <v>868</v>
      </c>
      <c r="J537" s="7" t="s">
        <v>32</v>
      </c>
      <c r="K537" s="7" t="s">
        <v>867</v>
      </c>
      <c r="L537" s="7">
        <v>2</v>
      </c>
      <c r="M537" s="7" t="s">
        <v>32</v>
      </c>
      <c r="N537" s="7" t="s">
        <v>34</v>
      </c>
      <c r="O537" s="7" t="s">
        <v>190</v>
      </c>
      <c r="P537" s="7" t="s">
        <v>34</v>
      </c>
      <c r="Q537" s="7" t="s">
        <v>34</v>
      </c>
      <c r="R537" s="7" t="s">
        <v>34</v>
      </c>
      <c r="S537" s="7" t="s">
        <v>34</v>
      </c>
      <c r="T537" s="7" t="s">
        <v>34</v>
      </c>
      <c r="U537" s="7" t="s">
        <v>32</v>
      </c>
      <c r="V537" s="7">
        <v>1</v>
      </c>
      <c r="W537" s="7" t="s">
        <v>34</v>
      </c>
      <c r="X537" s="7" t="s">
        <v>32</v>
      </c>
      <c r="Y537" s="7" t="s">
        <v>32</v>
      </c>
      <c r="Z537" s="7" t="s">
        <v>32</v>
      </c>
      <c r="AA537" s="7">
        <v>20929713</v>
      </c>
      <c r="AB537" s="7">
        <v>1</v>
      </c>
      <c r="AD537" s="7">
        <v>4</v>
      </c>
      <c r="AE537" s="24">
        <v>22</v>
      </c>
      <c r="AF537" s="7">
        <v>10</v>
      </c>
      <c r="AG537" s="7">
        <v>12</v>
      </c>
      <c r="AH537" s="7" t="s">
        <v>1642</v>
      </c>
      <c r="AI537" s="7" t="s">
        <v>1642</v>
      </c>
      <c r="AK537" s="7">
        <v>237.5</v>
      </c>
      <c r="AN537" s="7">
        <v>237.5</v>
      </c>
      <c r="AP537" s="7">
        <v>4</v>
      </c>
      <c r="AQ537" s="7" t="s">
        <v>2445</v>
      </c>
      <c r="AR537" s="7" t="s">
        <v>1675</v>
      </c>
      <c r="AS537" s="7" t="s">
        <v>1638</v>
      </c>
      <c r="AT537" s="7" t="s">
        <v>1996</v>
      </c>
      <c r="AU537" s="7" t="s">
        <v>34</v>
      </c>
      <c r="AV537" s="7" t="s">
        <v>1696</v>
      </c>
      <c r="AW537" s="7" t="s">
        <v>1639</v>
      </c>
      <c r="AX537" s="7" t="s">
        <v>2620</v>
      </c>
      <c r="AY537" s="7" t="s">
        <v>1664</v>
      </c>
      <c r="AZ537" s="7" t="s">
        <v>1769</v>
      </c>
      <c r="BA537" s="7">
        <v>329</v>
      </c>
      <c r="BB537" s="7">
        <v>321</v>
      </c>
      <c r="BC537" s="7" t="s">
        <v>2627</v>
      </c>
      <c r="BD537" s="7">
        <v>10.9488</v>
      </c>
      <c r="BF537" s="7">
        <f>14.7847-BD537</f>
        <v>3.8359000000000005</v>
      </c>
      <c r="BG537" s="7" t="s">
        <v>2634</v>
      </c>
      <c r="BH537" s="7">
        <v>8.5881299999999996</v>
      </c>
      <c r="BJ537" s="7">
        <f>10.2601-BH537</f>
        <v>1.67197</v>
      </c>
    </row>
    <row r="538" spans="1:63" s="20" customFormat="1" ht="15" customHeight="1" x14ac:dyDescent="0.2">
      <c r="A538" s="20">
        <v>112</v>
      </c>
      <c r="B538" s="20" t="s">
        <v>866</v>
      </c>
      <c r="C538" s="20" t="s">
        <v>865</v>
      </c>
      <c r="D538" s="20" t="s">
        <v>864</v>
      </c>
      <c r="E538" s="20" t="s">
        <v>863</v>
      </c>
      <c r="F538" s="20" t="s">
        <v>862</v>
      </c>
      <c r="G538" s="20">
        <v>2010</v>
      </c>
      <c r="H538" s="20">
        <v>40449</v>
      </c>
      <c r="I538" s="20" t="s">
        <v>861</v>
      </c>
      <c r="J538" s="20" t="s">
        <v>32</v>
      </c>
      <c r="K538" s="20" t="s">
        <v>860</v>
      </c>
      <c r="L538" s="20">
        <v>2</v>
      </c>
      <c r="M538" s="20" t="s">
        <v>859</v>
      </c>
      <c r="N538" s="20" t="s">
        <v>34</v>
      </c>
      <c r="O538" s="20" t="s">
        <v>190</v>
      </c>
      <c r="P538" s="20" t="s">
        <v>34</v>
      </c>
      <c r="Q538" s="20" t="s">
        <v>34</v>
      </c>
      <c r="R538" s="20" t="s">
        <v>34</v>
      </c>
      <c r="S538" s="20" t="s">
        <v>34</v>
      </c>
      <c r="T538" s="20" t="s">
        <v>190</v>
      </c>
      <c r="U538" s="20" t="s">
        <v>32</v>
      </c>
      <c r="V538" s="20">
        <v>1</v>
      </c>
      <c r="W538" s="20" t="s">
        <v>32</v>
      </c>
      <c r="X538" s="20">
        <v>1</v>
      </c>
      <c r="Y538" s="54" t="s">
        <v>858</v>
      </c>
      <c r="Z538" s="20" t="s">
        <v>32</v>
      </c>
      <c r="AA538" s="20">
        <v>20870745</v>
      </c>
      <c r="AB538" s="20">
        <v>0</v>
      </c>
      <c r="AC538" s="20" t="s">
        <v>2637</v>
      </c>
      <c r="AE538" s="26"/>
      <c r="BK538" s="41"/>
    </row>
    <row r="539" spans="1:63" x14ac:dyDescent="0.2">
      <c r="A539" s="7">
        <v>113</v>
      </c>
      <c r="B539" s="7" t="s">
        <v>857</v>
      </c>
      <c r="C539" s="7" t="s">
        <v>856</v>
      </c>
      <c r="D539" s="7" t="s">
        <v>855</v>
      </c>
      <c r="E539" s="7" t="s">
        <v>854</v>
      </c>
      <c r="F539" s="7" t="s">
        <v>498</v>
      </c>
      <c r="G539" s="7">
        <v>2011</v>
      </c>
      <c r="H539" s="7">
        <v>40446</v>
      </c>
      <c r="I539" s="7" t="s">
        <v>32</v>
      </c>
      <c r="J539" s="7" t="s">
        <v>32</v>
      </c>
      <c r="K539" s="7" t="s">
        <v>853</v>
      </c>
      <c r="L539" s="7">
        <v>2</v>
      </c>
      <c r="M539" s="7" t="s">
        <v>32</v>
      </c>
      <c r="N539" s="7" t="s">
        <v>34</v>
      </c>
      <c r="O539" s="7" t="s">
        <v>34</v>
      </c>
      <c r="P539" s="7" t="s">
        <v>34</v>
      </c>
      <c r="Q539" s="7" t="s">
        <v>34</v>
      </c>
      <c r="R539" s="7" t="s">
        <v>34</v>
      </c>
      <c r="S539" s="7" t="s">
        <v>34</v>
      </c>
      <c r="T539" s="7" t="s">
        <v>34</v>
      </c>
      <c r="U539" s="7" t="s">
        <v>32</v>
      </c>
      <c r="V539" s="7">
        <v>1</v>
      </c>
      <c r="W539" s="7" t="s">
        <v>32</v>
      </c>
      <c r="X539" s="7" t="s">
        <v>32</v>
      </c>
      <c r="Y539" s="7" t="s">
        <v>32</v>
      </c>
      <c r="Z539" s="7" t="s">
        <v>32</v>
      </c>
      <c r="AA539" s="7">
        <v>20863519</v>
      </c>
      <c r="AB539" s="7">
        <v>1</v>
      </c>
      <c r="AD539" s="7">
        <v>4</v>
      </c>
      <c r="AE539" s="24">
        <v>20</v>
      </c>
      <c r="AF539" s="7">
        <v>10</v>
      </c>
      <c r="AG539" s="7">
        <v>10</v>
      </c>
      <c r="AH539" s="7" t="s">
        <v>1642</v>
      </c>
      <c r="AI539" s="7" t="s">
        <v>1642</v>
      </c>
      <c r="AJ539" s="7" t="s">
        <v>1719</v>
      </c>
      <c r="AM539" s="7" t="s">
        <v>1719</v>
      </c>
      <c r="AP539" s="7">
        <v>1</v>
      </c>
      <c r="AQ539" s="7" t="s">
        <v>1877</v>
      </c>
      <c r="AR539" s="7" t="s">
        <v>1637</v>
      </c>
      <c r="AS539" s="7" t="s">
        <v>1638</v>
      </c>
      <c r="AT539" s="7" t="s">
        <v>1640</v>
      </c>
      <c r="AU539" s="7" t="s">
        <v>178</v>
      </c>
      <c r="AV539" s="7" t="s">
        <v>1641</v>
      </c>
      <c r="AW539" s="7" t="s">
        <v>1639</v>
      </c>
      <c r="AX539" s="7" t="s">
        <v>2254</v>
      </c>
      <c r="AY539" s="7" t="s">
        <v>1881</v>
      </c>
      <c r="AZ539" s="7" t="s">
        <v>1650</v>
      </c>
      <c r="BA539" s="7">
        <v>330</v>
      </c>
      <c r="BB539" s="7">
        <v>322</v>
      </c>
      <c r="BC539" s="7" t="s">
        <v>2638</v>
      </c>
      <c r="BD539" s="7">
        <v>63.789499999999997</v>
      </c>
      <c r="BF539" s="7">
        <f>69.6842-BD539</f>
        <v>5.8947000000000074</v>
      </c>
      <c r="BG539" s="7" t="s">
        <v>1880</v>
      </c>
      <c r="BH539" s="7">
        <v>36.842100000000002</v>
      </c>
      <c r="BJ539" s="7">
        <f>44.2105-BH539</f>
        <v>7.3684000000000012</v>
      </c>
    </row>
    <row r="540" spans="1:63" s="21" customFormat="1" x14ac:dyDescent="0.2">
      <c r="A540" s="21">
        <v>114</v>
      </c>
      <c r="B540" s="21" t="s">
        <v>852</v>
      </c>
      <c r="C540" s="21" t="s">
        <v>851</v>
      </c>
      <c r="D540" s="21" t="s">
        <v>850</v>
      </c>
      <c r="E540" s="21" t="s">
        <v>849</v>
      </c>
      <c r="F540" s="21" t="s">
        <v>498</v>
      </c>
      <c r="G540" s="21">
        <v>2011</v>
      </c>
      <c r="H540" s="21">
        <v>40386</v>
      </c>
      <c r="I540" s="21" t="s">
        <v>32</v>
      </c>
      <c r="J540" s="21" t="s">
        <v>32</v>
      </c>
      <c r="K540" s="21" t="s">
        <v>848</v>
      </c>
      <c r="L540" s="21">
        <v>2</v>
      </c>
      <c r="M540" s="21" t="s">
        <v>847</v>
      </c>
      <c r="N540" s="21" t="s">
        <v>34</v>
      </c>
      <c r="O540" s="21" t="s">
        <v>190</v>
      </c>
      <c r="P540" s="21" t="s">
        <v>34</v>
      </c>
      <c r="Q540" s="21" t="s">
        <v>34</v>
      </c>
      <c r="R540" s="21" t="s">
        <v>34</v>
      </c>
      <c r="S540" s="21" t="s">
        <v>34</v>
      </c>
      <c r="T540" s="21" t="s">
        <v>34</v>
      </c>
      <c r="U540" s="21" t="s">
        <v>32</v>
      </c>
      <c r="V540" s="21">
        <v>1</v>
      </c>
      <c r="W540" s="21" t="s">
        <v>32</v>
      </c>
      <c r="X540" s="21" t="s">
        <v>32</v>
      </c>
      <c r="Y540" s="21" t="s">
        <v>32</v>
      </c>
      <c r="Z540" s="21" t="s">
        <v>32</v>
      </c>
      <c r="AA540" s="21">
        <v>20655545</v>
      </c>
      <c r="AB540" s="21">
        <v>1</v>
      </c>
      <c r="AD540" s="21">
        <v>5</v>
      </c>
      <c r="AE540" s="23">
        <v>19</v>
      </c>
      <c r="AF540" s="21">
        <v>9.5</v>
      </c>
      <c r="AG540" s="21">
        <v>9.5</v>
      </c>
      <c r="AH540" s="21" t="s">
        <v>1642</v>
      </c>
      <c r="AI540" s="21" t="s">
        <v>1642</v>
      </c>
      <c r="AJ540" s="21" t="s">
        <v>2639</v>
      </c>
      <c r="AM540" s="21" t="s">
        <v>2639</v>
      </c>
      <c r="AP540" s="21">
        <v>1</v>
      </c>
      <c r="AQ540" s="21" t="s">
        <v>1787</v>
      </c>
      <c r="AR540" s="21" t="s">
        <v>1814</v>
      </c>
      <c r="AS540" s="21" t="s">
        <v>1667</v>
      </c>
      <c r="AT540" s="21" t="s">
        <v>2167</v>
      </c>
      <c r="AU540" s="21" t="s">
        <v>178</v>
      </c>
      <c r="AV540" s="21" t="s">
        <v>1870</v>
      </c>
      <c r="AW540" s="21" t="s">
        <v>1678</v>
      </c>
      <c r="AX540" s="21" t="s">
        <v>2640</v>
      </c>
      <c r="AY540" s="21" t="s">
        <v>1900</v>
      </c>
      <c r="AZ540" s="21" t="s">
        <v>1650</v>
      </c>
      <c r="BA540" s="21">
        <v>331</v>
      </c>
      <c r="BB540" s="21">
        <v>323</v>
      </c>
      <c r="BC540" s="21" t="s">
        <v>2642</v>
      </c>
      <c r="BD540" s="21">
        <v>5.4648199999999996</v>
      </c>
      <c r="BF540" s="21">
        <f>8.85678-BD540</f>
        <v>3.391960000000001</v>
      </c>
      <c r="BG540" s="21" t="s">
        <v>2643</v>
      </c>
      <c r="BH540" s="21">
        <v>61.432200000000002</v>
      </c>
      <c r="BJ540" s="21">
        <f>72.7387-BH540</f>
        <v>11.306499999999993</v>
      </c>
      <c r="BK540" s="40" t="s">
        <v>2641</v>
      </c>
    </row>
    <row r="541" spans="1:63" s="21" customFormat="1" x14ac:dyDescent="0.2">
      <c r="A541" s="21">
        <v>114</v>
      </c>
      <c r="B541" s="21" t="s">
        <v>852</v>
      </c>
      <c r="C541" s="21" t="s">
        <v>851</v>
      </c>
      <c r="D541" s="21" t="s">
        <v>850</v>
      </c>
      <c r="E541" s="21" t="s">
        <v>849</v>
      </c>
      <c r="F541" s="21" t="s">
        <v>498</v>
      </c>
      <c r="G541" s="21">
        <v>2011</v>
      </c>
      <c r="H541" s="21">
        <v>40386</v>
      </c>
      <c r="I541" s="21" t="s">
        <v>32</v>
      </c>
      <c r="J541" s="21" t="s">
        <v>32</v>
      </c>
      <c r="K541" s="21" t="s">
        <v>848</v>
      </c>
      <c r="L541" s="21">
        <v>2</v>
      </c>
      <c r="M541" s="21" t="s">
        <v>847</v>
      </c>
      <c r="N541" s="21" t="s">
        <v>34</v>
      </c>
      <c r="O541" s="21" t="s">
        <v>190</v>
      </c>
      <c r="P541" s="21" t="s">
        <v>34</v>
      </c>
      <c r="Q541" s="21" t="s">
        <v>34</v>
      </c>
      <c r="R541" s="21" t="s">
        <v>34</v>
      </c>
      <c r="S541" s="21" t="s">
        <v>34</v>
      </c>
      <c r="T541" s="21" t="s">
        <v>34</v>
      </c>
      <c r="U541" s="21" t="s">
        <v>32</v>
      </c>
      <c r="V541" s="21">
        <v>1</v>
      </c>
      <c r="W541" s="21" t="s">
        <v>32</v>
      </c>
      <c r="X541" s="21" t="s">
        <v>32</v>
      </c>
      <c r="Y541" s="21" t="s">
        <v>32</v>
      </c>
      <c r="Z541" s="21" t="s">
        <v>32</v>
      </c>
      <c r="AA541" s="21">
        <v>20655545</v>
      </c>
      <c r="AB541" s="21">
        <v>1</v>
      </c>
      <c r="AD541" s="21">
        <v>5</v>
      </c>
      <c r="AE541" s="23">
        <v>29</v>
      </c>
      <c r="AF541" s="21">
        <v>14.5</v>
      </c>
      <c r="AG541" s="21">
        <v>14.5</v>
      </c>
      <c r="AH541" s="21" t="s">
        <v>1642</v>
      </c>
      <c r="AI541" s="21" t="s">
        <v>1642</v>
      </c>
      <c r="AJ541" s="21" t="s">
        <v>2639</v>
      </c>
      <c r="AM541" s="21" t="s">
        <v>2639</v>
      </c>
      <c r="AP541" s="21">
        <v>1</v>
      </c>
      <c r="AQ541" s="21" t="s">
        <v>1787</v>
      </c>
      <c r="AR541" s="21" t="s">
        <v>1814</v>
      </c>
      <c r="AS541" s="21" t="s">
        <v>1667</v>
      </c>
      <c r="AT541" s="21" t="s">
        <v>2167</v>
      </c>
      <c r="AU541" s="21" t="s">
        <v>178</v>
      </c>
      <c r="AV541" s="21" t="s">
        <v>2644</v>
      </c>
      <c r="AW541" s="21" t="s">
        <v>1678</v>
      </c>
      <c r="AX541" s="21" t="s">
        <v>2640</v>
      </c>
      <c r="AY541" s="21" t="s">
        <v>1900</v>
      </c>
      <c r="AZ541" s="21" t="s">
        <v>1650</v>
      </c>
      <c r="BA541" s="21">
        <v>331</v>
      </c>
      <c r="BB541" s="21">
        <v>323</v>
      </c>
      <c r="BC541" s="21" t="s">
        <v>2642</v>
      </c>
      <c r="BD541" s="21">
        <v>0.62111799999999995</v>
      </c>
      <c r="BF541" s="21">
        <f>2.17391-BD541</f>
        <v>1.5527919999999997</v>
      </c>
      <c r="BG541" s="21" t="s">
        <v>2643</v>
      </c>
      <c r="BH541" s="21">
        <v>34.782600000000002</v>
      </c>
      <c r="BJ541" s="21">
        <f>47.8261-BH541</f>
        <v>13.043499999999995</v>
      </c>
      <c r="BK541" s="40"/>
    </row>
    <row r="542" spans="1:63" s="20" customFormat="1" x14ac:dyDescent="0.2">
      <c r="A542" s="20">
        <v>115</v>
      </c>
      <c r="B542" s="20" t="s">
        <v>846</v>
      </c>
      <c r="C542" s="20" t="s">
        <v>845</v>
      </c>
      <c r="D542" s="20" t="s">
        <v>844</v>
      </c>
      <c r="E542" s="20" t="s">
        <v>843</v>
      </c>
      <c r="F542" s="20" t="s">
        <v>324</v>
      </c>
      <c r="G542" s="20">
        <v>2010</v>
      </c>
      <c r="H542" s="20">
        <v>40317</v>
      </c>
      <c r="I542" s="20" t="s">
        <v>32</v>
      </c>
      <c r="J542" s="20" t="s">
        <v>32</v>
      </c>
      <c r="K542" s="20" t="s">
        <v>842</v>
      </c>
      <c r="L542" s="20">
        <v>2</v>
      </c>
      <c r="M542" s="20" t="s">
        <v>32</v>
      </c>
      <c r="N542" s="20" t="s">
        <v>34</v>
      </c>
      <c r="O542" s="20" t="s">
        <v>190</v>
      </c>
      <c r="P542" s="20" t="s">
        <v>34</v>
      </c>
      <c r="Q542" s="20" t="s">
        <v>34</v>
      </c>
      <c r="R542" s="20" t="s">
        <v>34</v>
      </c>
      <c r="S542" s="20" t="s">
        <v>34</v>
      </c>
      <c r="T542" s="20" t="s">
        <v>34</v>
      </c>
      <c r="U542" s="20" t="s">
        <v>32</v>
      </c>
      <c r="V542" s="20">
        <v>1</v>
      </c>
      <c r="W542" s="20" t="s">
        <v>32</v>
      </c>
      <c r="X542" s="20" t="s">
        <v>32</v>
      </c>
      <c r="Y542" s="20" t="s">
        <v>32</v>
      </c>
      <c r="Z542" s="20" t="s">
        <v>32</v>
      </c>
      <c r="AA542" s="20">
        <v>20478366</v>
      </c>
      <c r="AB542" s="20">
        <v>0</v>
      </c>
      <c r="AC542" s="20" t="s">
        <v>2645</v>
      </c>
      <c r="AE542" s="26"/>
      <c r="BK542" s="41"/>
    </row>
    <row r="543" spans="1:63" x14ac:dyDescent="0.2">
      <c r="A543" s="7">
        <v>116</v>
      </c>
      <c r="B543" s="7" t="s">
        <v>841</v>
      </c>
      <c r="C543" s="7" t="s">
        <v>840</v>
      </c>
      <c r="D543" s="7" t="s">
        <v>839</v>
      </c>
      <c r="E543" s="7" t="s">
        <v>838</v>
      </c>
      <c r="F543" s="7" t="s">
        <v>498</v>
      </c>
      <c r="G543" s="7">
        <v>2010</v>
      </c>
      <c r="H543" s="7">
        <v>40298</v>
      </c>
      <c r="I543" s="7" t="s">
        <v>32</v>
      </c>
      <c r="J543" s="7" t="s">
        <v>32</v>
      </c>
      <c r="K543" s="7" t="s">
        <v>837</v>
      </c>
      <c r="L543" s="7">
        <v>2</v>
      </c>
      <c r="M543" s="7" t="s">
        <v>32</v>
      </c>
      <c r="N543" s="7" t="s">
        <v>34</v>
      </c>
      <c r="O543" s="7" t="s">
        <v>190</v>
      </c>
      <c r="P543" s="7" t="s">
        <v>34</v>
      </c>
      <c r="Q543" s="7" t="s">
        <v>34</v>
      </c>
      <c r="R543" s="7" t="s">
        <v>34</v>
      </c>
      <c r="S543" s="7" t="s">
        <v>34</v>
      </c>
      <c r="T543" s="7" t="s">
        <v>34</v>
      </c>
      <c r="U543" s="7" t="s">
        <v>32</v>
      </c>
      <c r="V543" s="7">
        <v>1</v>
      </c>
      <c r="W543" s="7" t="s">
        <v>32</v>
      </c>
      <c r="X543" s="7" t="s">
        <v>32</v>
      </c>
      <c r="Y543" s="7" t="s">
        <v>32</v>
      </c>
      <c r="Z543" s="7" t="s">
        <v>32</v>
      </c>
      <c r="AA543" s="7">
        <v>20427053</v>
      </c>
      <c r="AB543" s="7">
        <v>1</v>
      </c>
      <c r="AD543" s="7">
        <v>4</v>
      </c>
      <c r="AE543" s="24">
        <v>16</v>
      </c>
      <c r="AF543" s="7">
        <v>8</v>
      </c>
      <c r="AG543" s="7">
        <v>8</v>
      </c>
      <c r="AH543" s="7" t="s">
        <v>1642</v>
      </c>
      <c r="AI543" s="7" t="s">
        <v>1642</v>
      </c>
      <c r="AK543" s="7">
        <v>325</v>
      </c>
      <c r="AN543" s="7">
        <v>325</v>
      </c>
      <c r="AP543" s="7">
        <v>1</v>
      </c>
      <c r="AQ543" s="7" t="s">
        <v>1877</v>
      </c>
      <c r="AR543" s="7" t="s">
        <v>1637</v>
      </c>
      <c r="AS543" s="7" t="s">
        <v>1638</v>
      </c>
      <c r="AT543" s="7" t="s">
        <v>1640</v>
      </c>
      <c r="AU543" s="7" t="s">
        <v>178</v>
      </c>
      <c r="AV543" s="7" t="s">
        <v>1653</v>
      </c>
      <c r="AW543" s="7" t="s">
        <v>1639</v>
      </c>
      <c r="AX543" s="7" t="s">
        <v>2349</v>
      </c>
      <c r="AY543" s="7" t="s">
        <v>1881</v>
      </c>
      <c r="AZ543" s="7" t="s">
        <v>1650</v>
      </c>
      <c r="BA543" s="7">
        <v>332</v>
      </c>
      <c r="BB543" s="7">
        <v>324</v>
      </c>
      <c r="BC543" s="7" t="s">
        <v>2310</v>
      </c>
      <c r="BD543" s="7">
        <v>64.987399999999994</v>
      </c>
      <c r="BF543" s="7">
        <f>71.2846-BD543</f>
        <v>6.2972000000000037</v>
      </c>
      <c r="BG543" s="7" t="s">
        <v>2314</v>
      </c>
      <c r="BH543" s="7">
        <v>39.0428</v>
      </c>
      <c r="BJ543" s="7">
        <f>44.5844-BH543</f>
        <v>5.5416000000000025</v>
      </c>
    </row>
    <row r="544" spans="1:63" x14ac:dyDescent="0.2">
      <c r="A544" s="7">
        <v>116</v>
      </c>
      <c r="B544" s="7" t="s">
        <v>841</v>
      </c>
      <c r="C544" s="7" t="s">
        <v>840</v>
      </c>
      <c r="D544" s="7" t="s">
        <v>839</v>
      </c>
      <c r="E544" s="7" t="s">
        <v>838</v>
      </c>
      <c r="F544" s="7" t="s">
        <v>498</v>
      </c>
      <c r="G544" s="7">
        <v>2010</v>
      </c>
      <c r="H544" s="7">
        <v>40298</v>
      </c>
      <c r="I544" s="7" t="s">
        <v>32</v>
      </c>
      <c r="J544" s="7" t="s">
        <v>32</v>
      </c>
      <c r="K544" s="7" t="s">
        <v>837</v>
      </c>
      <c r="L544" s="7">
        <v>2</v>
      </c>
      <c r="M544" s="7" t="s">
        <v>32</v>
      </c>
      <c r="N544" s="7" t="s">
        <v>34</v>
      </c>
      <c r="O544" s="7" t="s">
        <v>190</v>
      </c>
      <c r="P544" s="7" t="s">
        <v>34</v>
      </c>
      <c r="Q544" s="7" t="s">
        <v>34</v>
      </c>
      <c r="R544" s="7" t="s">
        <v>34</v>
      </c>
      <c r="S544" s="7" t="s">
        <v>34</v>
      </c>
      <c r="T544" s="7" t="s">
        <v>34</v>
      </c>
      <c r="U544" s="7" t="s">
        <v>32</v>
      </c>
      <c r="V544" s="7">
        <v>1</v>
      </c>
      <c r="W544" s="7" t="s">
        <v>32</v>
      </c>
      <c r="X544" s="7" t="s">
        <v>32</v>
      </c>
      <c r="Y544" s="7" t="s">
        <v>32</v>
      </c>
      <c r="Z544" s="7" t="s">
        <v>32</v>
      </c>
      <c r="AA544" s="7">
        <v>20427053</v>
      </c>
      <c r="AB544" s="7">
        <v>1</v>
      </c>
      <c r="AD544" s="7">
        <v>4</v>
      </c>
      <c r="AE544" s="24">
        <v>16</v>
      </c>
      <c r="AF544" s="7">
        <v>8</v>
      </c>
      <c r="AG544" s="7">
        <v>8</v>
      </c>
      <c r="AH544" s="7" t="s">
        <v>1642</v>
      </c>
      <c r="AI544" s="7" t="s">
        <v>1642</v>
      </c>
      <c r="AK544" s="7">
        <v>325</v>
      </c>
      <c r="AN544" s="7">
        <v>325</v>
      </c>
      <c r="AP544" s="7">
        <v>1</v>
      </c>
      <c r="AQ544" s="7" t="s">
        <v>1877</v>
      </c>
      <c r="AR544" s="7" t="s">
        <v>1637</v>
      </c>
      <c r="AS544" s="7" t="s">
        <v>1638</v>
      </c>
      <c r="AT544" s="7" t="s">
        <v>1640</v>
      </c>
      <c r="AU544" s="7" t="s">
        <v>178</v>
      </c>
      <c r="AV544" s="7" t="s">
        <v>1653</v>
      </c>
      <c r="AW544" s="7" t="s">
        <v>1639</v>
      </c>
      <c r="AX544" s="7" t="s">
        <v>2349</v>
      </c>
      <c r="AY544" s="7" t="s">
        <v>1955</v>
      </c>
      <c r="AZ544" s="7" t="s">
        <v>1650</v>
      </c>
      <c r="BA544" s="7">
        <v>332</v>
      </c>
      <c r="BB544" s="7">
        <v>324</v>
      </c>
      <c r="BC544" s="7" t="s">
        <v>2311</v>
      </c>
      <c r="BD544" s="7">
        <v>63.979900000000001</v>
      </c>
      <c r="BF544" s="7">
        <f>68.7657-BD544</f>
        <v>4.7857999999999947</v>
      </c>
      <c r="BG544" s="7" t="s">
        <v>2315</v>
      </c>
      <c r="BH544" s="7">
        <v>28.4635</v>
      </c>
      <c r="BJ544" s="7">
        <f>34.005-BH544</f>
        <v>5.5415000000000028</v>
      </c>
    </row>
    <row r="545" spans="1:63" x14ac:dyDescent="0.2">
      <c r="A545" s="7">
        <v>117</v>
      </c>
      <c r="B545" s="7" t="s">
        <v>836</v>
      </c>
      <c r="C545" s="7" t="s">
        <v>835</v>
      </c>
      <c r="D545" s="7" t="s">
        <v>834</v>
      </c>
      <c r="E545" s="7" t="s">
        <v>833</v>
      </c>
      <c r="F545" s="7" t="s">
        <v>45</v>
      </c>
      <c r="G545" s="7">
        <v>2010</v>
      </c>
      <c r="H545" s="7">
        <v>40221</v>
      </c>
      <c r="I545" s="7" t="s">
        <v>832</v>
      </c>
      <c r="J545" s="7" t="s">
        <v>831</v>
      </c>
      <c r="K545" s="7" t="s">
        <v>830</v>
      </c>
      <c r="L545" s="7">
        <v>2</v>
      </c>
      <c r="M545" s="7" t="s">
        <v>829</v>
      </c>
      <c r="N545" s="7" t="s">
        <v>795</v>
      </c>
      <c r="O545" s="7" t="s">
        <v>34</v>
      </c>
      <c r="P545" s="7" t="s">
        <v>34</v>
      </c>
      <c r="Q545" s="7" t="s">
        <v>34</v>
      </c>
      <c r="R545" s="7" t="s">
        <v>34</v>
      </c>
      <c r="S545" s="7" t="s">
        <v>34</v>
      </c>
      <c r="T545" s="7" t="s">
        <v>34</v>
      </c>
      <c r="U545" s="7" t="s">
        <v>34</v>
      </c>
      <c r="V545" s="7">
        <v>1</v>
      </c>
      <c r="W545" s="7" t="s">
        <v>178</v>
      </c>
      <c r="X545" s="7">
        <v>1</v>
      </c>
      <c r="Y545" s="7" t="s">
        <v>32</v>
      </c>
      <c r="Z545" s="7" t="s">
        <v>828</v>
      </c>
      <c r="AA545" s="7">
        <v>20147889</v>
      </c>
      <c r="AB545" s="7">
        <v>1</v>
      </c>
      <c r="AD545" s="7">
        <v>4</v>
      </c>
      <c r="AE545" s="24">
        <v>16</v>
      </c>
      <c r="AF545" s="7">
        <v>8</v>
      </c>
      <c r="AG545" s="7">
        <v>8</v>
      </c>
      <c r="AH545" s="7" t="s">
        <v>1642</v>
      </c>
      <c r="AI545" s="7" t="s">
        <v>1642</v>
      </c>
      <c r="AJ545" s="7" t="s">
        <v>2646</v>
      </c>
      <c r="AM545" s="7" t="s">
        <v>2646</v>
      </c>
      <c r="AP545" s="7">
        <v>15</v>
      </c>
      <c r="AQ545" s="7" t="s">
        <v>2654</v>
      </c>
      <c r="AR545" s="7" t="s">
        <v>1814</v>
      </c>
      <c r="AS545" s="7" t="s">
        <v>1667</v>
      </c>
      <c r="AT545" s="7" t="s">
        <v>2648</v>
      </c>
      <c r="AU545" s="7" t="s">
        <v>178</v>
      </c>
      <c r="AV545" s="7" t="s">
        <v>2337</v>
      </c>
      <c r="AW545" s="7" t="s">
        <v>1678</v>
      </c>
      <c r="AX545" s="7" t="s">
        <v>2647</v>
      </c>
      <c r="AY545" s="7" t="s">
        <v>1750</v>
      </c>
      <c r="AZ545" s="7" t="s">
        <v>1650</v>
      </c>
      <c r="BA545" s="7">
        <v>333</v>
      </c>
      <c r="BB545" s="7">
        <v>325</v>
      </c>
      <c r="BC545" s="7" t="s">
        <v>2651</v>
      </c>
      <c r="BD545" s="7">
        <v>71.044499999999999</v>
      </c>
      <c r="BF545" s="7">
        <f>78.0338-BD545</f>
        <v>6.9893000000000001</v>
      </c>
      <c r="BG545" s="7" t="s">
        <v>2650</v>
      </c>
      <c r="BH545" s="7">
        <v>9.9846400000000006</v>
      </c>
      <c r="BJ545" s="7">
        <f>13.2104-BH545</f>
        <v>3.2257599999999993</v>
      </c>
      <c r="BK545" s="9" t="s">
        <v>2649</v>
      </c>
    </row>
    <row r="546" spans="1:63" x14ac:dyDescent="0.2">
      <c r="A546" s="7">
        <v>117</v>
      </c>
      <c r="B546" s="7" t="s">
        <v>836</v>
      </c>
      <c r="C546" s="7" t="s">
        <v>835</v>
      </c>
      <c r="D546" s="7" t="s">
        <v>834</v>
      </c>
      <c r="E546" s="7" t="s">
        <v>833</v>
      </c>
      <c r="F546" s="7" t="s">
        <v>45</v>
      </c>
      <c r="G546" s="7">
        <v>2010</v>
      </c>
      <c r="H546" s="7">
        <v>40221</v>
      </c>
      <c r="I546" s="7" t="s">
        <v>832</v>
      </c>
      <c r="J546" s="7" t="s">
        <v>831</v>
      </c>
      <c r="K546" s="7" t="s">
        <v>830</v>
      </c>
      <c r="L546" s="7">
        <v>2</v>
      </c>
      <c r="M546" s="7" t="s">
        <v>829</v>
      </c>
      <c r="N546" s="7" t="s">
        <v>795</v>
      </c>
      <c r="O546" s="7" t="s">
        <v>34</v>
      </c>
      <c r="P546" s="7" t="s">
        <v>34</v>
      </c>
      <c r="Q546" s="7" t="s">
        <v>34</v>
      </c>
      <c r="R546" s="7" t="s">
        <v>34</v>
      </c>
      <c r="S546" s="7" t="s">
        <v>34</v>
      </c>
      <c r="T546" s="7" t="s">
        <v>34</v>
      </c>
      <c r="U546" s="7" t="s">
        <v>34</v>
      </c>
      <c r="V546" s="7">
        <v>1</v>
      </c>
      <c r="W546" s="7" t="s">
        <v>178</v>
      </c>
      <c r="X546" s="7">
        <v>1</v>
      </c>
      <c r="Y546" s="7" t="s">
        <v>32</v>
      </c>
      <c r="Z546" s="7" t="s">
        <v>828</v>
      </c>
      <c r="AA546" s="7">
        <v>20147889</v>
      </c>
      <c r="AB546" s="7">
        <v>1</v>
      </c>
      <c r="AD546" s="7">
        <v>4</v>
      </c>
      <c r="AE546" s="24">
        <v>16</v>
      </c>
      <c r="AF546" s="7">
        <v>8</v>
      </c>
      <c r="AG546" s="7">
        <v>8</v>
      </c>
      <c r="AH546" s="7" t="s">
        <v>1642</v>
      </c>
      <c r="AI546" s="7" t="s">
        <v>1642</v>
      </c>
      <c r="AJ546" s="7" t="s">
        <v>2646</v>
      </c>
      <c r="AM546" s="7" t="s">
        <v>2646</v>
      </c>
      <c r="AP546" s="7">
        <v>15</v>
      </c>
      <c r="AQ546" s="7" t="s">
        <v>2654</v>
      </c>
      <c r="AR546" s="7" t="s">
        <v>1814</v>
      </c>
      <c r="AS546" s="7" t="s">
        <v>1667</v>
      </c>
      <c r="AT546" s="7" t="s">
        <v>2648</v>
      </c>
      <c r="AU546" s="7" t="s">
        <v>178</v>
      </c>
      <c r="AV546" s="7" t="s">
        <v>1815</v>
      </c>
      <c r="AW546" s="7" t="s">
        <v>1639</v>
      </c>
      <c r="AX546" s="7" t="s">
        <v>2647</v>
      </c>
      <c r="AY546" s="7" t="s">
        <v>1881</v>
      </c>
      <c r="AZ546" s="7" t="s">
        <v>1650</v>
      </c>
      <c r="BA546" s="7">
        <v>333</v>
      </c>
      <c r="BB546" s="7">
        <v>325</v>
      </c>
      <c r="BC546" s="7" t="s">
        <v>2652</v>
      </c>
      <c r="BD546" s="7">
        <v>51.980699999999999</v>
      </c>
      <c r="BF546" s="7">
        <f>61.4349-BD546</f>
        <v>9.4542000000000002</v>
      </c>
      <c r="BG546" s="7" t="s">
        <v>2653</v>
      </c>
      <c r="BH546" s="7">
        <v>16.051100000000002</v>
      </c>
      <c r="BJ546" s="7">
        <f>20.3554-BH546</f>
        <v>4.3042999999999978</v>
      </c>
      <c r="BK546" s="9" t="s">
        <v>2655</v>
      </c>
    </row>
    <row r="547" spans="1:63" x14ac:dyDescent="0.2">
      <c r="A547" s="7">
        <v>118</v>
      </c>
      <c r="B547" s="7" t="s">
        <v>827</v>
      </c>
      <c r="C547" s="7" t="s">
        <v>826</v>
      </c>
      <c r="D547" s="7" t="s">
        <v>825</v>
      </c>
      <c r="E547" s="7" t="s">
        <v>729</v>
      </c>
      <c r="F547" s="7" t="s">
        <v>824</v>
      </c>
      <c r="G547" s="7">
        <v>2010</v>
      </c>
      <c r="H547" s="7">
        <v>40214</v>
      </c>
      <c r="I547" s="7" t="s">
        <v>32</v>
      </c>
      <c r="J547" s="7" t="s">
        <v>32</v>
      </c>
      <c r="K547" s="7" t="s">
        <v>823</v>
      </c>
      <c r="L547" s="7">
        <v>2</v>
      </c>
      <c r="M547" s="7" t="s">
        <v>32</v>
      </c>
      <c r="N547" s="7" t="s">
        <v>34</v>
      </c>
      <c r="O547" s="7" t="s">
        <v>190</v>
      </c>
      <c r="P547" s="7" t="s">
        <v>34</v>
      </c>
      <c r="Q547" s="7" t="s">
        <v>34</v>
      </c>
      <c r="R547" s="7" t="s">
        <v>739</v>
      </c>
      <c r="S547" s="7" t="s">
        <v>34</v>
      </c>
      <c r="T547" s="7" t="s">
        <v>34</v>
      </c>
      <c r="U547" s="7" t="s">
        <v>32</v>
      </c>
      <c r="V547" s="7">
        <v>1</v>
      </c>
      <c r="W547" s="7" t="s">
        <v>822</v>
      </c>
      <c r="X547" s="7" t="s">
        <v>32</v>
      </c>
      <c r="Y547" s="7" t="s">
        <v>32</v>
      </c>
      <c r="Z547" s="7" t="s">
        <v>32</v>
      </c>
      <c r="AA547" s="7">
        <v>20129764</v>
      </c>
      <c r="AB547" s="7">
        <v>1</v>
      </c>
      <c r="AD547" s="7">
        <v>4</v>
      </c>
      <c r="AE547" s="24">
        <v>17</v>
      </c>
      <c r="AF547" s="7">
        <v>8.5</v>
      </c>
      <c r="AG547" s="7">
        <v>8.5</v>
      </c>
      <c r="AH547" s="7" t="s">
        <v>1642</v>
      </c>
      <c r="AI547" s="7" t="s">
        <v>1642</v>
      </c>
      <c r="AK547" s="7">
        <v>225</v>
      </c>
      <c r="AN547" s="7">
        <v>225</v>
      </c>
      <c r="AR547" s="7" t="s">
        <v>1675</v>
      </c>
      <c r="AS547" s="7" t="s">
        <v>1667</v>
      </c>
      <c r="AT547" s="7" t="s">
        <v>1640</v>
      </c>
      <c r="AU547" s="7" t="s">
        <v>178</v>
      </c>
      <c r="AV547" s="7" t="s">
        <v>1653</v>
      </c>
      <c r="AW547" s="7" t="s">
        <v>1678</v>
      </c>
      <c r="AX547" s="7" t="s">
        <v>2656</v>
      </c>
      <c r="AY547" s="7" t="s">
        <v>1684</v>
      </c>
      <c r="AZ547" s="7" t="s">
        <v>1650</v>
      </c>
      <c r="BA547" s="7">
        <v>334</v>
      </c>
      <c r="BB547" s="7">
        <v>326</v>
      </c>
      <c r="BC547" s="7" t="s">
        <v>2657</v>
      </c>
      <c r="BD547" s="7">
        <v>48.6203</v>
      </c>
      <c r="BF547" s="7">
        <f>54.2067-BD547</f>
        <v>5.5863999999999976</v>
      </c>
      <c r="BG547" s="7" t="s">
        <v>2661</v>
      </c>
      <c r="BH547" s="7">
        <v>12.218500000000001</v>
      </c>
      <c r="BJ547" s="7">
        <f>16.6879-BH547</f>
        <v>4.4693999999999985</v>
      </c>
    </row>
    <row r="548" spans="1:63" x14ac:dyDescent="0.2">
      <c r="A548" s="7">
        <v>118</v>
      </c>
      <c r="B548" s="7" t="s">
        <v>827</v>
      </c>
      <c r="C548" s="7" t="s">
        <v>826</v>
      </c>
      <c r="D548" s="7" t="s">
        <v>825</v>
      </c>
      <c r="E548" s="7" t="s">
        <v>729</v>
      </c>
      <c r="F548" s="7" t="s">
        <v>824</v>
      </c>
      <c r="G548" s="7">
        <v>2010</v>
      </c>
      <c r="H548" s="7">
        <v>40214</v>
      </c>
      <c r="I548" s="7" t="s">
        <v>32</v>
      </c>
      <c r="J548" s="7" t="s">
        <v>32</v>
      </c>
      <c r="K548" s="7" t="s">
        <v>823</v>
      </c>
      <c r="L548" s="7">
        <v>2</v>
      </c>
      <c r="M548" s="7" t="s">
        <v>32</v>
      </c>
      <c r="N548" s="7" t="s">
        <v>34</v>
      </c>
      <c r="O548" s="7" t="s">
        <v>190</v>
      </c>
      <c r="P548" s="7" t="s">
        <v>34</v>
      </c>
      <c r="Q548" s="7" t="s">
        <v>34</v>
      </c>
      <c r="R548" s="7" t="s">
        <v>739</v>
      </c>
      <c r="S548" s="7" t="s">
        <v>34</v>
      </c>
      <c r="T548" s="7" t="s">
        <v>34</v>
      </c>
      <c r="U548" s="7" t="s">
        <v>32</v>
      </c>
      <c r="V548" s="7">
        <v>1</v>
      </c>
      <c r="W548" s="7" t="s">
        <v>822</v>
      </c>
      <c r="X548" s="7" t="s">
        <v>32</v>
      </c>
      <c r="Y548" s="7" t="s">
        <v>32</v>
      </c>
      <c r="Z548" s="7" t="s">
        <v>32</v>
      </c>
      <c r="AA548" s="7">
        <v>20129764</v>
      </c>
      <c r="AB548" s="7">
        <v>1</v>
      </c>
      <c r="AD548" s="7">
        <v>4</v>
      </c>
      <c r="AE548" s="24">
        <v>17</v>
      </c>
      <c r="AF548" s="7">
        <v>8.5</v>
      </c>
      <c r="AG548" s="7">
        <v>8.5</v>
      </c>
      <c r="AH548" s="7" t="s">
        <v>1642</v>
      </c>
      <c r="AI548" s="7" t="s">
        <v>1642</v>
      </c>
      <c r="AK548" s="7">
        <v>225</v>
      </c>
      <c r="AN548" s="7">
        <v>225</v>
      </c>
      <c r="AR548" s="7" t="s">
        <v>1675</v>
      </c>
      <c r="AS548" s="7" t="s">
        <v>1667</v>
      </c>
      <c r="AT548" s="7" t="s">
        <v>1640</v>
      </c>
      <c r="AU548" s="7" t="s">
        <v>178</v>
      </c>
      <c r="AV548" s="7" t="s">
        <v>1653</v>
      </c>
      <c r="AW548" s="7" t="s">
        <v>1678</v>
      </c>
      <c r="AX548" s="7" t="s">
        <v>2656</v>
      </c>
      <c r="AY548" s="7" t="s">
        <v>1684</v>
      </c>
      <c r="AZ548" s="7" t="s">
        <v>1650</v>
      </c>
      <c r="BA548" s="7">
        <v>335</v>
      </c>
      <c r="BB548" s="7">
        <v>327</v>
      </c>
      <c r="BC548" s="7" t="s">
        <v>2658</v>
      </c>
      <c r="BD548" s="7">
        <v>56.618699999999997</v>
      </c>
      <c r="BF548" s="7">
        <f>62.9502-BD548</f>
        <v>6.3315000000000055</v>
      </c>
      <c r="BG548" s="7" t="s">
        <v>2662</v>
      </c>
      <c r="BH548" s="7">
        <v>12.8146</v>
      </c>
      <c r="BJ548" s="7">
        <f>14.9562-BH548</f>
        <v>2.1416000000000004</v>
      </c>
    </row>
    <row r="549" spans="1:63" x14ac:dyDescent="0.2">
      <c r="A549" s="7">
        <v>118</v>
      </c>
      <c r="B549" s="7" t="s">
        <v>827</v>
      </c>
      <c r="C549" s="7" t="s">
        <v>826</v>
      </c>
      <c r="D549" s="7" t="s">
        <v>825</v>
      </c>
      <c r="E549" s="7" t="s">
        <v>729</v>
      </c>
      <c r="F549" s="7" t="s">
        <v>824</v>
      </c>
      <c r="G549" s="7">
        <v>2010</v>
      </c>
      <c r="H549" s="7">
        <v>40214</v>
      </c>
      <c r="I549" s="7" t="s">
        <v>32</v>
      </c>
      <c r="J549" s="7" t="s">
        <v>32</v>
      </c>
      <c r="K549" s="7" t="s">
        <v>823</v>
      </c>
      <c r="L549" s="7">
        <v>2</v>
      </c>
      <c r="M549" s="7" t="s">
        <v>32</v>
      </c>
      <c r="N549" s="7" t="s">
        <v>34</v>
      </c>
      <c r="O549" s="7" t="s">
        <v>190</v>
      </c>
      <c r="P549" s="7" t="s">
        <v>34</v>
      </c>
      <c r="Q549" s="7" t="s">
        <v>34</v>
      </c>
      <c r="R549" s="7" t="s">
        <v>739</v>
      </c>
      <c r="S549" s="7" t="s">
        <v>34</v>
      </c>
      <c r="T549" s="7" t="s">
        <v>34</v>
      </c>
      <c r="U549" s="7" t="s">
        <v>32</v>
      </c>
      <c r="V549" s="7">
        <v>1</v>
      </c>
      <c r="W549" s="7" t="s">
        <v>822</v>
      </c>
      <c r="X549" s="7" t="s">
        <v>32</v>
      </c>
      <c r="Y549" s="7" t="s">
        <v>32</v>
      </c>
      <c r="Z549" s="7" t="s">
        <v>32</v>
      </c>
      <c r="AA549" s="7">
        <v>20129764</v>
      </c>
      <c r="AB549" s="7">
        <v>1</v>
      </c>
      <c r="AD549" s="7">
        <v>4</v>
      </c>
      <c r="AE549" s="24">
        <v>17</v>
      </c>
      <c r="AF549" s="7">
        <v>8.5</v>
      </c>
      <c r="AG549" s="7">
        <v>8.5</v>
      </c>
      <c r="AH549" s="7" t="s">
        <v>1642</v>
      </c>
      <c r="AI549" s="7" t="s">
        <v>1642</v>
      </c>
      <c r="AK549" s="7">
        <v>225</v>
      </c>
      <c r="AN549" s="7">
        <v>225</v>
      </c>
      <c r="AR549" s="7" t="s">
        <v>1675</v>
      </c>
      <c r="AS549" s="7" t="s">
        <v>1667</v>
      </c>
      <c r="AT549" s="7" t="s">
        <v>1640</v>
      </c>
      <c r="AU549" s="7" t="s">
        <v>178</v>
      </c>
      <c r="AV549" s="7" t="s">
        <v>1653</v>
      </c>
      <c r="AW549" s="7" t="s">
        <v>1678</v>
      </c>
      <c r="AX549" s="7" t="s">
        <v>2656</v>
      </c>
      <c r="AY549" s="7" t="s">
        <v>1684</v>
      </c>
      <c r="AZ549" s="7" t="s">
        <v>1650</v>
      </c>
      <c r="BA549" s="7">
        <v>336</v>
      </c>
      <c r="BB549" s="7">
        <v>328</v>
      </c>
      <c r="BC549" s="7" t="s">
        <v>2659</v>
      </c>
      <c r="BD549" s="7">
        <v>45.951999999999998</v>
      </c>
      <c r="BF549" s="7">
        <f>52.208-BD549</f>
        <v>6.2560000000000002</v>
      </c>
      <c r="BG549" s="7" t="s">
        <v>2663</v>
      </c>
      <c r="BH549" s="7">
        <v>19.052</v>
      </c>
      <c r="BJ549" s="7">
        <f>22.9743-BH549</f>
        <v>3.9222999999999999</v>
      </c>
    </row>
    <row r="550" spans="1:63" x14ac:dyDescent="0.2">
      <c r="A550" s="7">
        <v>118</v>
      </c>
      <c r="B550" s="7" t="s">
        <v>827</v>
      </c>
      <c r="C550" s="7" t="s">
        <v>826</v>
      </c>
      <c r="D550" s="7" t="s">
        <v>825</v>
      </c>
      <c r="E550" s="7" t="s">
        <v>729</v>
      </c>
      <c r="F550" s="7" t="s">
        <v>824</v>
      </c>
      <c r="G550" s="7">
        <v>2010</v>
      </c>
      <c r="H550" s="7">
        <v>40214</v>
      </c>
      <c r="I550" s="7" t="s">
        <v>32</v>
      </c>
      <c r="J550" s="7" t="s">
        <v>32</v>
      </c>
      <c r="K550" s="7" t="s">
        <v>823</v>
      </c>
      <c r="L550" s="7">
        <v>2</v>
      </c>
      <c r="M550" s="7" t="s">
        <v>32</v>
      </c>
      <c r="N550" s="7" t="s">
        <v>34</v>
      </c>
      <c r="O550" s="7" t="s">
        <v>190</v>
      </c>
      <c r="P550" s="7" t="s">
        <v>34</v>
      </c>
      <c r="Q550" s="7" t="s">
        <v>34</v>
      </c>
      <c r="R550" s="7" t="s">
        <v>739</v>
      </c>
      <c r="S550" s="7" t="s">
        <v>34</v>
      </c>
      <c r="T550" s="7" t="s">
        <v>34</v>
      </c>
      <c r="U550" s="7" t="s">
        <v>32</v>
      </c>
      <c r="V550" s="7">
        <v>1</v>
      </c>
      <c r="W550" s="7" t="s">
        <v>822</v>
      </c>
      <c r="X550" s="7" t="s">
        <v>32</v>
      </c>
      <c r="Y550" s="7" t="s">
        <v>32</v>
      </c>
      <c r="Z550" s="7" t="s">
        <v>32</v>
      </c>
      <c r="AA550" s="7">
        <v>20129764</v>
      </c>
      <c r="AB550" s="7">
        <v>1</v>
      </c>
      <c r="AD550" s="7">
        <v>4</v>
      </c>
      <c r="AE550" s="24">
        <v>17</v>
      </c>
      <c r="AF550" s="7">
        <v>8.5</v>
      </c>
      <c r="AG550" s="7">
        <v>8.5</v>
      </c>
      <c r="AH550" s="7" t="s">
        <v>1642</v>
      </c>
      <c r="AI550" s="7" t="s">
        <v>1642</v>
      </c>
      <c r="AK550" s="7">
        <v>225</v>
      </c>
      <c r="AN550" s="7">
        <v>225</v>
      </c>
      <c r="AR550" s="7" t="s">
        <v>1675</v>
      </c>
      <c r="AS550" s="7" t="s">
        <v>1667</v>
      </c>
      <c r="AT550" s="7" t="s">
        <v>1640</v>
      </c>
      <c r="AU550" s="7" t="s">
        <v>178</v>
      </c>
      <c r="AV550" s="7" t="s">
        <v>1653</v>
      </c>
      <c r="AW550" s="7" t="s">
        <v>1678</v>
      </c>
      <c r="AX550" s="7" t="s">
        <v>2656</v>
      </c>
      <c r="AY550" s="7" t="s">
        <v>1684</v>
      </c>
      <c r="AZ550" s="7" t="s">
        <v>1650</v>
      </c>
      <c r="BA550" s="7">
        <v>337</v>
      </c>
      <c r="BB550" s="7">
        <v>329</v>
      </c>
      <c r="BC550" s="7" t="s">
        <v>2660</v>
      </c>
      <c r="BD550" s="7">
        <v>51.4756</v>
      </c>
      <c r="BF550" s="7">
        <f>58.0119-BD550</f>
        <v>6.5362999999999971</v>
      </c>
      <c r="BG550" s="7" t="s">
        <v>2664</v>
      </c>
      <c r="BH550" s="7">
        <v>12.8118</v>
      </c>
      <c r="BJ550" s="7">
        <f>15.2396-BH550</f>
        <v>2.4277999999999995</v>
      </c>
    </row>
    <row r="551" spans="1:63" x14ac:dyDescent="0.2">
      <c r="A551" s="7">
        <v>118</v>
      </c>
      <c r="B551" s="7" t="s">
        <v>827</v>
      </c>
      <c r="C551" s="7" t="s">
        <v>826</v>
      </c>
      <c r="D551" s="7" t="s">
        <v>825</v>
      </c>
      <c r="E551" s="7" t="s">
        <v>729</v>
      </c>
      <c r="F551" s="7" t="s">
        <v>824</v>
      </c>
      <c r="G551" s="7">
        <v>2010</v>
      </c>
      <c r="H551" s="7">
        <v>40214</v>
      </c>
      <c r="I551" s="7" t="s">
        <v>32</v>
      </c>
      <c r="J551" s="7" t="s">
        <v>32</v>
      </c>
      <c r="K551" s="7" t="s">
        <v>823</v>
      </c>
      <c r="L551" s="7">
        <v>2</v>
      </c>
      <c r="M551" s="7" t="s">
        <v>32</v>
      </c>
      <c r="N551" s="7" t="s">
        <v>34</v>
      </c>
      <c r="O551" s="7" t="s">
        <v>190</v>
      </c>
      <c r="P551" s="7" t="s">
        <v>34</v>
      </c>
      <c r="Q551" s="7" t="s">
        <v>34</v>
      </c>
      <c r="R551" s="7" t="s">
        <v>739</v>
      </c>
      <c r="S551" s="7" t="s">
        <v>34</v>
      </c>
      <c r="T551" s="7" t="s">
        <v>34</v>
      </c>
      <c r="U551" s="7" t="s">
        <v>32</v>
      </c>
      <c r="V551" s="7">
        <v>1</v>
      </c>
      <c r="W551" s="7" t="s">
        <v>822</v>
      </c>
      <c r="X551" s="7" t="s">
        <v>32</v>
      </c>
      <c r="Y551" s="7" t="s">
        <v>32</v>
      </c>
      <c r="Z551" s="7" t="s">
        <v>32</v>
      </c>
      <c r="AA551" s="7">
        <v>20129764</v>
      </c>
      <c r="AB551" s="7">
        <v>1</v>
      </c>
      <c r="AD551" s="7">
        <v>4</v>
      </c>
      <c r="AE551" s="24">
        <v>18</v>
      </c>
      <c r="AF551" s="7">
        <v>9</v>
      </c>
      <c r="AG551" s="7">
        <v>9</v>
      </c>
      <c r="AH551" s="7" t="s">
        <v>1642</v>
      </c>
      <c r="AI551" s="7" t="s">
        <v>1642</v>
      </c>
      <c r="AK551" s="7">
        <v>225</v>
      </c>
      <c r="AN551" s="7">
        <v>225</v>
      </c>
      <c r="AR551" s="7" t="s">
        <v>1675</v>
      </c>
      <c r="AS551" s="7" t="s">
        <v>1667</v>
      </c>
      <c r="AT551" s="7" t="s">
        <v>1640</v>
      </c>
      <c r="AU551" s="7" t="s">
        <v>178</v>
      </c>
      <c r="AV551" s="7" t="s">
        <v>1698</v>
      </c>
      <c r="AW551" s="7" t="s">
        <v>1678</v>
      </c>
      <c r="AX551" s="7" t="s">
        <v>2656</v>
      </c>
      <c r="AY551" s="7" t="s">
        <v>1684</v>
      </c>
      <c r="AZ551" s="7" t="s">
        <v>1650</v>
      </c>
      <c r="BA551" s="7">
        <v>338</v>
      </c>
      <c r="BB551" s="7">
        <v>330</v>
      </c>
      <c r="BC551" s="7" t="s">
        <v>2665</v>
      </c>
      <c r="BD551" s="7">
        <v>24.751300000000001</v>
      </c>
      <c r="BF551" s="7">
        <f>28.3061-BD551</f>
        <v>3.5548000000000002</v>
      </c>
      <c r="BG551" s="7" t="s">
        <v>2666</v>
      </c>
      <c r="BH551" s="7">
        <v>11.8675</v>
      </c>
      <c r="BJ551" s="7">
        <f>15.2352-BH551</f>
        <v>3.367700000000001</v>
      </c>
    </row>
    <row r="552" spans="1:63" x14ac:dyDescent="0.2">
      <c r="A552" s="7">
        <v>118</v>
      </c>
      <c r="B552" s="7" t="s">
        <v>827</v>
      </c>
      <c r="C552" s="7" t="s">
        <v>826</v>
      </c>
      <c r="D552" s="7" t="s">
        <v>825</v>
      </c>
      <c r="E552" s="7" t="s">
        <v>729</v>
      </c>
      <c r="F552" s="7" t="s">
        <v>824</v>
      </c>
      <c r="G552" s="7">
        <v>2010</v>
      </c>
      <c r="H552" s="7">
        <v>40214</v>
      </c>
      <c r="I552" s="7" t="s">
        <v>32</v>
      </c>
      <c r="J552" s="7" t="s">
        <v>32</v>
      </c>
      <c r="K552" s="7" t="s">
        <v>823</v>
      </c>
      <c r="L552" s="7">
        <v>2</v>
      </c>
      <c r="M552" s="7" t="s">
        <v>32</v>
      </c>
      <c r="N552" s="7" t="s">
        <v>34</v>
      </c>
      <c r="O552" s="7" t="s">
        <v>190</v>
      </c>
      <c r="P552" s="7" t="s">
        <v>34</v>
      </c>
      <c r="Q552" s="7" t="s">
        <v>34</v>
      </c>
      <c r="R552" s="7" t="s">
        <v>739</v>
      </c>
      <c r="S552" s="7" t="s">
        <v>34</v>
      </c>
      <c r="T552" s="7" t="s">
        <v>34</v>
      </c>
      <c r="U552" s="7" t="s">
        <v>32</v>
      </c>
      <c r="V552" s="7">
        <v>1</v>
      </c>
      <c r="W552" s="7" t="s">
        <v>822</v>
      </c>
      <c r="X552" s="7" t="s">
        <v>32</v>
      </c>
      <c r="Y552" s="7" t="s">
        <v>32</v>
      </c>
      <c r="Z552" s="7" t="s">
        <v>32</v>
      </c>
      <c r="AA552" s="7">
        <v>20129764</v>
      </c>
      <c r="AB552" s="7">
        <v>1</v>
      </c>
      <c r="AD552" s="7">
        <v>4</v>
      </c>
      <c r="AE552" s="24">
        <v>18</v>
      </c>
      <c r="AF552" s="7">
        <v>9</v>
      </c>
      <c r="AG552" s="7">
        <v>9</v>
      </c>
      <c r="AH552" s="7" t="s">
        <v>1642</v>
      </c>
      <c r="AI552" s="7" t="s">
        <v>1642</v>
      </c>
      <c r="AK552" s="7">
        <v>225</v>
      </c>
      <c r="AN552" s="7">
        <v>225</v>
      </c>
      <c r="AR552" s="7" t="s">
        <v>1675</v>
      </c>
      <c r="AS552" s="7" t="s">
        <v>1667</v>
      </c>
      <c r="AT552" s="7" t="s">
        <v>1640</v>
      </c>
      <c r="AU552" s="7" t="s">
        <v>178</v>
      </c>
      <c r="AV552" s="7" t="s">
        <v>1698</v>
      </c>
      <c r="AW552" s="7" t="s">
        <v>1678</v>
      </c>
      <c r="AX552" s="7" t="s">
        <v>2656</v>
      </c>
      <c r="AY552" s="7" t="s">
        <v>1684</v>
      </c>
      <c r="AZ552" s="7" t="s">
        <v>1650</v>
      </c>
      <c r="BA552" s="7">
        <v>339</v>
      </c>
      <c r="BB552" s="7">
        <v>331</v>
      </c>
      <c r="BC552" s="7" t="s">
        <v>2667</v>
      </c>
      <c r="BD552" s="7">
        <v>43.876800000000003</v>
      </c>
      <c r="BF552" s="7">
        <f>50.5185-BD552</f>
        <v>6.6417000000000002</v>
      </c>
      <c r="BG552" s="7" t="s">
        <v>2668</v>
      </c>
      <c r="BH552" s="7">
        <v>12.283799999999999</v>
      </c>
      <c r="BJ552" s="7">
        <f>15.1837-BH552</f>
        <v>2.8999000000000006</v>
      </c>
    </row>
    <row r="553" spans="1:63" x14ac:dyDescent="0.2">
      <c r="A553" s="7">
        <v>118</v>
      </c>
      <c r="B553" s="7" t="s">
        <v>827</v>
      </c>
      <c r="C553" s="7" t="s">
        <v>826</v>
      </c>
      <c r="D553" s="7" t="s">
        <v>825</v>
      </c>
      <c r="E553" s="7" t="s">
        <v>729</v>
      </c>
      <c r="F553" s="7" t="s">
        <v>824</v>
      </c>
      <c r="G553" s="7">
        <v>2010</v>
      </c>
      <c r="H553" s="7">
        <v>40214</v>
      </c>
      <c r="I553" s="7" t="s">
        <v>32</v>
      </c>
      <c r="J553" s="7" t="s">
        <v>32</v>
      </c>
      <c r="K553" s="7" t="s">
        <v>823</v>
      </c>
      <c r="L553" s="7">
        <v>2</v>
      </c>
      <c r="M553" s="7" t="s">
        <v>32</v>
      </c>
      <c r="N553" s="7" t="s">
        <v>34</v>
      </c>
      <c r="O553" s="7" t="s">
        <v>190</v>
      </c>
      <c r="P553" s="7" t="s">
        <v>34</v>
      </c>
      <c r="Q553" s="7" t="s">
        <v>34</v>
      </c>
      <c r="R553" s="7" t="s">
        <v>739</v>
      </c>
      <c r="S553" s="7" t="s">
        <v>34</v>
      </c>
      <c r="T553" s="7" t="s">
        <v>34</v>
      </c>
      <c r="U553" s="7" t="s">
        <v>32</v>
      </c>
      <c r="V553" s="7">
        <v>1</v>
      </c>
      <c r="W553" s="7" t="s">
        <v>822</v>
      </c>
      <c r="X553" s="7" t="s">
        <v>32</v>
      </c>
      <c r="Y553" s="7" t="s">
        <v>32</v>
      </c>
      <c r="Z553" s="7" t="s">
        <v>32</v>
      </c>
      <c r="AA553" s="7">
        <v>20129764</v>
      </c>
      <c r="AB553" s="7">
        <v>1</v>
      </c>
      <c r="AD553" s="7">
        <v>4</v>
      </c>
      <c r="AE553" s="24">
        <v>18</v>
      </c>
      <c r="AF553" s="7">
        <v>9</v>
      </c>
      <c r="AG553" s="7">
        <v>9</v>
      </c>
      <c r="AH553" s="7" t="s">
        <v>1642</v>
      </c>
      <c r="AI553" s="7" t="s">
        <v>1642</v>
      </c>
      <c r="AK553" s="7">
        <v>225</v>
      </c>
      <c r="AN553" s="7">
        <v>225</v>
      </c>
      <c r="AR553" s="7" t="s">
        <v>1675</v>
      </c>
      <c r="AS553" s="7" t="s">
        <v>1667</v>
      </c>
      <c r="AT553" s="7" t="s">
        <v>1640</v>
      </c>
      <c r="AU553" s="7" t="s">
        <v>178</v>
      </c>
      <c r="AV553" s="7" t="s">
        <v>1698</v>
      </c>
      <c r="AW553" s="7" t="s">
        <v>1678</v>
      </c>
      <c r="AX553" s="7" t="s">
        <v>2656</v>
      </c>
      <c r="AY553" s="7" t="s">
        <v>1684</v>
      </c>
      <c r="AZ553" s="7" t="s">
        <v>1650</v>
      </c>
      <c r="BA553" s="7">
        <v>340</v>
      </c>
      <c r="BB553" s="7">
        <v>332</v>
      </c>
      <c r="BC553" s="7" t="s">
        <v>2669</v>
      </c>
      <c r="BD553" s="7">
        <v>35.125700000000002</v>
      </c>
      <c r="BF553" s="7">
        <f>39.4242-BD553</f>
        <v>4.2984999999999971</v>
      </c>
      <c r="BG553" s="7" t="s">
        <v>2670</v>
      </c>
      <c r="BH553" s="7">
        <v>18.7104</v>
      </c>
      <c r="BJ553" s="7">
        <f>22.9278-BH553</f>
        <v>4.2174000000000014</v>
      </c>
    </row>
    <row r="554" spans="1:63" x14ac:dyDescent="0.2">
      <c r="A554" s="7">
        <v>118</v>
      </c>
      <c r="B554" s="7" t="s">
        <v>827</v>
      </c>
      <c r="C554" s="7" t="s">
        <v>826</v>
      </c>
      <c r="D554" s="7" t="s">
        <v>825</v>
      </c>
      <c r="E554" s="7" t="s">
        <v>729</v>
      </c>
      <c r="F554" s="7" t="s">
        <v>824</v>
      </c>
      <c r="G554" s="7">
        <v>2010</v>
      </c>
      <c r="H554" s="7">
        <v>40214</v>
      </c>
      <c r="I554" s="7" t="s">
        <v>32</v>
      </c>
      <c r="J554" s="7" t="s">
        <v>32</v>
      </c>
      <c r="K554" s="7" t="s">
        <v>823</v>
      </c>
      <c r="L554" s="7">
        <v>2</v>
      </c>
      <c r="M554" s="7" t="s">
        <v>32</v>
      </c>
      <c r="N554" s="7" t="s">
        <v>34</v>
      </c>
      <c r="O554" s="7" t="s">
        <v>190</v>
      </c>
      <c r="P554" s="7" t="s">
        <v>34</v>
      </c>
      <c r="Q554" s="7" t="s">
        <v>34</v>
      </c>
      <c r="R554" s="7" t="s">
        <v>739</v>
      </c>
      <c r="S554" s="7" t="s">
        <v>34</v>
      </c>
      <c r="T554" s="7" t="s">
        <v>34</v>
      </c>
      <c r="U554" s="7" t="s">
        <v>32</v>
      </c>
      <c r="V554" s="7">
        <v>1</v>
      </c>
      <c r="W554" s="7" t="s">
        <v>822</v>
      </c>
      <c r="X554" s="7" t="s">
        <v>32</v>
      </c>
      <c r="Y554" s="7" t="s">
        <v>32</v>
      </c>
      <c r="Z554" s="7" t="s">
        <v>32</v>
      </c>
      <c r="AA554" s="7">
        <v>20129764</v>
      </c>
      <c r="AB554" s="7">
        <v>1</v>
      </c>
      <c r="AD554" s="7">
        <v>4</v>
      </c>
      <c r="AE554" s="24">
        <v>18</v>
      </c>
      <c r="AF554" s="7">
        <v>9</v>
      </c>
      <c r="AG554" s="7">
        <v>9</v>
      </c>
      <c r="AH554" s="7" t="s">
        <v>1642</v>
      </c>
      <c r="AI554" s="7" t="s">
        <v>1642</v>
      </c>
      <c r="AK554" s="7">
        <v>225</v>
      </c>
      <c r="AN554" s="7">
        <v>225</v>
      </c>
      <c r="AR554" s="7" t="s">
        <v>1675</v>
      </c>
      <c r="AS554" s="7" t="s">
        <v>1667</v>
      </c>
      <c r="AT554" s="7" t="s">
        <v>1640</v>
      </c>
      <c r="AU554" s="7" t="s">
        <v>178</v>
      </c>
      <c r="AV554" s="7" t="s">
        <v>1698</v>
      </c>
      <c r="AW554" s="7" t="s">
        <v>1678</v>
      </c>
      <c r="AX554" s="7" t="s">
        <v>2656</v>
      </c>
      <c r="AY554" s="7" t="s">
        <v>1684</v>
      </c>
      <c r="AZ554" s="7" t="s">
        <v>1650</v>
      </c>
      <c r="BA554" s="7">
        <v>341</v>
      </c>
      <c r="BB554" s="7">
        <v>333</v>
      </c>
      <c r="BC554" s="7" t="s">
        <v>2671</v>
      </c>
      <c r="BD554" s="7">
        <v>60.088099999999997</v>
      </c>
      <c r="BF554" s="7">
        <f>77.4441-BD554</f>
        <v>17.356000000000009</v>
      </c>
      <c r="BG554" s="7" t="s">
        <v>2672</v>
      </c>
      <c r="BH554" s="7">
        <v>12.286</v>
      </c>
      <c r="BJ554" s="7">
        <f>14.8813-BH554</f>
        <v>2.5952999999999999</v>
      </c>
    </row>
    <row r="555" spans="1:63" s="20" customFormat="1" x14ac:dyDescent="0.2">
      <c r="A555" s="20">
        <v>119</v>
      </c>
      <c r="B555" s="20" t="s">
        <v>821</v>
      </c>
      <c r="C555" s="20" t="s">
        <v>820</v>
      </c>
      <c r="D555" s="20" t="s">
        <v>819</v>
      </c>
      <c r="E555" s="20" t="s">
        <v>818</v>
      </c>
      <c r="F555" s="20" t="s">
        <v>817</v>
      </c>
      <c r="G555" s="20">
        <v>2010</v>
      </c>
      <c r="H555" s="20">
        <v>40201</v>
      </c>
      <c r="I555" s="20" t="s">
        <v>32</v>
      </c>
      <c r="J555" s="20" t="s">
        <v>32</v>
      </c>
      <c r="K555" s="20" t="s">
        <v>816</v>
      </c>
      <c r="L555" s="20">
        <v>2</v>
      </c>
      <c r="M555" s="20" t="s">
        <v>32</v>
      </c>
      <c r="N555" s="20" t="s">
        <v>34</v>
      </c>
      <c r="O555" s="20" t="s">
        <v>190</v>
      </c>
      <c r="P555" s="20" t="s">
        <v>34</v>
      </c>
      <c r="Q555" s="20" t="s">
        <v>34</v>
      </c>
      <c r="R555" s="20" t="s">
        <v>34</v>
      </c>
      <c r="S555" s="20" t="s">
        <v>34</v>
      </c>
      <c r="T555" s="20" t="s">
        <v>34</v>
      </c>
      <c r="U555" s="20" t="s">
        <v>32</v>
      </c>
      <c r="V555" s="20">
        <v>1</v>
      </c>
      <c r="W555" s="20" t="s">
        <v>32</v>
      </c>
      <c r="X555" s="20" t="s">
        <v>32</v>
      </c>
      <c r="Y555" s="20" t="s">
        <v>32</v>
      </c>
      <c r="Z555" s="20" t="s">
        <v>32</v>
      </c>
      <c r="AA555" s="20">
        <v>20092675</v>
      </c>
      <c r="AB555" s="20">
        <v>0</v>
      </c>
      <c r="AC555" s="20" t="s">
        <v>3898</v>
      </c>
      <c r="AE555" s="26"/>
      <c r="BK555" s="49" t="s">
        <v>2673</v>
      </c>
    </row>
    <row r="556" spans="1:63" x14ac:dyDescent="0.2">
      <c r="A556" s="7">
        <v>120</v>
      </c>
      <c r="B556" s="7" t="s">
        <v>815</v>
      </c>
      <c r="C556" s="7" t="s">
        <v>814</v>
      </c>
      <c r="D556" s="7" t="s">
        <v>813</v>
      </c>
      <c r="E556" s="7" t="s">
        <v>812</v>
      </c>
      <c r="F556" s="7" t="s">
        <v>167</v>
      </c>
      <c r="G556" s="7">
        <v>2009</v>
      </c>
      <c r="H556" s="7">
        <v>40051</v>
      </c>
      <c r="I556" s="7" t="s">
        <v>32</v>
      </c>
      <c r="J556" s="7" t="s">
        <v>32</v>
      </c>
      <c r="K556" s="7" t="s">
        <v>811</v>
      </c>
      <c r="L556" s="7">
        <v>2</v>
      </c>
      <c r="M556" s="7" t="s">
        <v>810</v>
      </c>
      <c r="N556" s="7" t="s">
        <v>34</v>
      </c>
      <c r="O556" s="7" t="s">
        <v>190</v>
      </c>
      <c r="P556" s="7" t="s">
        <v>34</v>
      </c>
      <c r="Q556" s="7" t="s">
        <v>34</v>
      </c>
      <c r="R556" s="7" t="s">
        <v>34</v>
      </c>
      <c r="S556" s="7" t="s">
        <v>34</v>
      </c>
      <c r="T556" s="7" t="s">
        <v>34</v>
      </c>
      <c r="U556" s="7" t="s">
        <v>32</v>
      </c>
      <c r="V556" s="7">
        <v>1</v>
      </c>
      <c r="W556" s="7" t="s">
        <v>32</v>
      </c>
      <c r="X556" s="7" t="s">
        <v>32</v>
      </c>
      <c r="Y556" s="7" t="s">
        <v>32</v>
      </c>
      <c r="Z556" s="7" t="s">
        <v>32</v>
      </c>
      <c r="AA556" s="7">
        <v>19703496</v>
      </c>
      <c r="AB556" s="7">
        <v>1</v>
      </c>
      <c r="AD556" s="7">
        <v>5</v>
      </c>
      <c r="AE556" s="24">
        <v>23</v>
      </c>
      <c r="AF556" s="7">
        <v>11.5</v>
      </c>
      <c r="AG556" s="7">
        <v>11.5</v>
      </c>
      <c r="AH556" s="7" t="s">
        <v>1642</v>
      </c>
      <c r="AI556" s="7" t="s">
        <v>1642</v>
      </c>
      <c r="AJ556" s="7" t="s">
        <v>1719</v>
      </c>
      <c r="AM556" s="7" t="s">
        <v>1719</v>
      </c>
      <c r="AP556" s="7">
        <v>1</v>
      </c>
      <c r="AQ556" s="7" t="s">
        <v>1787</v>
      </c>
      <c r="AR556" s="7" t="s">
        <v>1814</v>
      </c>
      <c r="AS556" s="7" t="s">
        <v>1638</v>
      </c>
      <c r="AT556" s="7" t="s">
        <v>2167</v>
      </c>
      <c r="AU556" s="7" t="s">
        <v>178</v>
      </c>
      <c r="AV556" s="7" t="s">
        <v>1888</v>
      </c>
      <c r="AW556" s="7" t="s">
        <v>1678</v>
      </c>
      <c r="AX556" s="7" t="s">
        <v>2674</v>
      </c>
      <c r="AY556" s="7" t="s">
        <v>1684</v>
      </c>
      <c r="AZ556" s="7" t="s">
        <v>1650</v>
      </c>
      <c r="BA556" s="7">
        <v>342</v>
      </c>
      <c r="BB556" s="7">
        <v>334</v>
      </c>
      <c r="BC556" s="7" t="s">
        <v>2675</v>
      </c>
      <c r="BD556" s="7">
        <v>22.863800000000001</v>
      </c>
      <c r="BF556" s="7">
        <f>26.2126-BD556</f>
        <v>3.3487999999999971</v>
      </c>
      <c r="BG556" s="7" t="s">
        <v>2677</v>
      </c>
      <c r="BH556" s="7">
        <v>5.0574700000000004</v>
      </c>
      <c r="BJ556" s="7">
        <f>6.32184-BH556</f>
        <v>1.2643699999999995</v>
      </c>
      <c r="BK556" s="9" t="s">
        <v>2680</v>
      </c>
    </row>
    <row r="557" spans="1:63" x14ac:dyDescent="0.2">
      <c r="A557" s="7">
        <v>120</v>
      </c>
      <c r="B557" s="7" t="s">
        <v>815</v>
      </c>
      <c r="C557" s="7" t="s">
        <v>814</v>
      </c>
      <c r="D557" s="7" t="s">
        <v>813</v>
      </c>
      <c r="E557" s="7" t="s">
        <v>812</v>
      </c>
      <c r="F557" s="7" t="s">
        <v>167</v>
      </c>
      <c r="G557" s="7">
        <v>2009</v>
      </c>
      <c r="H557" s="7">
        <v>40051</v>
      </c>
      <c r="I557" s="7" t="s">
        <v>32</v>
      </c>
      <c r="J557" s="7" t="s">
        <v>32</v>
      </c>
      <c r="K557" s="7" t="s">
        <v>811</v>
      </c>
      <c r="L557" s="7">
        <v>2</v>
      </c>
      <c r="M557" s="7" t="s">
        <v>810</v>
      </c>
      <c r="N557" s="7" t="s">
        <v>34</v>
      </c>
      <c r="O557" s="7" t="s">
        <v>190</v>
      </c>
      <c r="P557" s="7" t="s">
        <v>34</v>
      </c>
      <c r="Q557" s="7" t="s">
        <v>34</v>
      </c>
      <c r="R557" s="7" t="s">
        <v>34</v>
      </c>
      <c r="S557" s="7" t="s">
        <v>34</v>
      </c>
      <c r="T557" s="7" t="s">
        <v>34</v>
      </c>
      <c r="U557" s="7" t="s">
        <v>32</v>
      </c>
      <c r="V557" s="7">
        <v>1</v>
      </c>
      <c r="W557" s="7" t="s">
        <v>32</v>
      </c>
      <c r="X557" s="7" t="s">
        <v>32</v>
      </c>
      <c r="Y557" s="7" t="s">
        <v>32</v>
      </c>
      <c r="Z557" s="7" t="s">
        <v>32</v>
      </c>
      <c r="AA557" s="7">
        <v>19703496</v>
      </c>
      <c r="AB557" s="7">
        <v>1</v>
      </c>
      <c r="AD557" s="7">
        <v>5</v>
      </c>
      <c r="AE557" s="24">
        <v>23</v>
      </c>
      <c r="AF557" s="7">
        <v>11.5</v>
      </c>
      <c r="AG557" s="7">
        <v>11.5</v>
      </c>
      <c r="AH557" s="7" t="s">
        <v>1642</v>
      </c>
      <c r="AI557" s="7" t="s">
        <v>1642</v>
      </c>
      <c r="AJ557" s="7" t="s">
        <v>1719</v>
      </c>
      <c r="AM557" s="7" t="s">
        <v>1719</v>
      </c>
      <c r="AP557" s="7">
        <v>1</v>
      </c>
      <c r="AQ557" s="7" t="s">
        <v>1787</v>
      </c>
      <c r="AR557" s="7" t="s">
        <v>1814</v>
      </c>
      <c r="AS557" s="7" t="s">
        <v>1638</v>
      </c>
      <c r="AT557" s="7" t="s">
        <v>2167</v>
      </c>
      <c r="AU557" s="7" t="s">
        <v>178</v>
      </c>
      <c r="AV557" s="7" t="s">
        <v>1888</v>
      </c>
      <c r="AW557" s="7" t="s">
        <v>1678</v>
      </c>
      <c r="AX557" s="7" t="s">
        <v>2674</v>
      </c>
      <c r="AY557" s="7" t="s">
        <v>1750</v>
      </c>
      <c r="AZ557" s="7" t="s">
        <v>1650</v>
      </c>
      <c r="BA557" s="7">
        <v>342</v>
      </c>
      <c r="BB557" s="7">
        <v>334</v>
      </c>
      <c r="BC557" s="7" t="s">
        <v>2676</v>
      </c>
      <c r="BD557" s="7">
        <v>56.377600000000001</v>
      </c>
      <c r="BF557" s="7">
        <f>60.6304-BD557</f>
        <v>4.2528000000000006</v>
      </c>
      <c r="BG557" s="7" t="s">
        <v>2678</v>
      </c>
      <c r="BH557" s="7">
        <v>26.761399999999998</v>
      </c>
      <c r="BJ557" s="7">
        <f>33.5428-BH557</f>
        <v>6.7814000000000014</v>
      </c>
      <c r="BK557" s="9" t="s">
        <v>2680</v>
      </c>
    </row>
    <row r="558" spans="1:63" x14ac:dyDescent="0.2">
      <c r="A558" s="7">
        <v>120</v>
      </c>
      <c r="B558" s="7" t="s">
        <v>815</v>
      </c>
      <c r="C558" s="7" t="s">
        <v>814</v>
      </c>
      <c r="D558" s="7" t="s">
        <v>813</v>
      </c>
      <c r="E558" s="7" t="s">
        <v>812</v>
      </c>
      <c r="F558" s="7" t="s">
        <v>167</v>
      </c>
      <c r="G558" s="7">
        <v>2009</v>
      </c>
      <c r="H558" s="7">
        <v>40051</v>
      </c>
      <c r="I558" s="7" t="s">
        <v>32</v>
      </c>
      <c r="J558" s="7" t="s">
        <v>32</v>
      </c>
      <c r="K558" s="7" t="s">
        <v>811</v>
      </c>
      <c r="L558" s="7">
        <v>2</v>
      </c>
      <c r="M558" s="7" t="s">
        <v>810</v>
      </c>
      <c r="N558" s="7" t="s">
        <v>34</v>
      </c>
      <c r="O558" s="7" t="s">
        <v>190</v>
      </c>
      <c r="P558" s="7" t="s">
        <v>34</v>
      </c>
      <c r="Q558" s="7" t="s">
        <v>34</v>
      </c>
      <c r="R558" s="7" t="s">
        <v>34</v>
      </c>
      <c r="S558" s="7" t="s">
        <v>34</v>
      </c>
      <c r="T558" s="7" t="s">
        <v>34</v>
      </c>
      <c r="U558" s="7" t="s">
        <v>32</v>
      </c>
      <c r="V558" s="7">
        <v>1</v>
      </c>
      <c r="W558" s="7" t="s">
        <v>32</v>
      </c>
      <c r="X558" s="7" t="s">
        <v>32</v>
      </c>
      <c r="Y558" s="7" t="s">
        <v>32</v>
      </c>
      <c r="Z558" s="7" t="s">
        <v>32</v>
      </c>
      <c r="AA558" s="7">
        <v>19703496</v>
      </c>
      <c r="AB558" s="7">
        <v>1</v>
      </c>
      <c r="AD558" s="7">
        <v>5</v>
      </c>
      <c r="AE558" s="24">
        <v>29</v>
      </c>
      <c r="AF558" s="7">
        <v>14.5</v>
      </c>
      <c r="AG558" s="7">
        <v>14.5</v>
      </c>
      <c r="AH558" s="7" t="s">
        <v>1642</v>
      </c>
      <c r="AI558" s="7" t="s">
        <v>1642</v>
      </c>
      <c r="AJ558" s="7" t="s">
        <v>1719</v>
      </c>
      <c r="AM558" s="7" t="s">
        <v>1719</v>
      </c>
      <c r="AP558" s="7">
        <v>1</v>
      </c>
      <c r="AQ558" s="7" t="s">
        <v>1787</v>
      </c>
      <c r="AR558" s="7" t="s">
        <v>1814</v>
      </c>
      <c r="AS558" s="7" t="s">
        <v>1667</v>
      </c>
      <c r="AT558" s="7" t="s">
        <v>2167</v>
      </c>
      <c r="AU558" s="7" t="s">
        <v>178</v>
      </c>
      <c r="AV558" s="7" t="s">
        <v>2679</v>
      </c>
      <c r="AW558" s="7" t="s">
        <v>1678</v>
      </c>
      <c r="AX558" s="7" t="s">
        <v>2674</v>
      </c>
      <c r="AY558" s="7" t="s">
        <v>1684</v>
      </c>
      <c r="AZ558" s="7" t="s">
        <v>1650</v>
      </c>
      <c r="BA558" s="7">
        <v>343</v>
      </c>
      <c r="BB558" s="7">
        <v>335</v>
      </c>
      <c r="BC558" s="7" t="s">
        <v>2675</v>
      </c>
      <c r="BD558" s="7">
        <v>23.847100000000001</v>
      </c>
      <c r="BF558" s="7">
        <f>27.8218-BD558</f>
        <v>3.9746999999999986</v>
      </c>
      <c r="BG558" s="7" t="s">
        <v>2677</v>
      </c>
      <c r="BH558" s="7">
        <v>11.567</v>
      </c>
      <c r="BJ558" s="7">
        <f>13.4679-BH558</f>
        <v>1.9009</v>
      </c>
      <c r="BK558" s="9" t="s">
        <v>2681</v>
      </c>
    </row>
    <row r="559" spans="1:63" x14ac:dyDescent="0.2">
      <c r="A559" s="7">
        <v>120</v>
      </c>
      <c r="B559" s="7" t="s">
        <v>815</v>
      </c>
      <c r="C559" s="7" t="s">
        <v>814</v>
      </c>
      <c r="D559" s="7" t="s">
        <v>813</v>
      </c>
      <c r="E559" s="7" t="s">
        <v>812</v>
      </c>
      <c r="F559" s="7" t="s">
        <v>167</v>
      </c>
      <c r="G559" s="7">
        <v>2009</v>
      </c>
      <c r="H559" s="7">
        <v>40051</v>
      </c>
      <c r="I559" s="7" t="s">
        <v>32</v>
      </c>
      <c r="J559" s="7" t="s">
        <v>32</v>
      </c>
      <c r="K559" s="7" t="s">
        <v>811</v>
      </c>
      <c r="L559" s="7">
        <v>2</v>
      </c>
      <c r="M559" s="7" t="s">
        <v>810</v>
      </c>
      <c r="N559" s="7" t="s">
        <v>34</v>
      </c>
      <c r="O559" s="7" t="s">
        <v>190</v>
      </c>
      <c r="P559" s="7" t="s">
        <v>34</v>
      </c>
      <c r="Q559" s="7" t="s">
        <v>34</v>
      </c>
      <c r="R559" s="7" t="s">
        <v>34</v>
      </c>
      <c r="S559" s="7" t="s">
        <v>34</v>
      </c>
      <c r="T559" s="7" t="s">
        <v>34</v>
      </c>
      <c r="U559" s="7" t="s">
        <v>32</v>
      </c>
      <c r="V559" s="7">
        <v>1</v>
      </c>
      <c r="W559" s="7" t="s">
        <v>32</v>
      </c>
      <c r="X559" s="7" t="s">
        <v>32</v>
      </c>
      <c r="Y559" s="7" t="s">
        <v>32</v>
      </c>
      <c r="Z559" s="7" t="s">
        <v>32</v>
      </c>
      <c r="AA559" s="7">
        <v>19703496</v>
      </c>
      <c r="AB559" s="7">
        <v>1</v>
      </c>
      <c r="AD559" s="7">
        <v>5</v>
      </c>
      <c r="AE559" s="24">
        <v>29</v>
      </c>
      <c r="AF559" s="7">
        <v>14.5</v>
      </c>
      <c r="AG559" s="7">
        <v>14.5</v>
      </c>
      <c r="AH559" s="7" t="s">
        <v>1642</v>
      </c>
      <c r="AI559" s="7" t="s">
        <v>1642</v>
      </c>
      <c r="AJ559" s="7" t="s">
        <v>1719</v>
      </c>
      <c r="AM559" s="7" t="s">
        <v>1719</v>
      </c>
      <c r="AP559" s="7">
        <v>1</v>
      </c>
      <c r="AQ559" s="7" t="s">
        <v>1787</v>
      </c>
      <c r="AR559" s="7" t="s">
        <v>1814</v>
      </c>
      <c r="AS559" s="7" t="s">
        <v>1667</v>
      </c>
      <c r="AT559" s="7" t="s">
        <v>2167</v>
      </c>
      <c r="AU559" s="7" t="s">
        <v>178</v>
      </c>
      <c r="AV559" s="7" t="s">
        <v>2679</v>
      </c>
      <c r="AW559" s="7" t="s">
        <v>1678</v>
      </c>
      <c r="AX559" s="7" t="s">
        <v>2674</v>
      </c>
      <c r="AY559" s="7" t="s">
        <v>1750</v>
      </c>
      <c r="AZ559" s="7" t="s">
        <v>1650</v>
      </c>
      <c r="BA559" s="7">
        <v>343</v>
      </c>
      <c r="BB559" s="7">
        <v>335</v>
      </c>
      <c r="BC559" s="7" t="s">
        <v>2676</v>
      </c>
      <c r="BD559" s="7">
        <v>46.758499999999998</v>
      </c>
      <c r="BF559" s="7">
        <f>51.2335-BD559</f>
        <v>4.4750000000000014</v>
      </c>
      <c r="BG559" s="7" t="s">
        <v>2678</v>
      </c>
      <c r="BH559" s="7">
        <v>23.8095</v>
      </c>
      <c r="BJ559" s="7">
        <f>28.0551-BH559</f>
        <v>4.2455999999999996</v>
      </c>
      <c r="BK559" s="9" t="s">
        <v>2681</v>
      </c>
    </row>
    <row r="560" spans="1:63" x14ac:dyDescent="0.2">
      <c r="A560" s="7">
        <v>121</v>
      </c>
      <c r="B560" s="7" t="s">
        <v>809</v>
      </c>
      <c r="C560" s="7" t="s">
        <v>808</v>
      </c>
      <c r="D560" s="7" t="s">
        <v>807</v>
      </c>
      <c r="E560" s="7" t="s">
        <v>806</v>
      </c>
      <c r="F560" s="7" t="s">
        <v>805</v>
      </c>
      <c r="G560" s="7">
        <v>2010</v>
      </c>
      <c r="H560" s="7">
        <v>39987</v>
      </c>
      <c r="I560" s="7" t="s">
        <v>32</v>
      </c>
      <c r="J560" s="7" t="s">
        <v>32</v>
      </c>
      <c r="K560" s="7" t="s">
        <v>32</v>
      </c>
      <c r="L560" s="7">
        <v>2</v>
      </c>
      <c r="M560" s="7" t="s">
        <v>32</v>
      </c>
      <c r="N560" s="7" t="s">
        <v>34</v>
      </c>
      <c r="O560" s="7" t="s">
        <v>190</v>
      </c>
      <c r="P560" s="7" t="s">
        <v>34</v>
      </c>
      <c r="Q560" s="7" t="s">
        <v>34</v>
      </c>
      <c r="R560" s="7" t="s">
        <v>34</v>
      </c>
      <c r="S560" s="7" t="s">
        <v>34</v>
      </c>
      <c r="T560" s="7" t="s">
        <v>34</v>
      </c>
      <c r="U560" s="7" t="s">
        <v>32</v>
      </c>
      <c r="V560" s="7">
        <v>1</v>
      </c>
      <c r="W560" s="7" t="s">
        <v>32</v>
      </c>
      <c r="X560" s="7" t="s">
        <v>32</v>
      </c>
      <c r="Y560" s="7" t="s">
        <v>32</v>
      </c>
      <c r="Z560" s="7" t="s">
        <v>32</v>
      </c>
      <c r="AA560" s="7">
        <v>19537923</v>
      </c>
      <c r="AB560" s="7">
        <v>1</v>
      </c>
      <c r="AD560" s="7">
        <v>4</v>
      </c>
      <c r="AE560" s="24">
        <v>16</v>
      </c>
      <c r="AF560" s="7">
        <v>8</v>
      </c>
      <c r="AG560" s="7">
        <v>8</v>
      </c>
      <c r="AH560" s="7" t="s">
        <v>1642</v>
      </c>
      <c r="AI560" s="7" t="s">
        <v>1642</v>
      </c>
      <c r="AJ560" s="7" t="s">
        <v>1719</v>
      </c>
      <c r="AM560" s="21" t="s">
        <v>1719</v>
      </c>
      <c r="AP560" s="7">
        <v>1</v>
      </c>
      <c r="AQ560" s="7" t="s">
        <v>2297</v>
      </c>
      <c r="AR560" s="7" t="s">
        <v>2682</v>
      </c>
      <c r="AS560" s="7" t="s">
        <v>1638</v>
      </c>
      <c r="AT560" s="7" t="s">
        <v>1640</v>
      </c>
      <c r="AU560" s="7" t="s">
        <v>178</v>
      </c>
      <c r="AV560" s="7" t="s">
        <v>1924</v>
      </c>
      <c r="AW560" s="7" t="s">
        <v>1687</v>
      </c>
      <c r="AX560" s="7" t="s">
        <v>2295</v>
      </c>
      <c r="AY560" s="48" t="s">
        <v>1695</v>
      </c>
      <c r="AZ560" s="7" t="s">
        <v>1650</v>
      </c>
      <c r="BA560" s="7">
        <v>344</v>
      </c>
      <c r="BB560" s="7">
        <v>336</v>
      </c>
      <c r="BC560" s="7" t="s">
        <v>2244</v>
      </c>
      <c r="BD560" s="7">
        <v>47.6205</v>
      </c>
      <c r="BF560" s="7">
        <f>52.8639-BD560</f>
        <v>5.2434000000000012</v>
      </c>
      <c r="BG560" s="7" t="s">
        <v>2368</v>
      </c>
      <c r="BH560" s="7">
        <v>45.636099999999999</v>
      </c>
      <c r="BJ560" s="7">
        <f>49.4229-BH560</f>
        <v>3.7867999999999995</v>
      </c>
    </row>
    <row r="561" spans="1:63" x14ac:dyDescent="0.2">
      <c r="A561" s="7">
        <v>121</v>
      </c>
      <c r="B561" s="7" t="s">
        <v>809</v>
      </c>
      <c r="C561" s="7" t="s">
        <v>808</v>
      </c>
      <c r="D561" s="7" t="s">
        <v>807</v>
      </c>
      <c r="E561" s="7" t="s">
        <v>806</v>
      </c>
      <c r="F561" s="7" t="s">
        <v>805</v>
      </c>
      <c r="G561" s="7">
        <v>2010</v>
      </c>
      <c r="H561" s="7">
        <v>39987</v>
      </c>
      <c r="I561" s="7" t="s">
        <v>32</v>
      </c>
      <c r="J561" s="7" t="s">
        <v>32</v>
      </c>
      <c r="K561" s="7" t="s">
        <v>32</v>
      </c>
      <c r="L561" s="7">
        <v>2</v>
      </c>
      <c r="M561" s="7" t="s">
        <v>32</v>
      </c>
      <c r="N561" s="7" t="s">
        <v>34</v>
      </c>
      <c r="O561" s="7" t="s">
        <v>190</v>
      </c>
      <c r="P561" s="7" t="s">
        <v>34</v>
      </c>
      <c r="Q561" s="7" t="s">
        <v>34</v>
      </c>
      <c r="R561" s="7" t="s">
        <v>34</v>
      </c>
      <c r="S561" s="7" t="s">
        <v>34</v>
      </c>
      <c r="T561" s="7" t="s">
        <v>34</v>
      </c>
      <c r="U561" s="7" t="s">
        <v>32</v>
      </c>
      <c r="V561" s="7">
        <v>1</v>
      </c>
      <c r="W561" s="7" t="s">
        <v>32</v>
      </c>
      <c r="X561" s="7" t="s">
        <v>32</v>
      </c>
      <c r="Y561" s="7" t="s">
        <v>32</v>
      </c>
      <c r="Z561" s="7" t="s">
        <v>32</v>
      </c>
      <c r="AA561" s="7">
        <v>19537923</v>
      </c>
      <c r="AB561" s="7">
        <v>1</v>
      </c>
      <c r="AD561" s="7">
        <v>4</v>
      </c>
      <c r="AE561" s="24">
        <v>16</v>
      </c>
      <c r="AF561" s="7">
        <v>8</v>
      </c>
      <c r="AG561" s="7">
        <v>8</v>
      </c>
      <c r="AH561" s="7" t="s">
        <v>1642</v>
      </c>
      <c r="AI561" s="7" t="s">
        <v>1642</v>
      </c>
      <c r="AJ561" s="7" t="s">
        <v>1719</v>
      </c>
      <c r="AM561" s="21" t="s">
        <v>1719</v>
      </c>
      <c r="AP561" s="7">
        <v>1</v>
      </c>
      <c r="AQ561" s="7" t="s">
        <v>2297</v>
      </c>
      <c r="AR561" s="7" t="s">
        <v>2682</v>
      </c>
      <c r="AS561" s="7" t="s">
        <v>1638</v>
      </c>
      <c r="AT561" s="7" t="s">
        <v>1640</v>
      </c>
      <c r="AU561" s="7" t="s">
        <v>178</v>
      </c>
      <c r="AV561" s="7" t="s">
        <v>1696</v>
      </c>
      <c r="AW561" s="7" t="s">
        <v>1687</v>
      </c>
      <c r="AX561" s="7" t="s">
        <v>2295</v>
      </c>
      <c r="AY561" s="48" t="s">
        <v>1695</v>
      </c>
      <c r="AZ561" s="7" t="s">
        <v>1650</v>
      </c>
      <c r="BA561" s="7">
        <v>344</v>
      </c>
      <c r="BB561" s="7">
        <v>336</v>
      </c>
      <c r="BC561" s="7" t="s">
        <v>2245</v>
      </c>
      <c r="BD561" s="7">
        <v>38.459899999999998</v>
      </c>
      <c r="BF561" s="7">
        <f>45.3964-BD561</f>
        <v>6.9365000000000023</v>
      </c>
      <c r="BG561" s="7" t="s">
        <v>2369</v>
      </c>
      <c r="BH561" s="7">
        <v>24.177399999999999</v>
      </c>
      <c r="BJ561" s="7">
        <f>28.5469-BH561</f>
        <v>4.3695000000000022</v>
      </c>
    </row>
    <row r="562" spans="1:63" x14ac:dyDescent="0.2">
      <c r="A562" s="7">
        <v>121</v>
      </c>
      <c r="B562" s="7" t="s">
        <v>809</v>
      </c>
      <c r="C562" s="7" t="s">
        <v>808</v>
      </c>
      <c r="D562" s="7" t="s">
        <v>807</v>
      </c>
      <c r="E562" s="7" t="s">
        <v>806</v>
      </c>
      <c r="F562" s="7" t="s">
        <v>805</v>
      </c>
      <c r="G562" s="7">
        <v>2010</v>
      </c>
      <c r="H562" s="7">
        <v>39987</v>
      </c>
      <c r="I562" s="7" t="s">
        <v>32</v>
      </c>
      <c r="J562" s="7" t="s">
        <v>32</v>
      </c>
      <c r="K562" s="7" t="s">
        <v>32</v>
      </c>
      <c r="L562" s="7">
        <v>2</v>
      </c>
      <c r="M562" s="7" t="s">
        <v>32</v>
      </c>
      <c r="N562" s="7" t="s">
        <v>34</v>
      </c>
      <c r="O562" s="7" t="s">
        <v>190</v>
      </c>
      <c r="P562" s="7" t="s">
        <v>34</v>
      </c>
      <c r="Q562" s="7" t="s">
        <v>34</v>
      </c>
      <c r="R562" s="7" t="s">
        <v>34</v>
      </c>
      <c r="S562" s="7" t="s">
        <v>34</v>
      </c>
      <c r="T562" s="7" t="s">
        <v>34</v>
      </c>
      <c r="U562" s="7" t="s">
        <v>32</v>
      </c>
      <c r="V562" s="7">
        <v>1</v>
      </c>
      <c r="W562" s="7" t="s">
        <v>32</v>
      </c>
      <c r="X562" s="7" t="s">
        <v>32</v>
      </c>
      <c r="Y562" s="7" t="s">
        <v>32</v>
      </c>
      <c r="Z562" s="7" t="s">
        <v>32</v>
      </c>
      <c r="AA562" s="7">
        <v>19537923</v>
      </c>
      <c r="AB562" s="7">
        <v>1</v>
      </c>
      <c r="AD562" s="7">
        <v>4</v>
      </c>
      <c r="AE562" s="24">
        <v>16</v>
      </c>
      <c r="AF562" s="7">
        <v>8</v>
      </c>
      <c r="AG562" s="7">
        <v>8</v>
      </c>
      <c r="AH562" s="7" t="s">
        <v>1642</v>
      </c>
      <c r="AI562" s="7" t="s">
        <v>1642</v>
      </c>
      <c r="AJ562" s="7" t="s">
        <v>1719</v>
      </c>
      <c r="AM562" s="21" t="s">
        <v>1719</v>
      </c>
      <c r="AP562" s="7">
        <v>1</v>
      </c>
      <c r="AQ562" s="7" t="s">
        <v>2297</v>
      </c>
      <c r="AR562" s="7" t="s">
        <v>2682</v>
      </c>
      <c r="AS562" s="7" t="s">
        <v>1638</v>
      </c>
      <c r="AT562" s="7" t="s">
        <v>1640</v>
      </c>
      <c r="AU562" s="7" t="s">
        <v>178</v>
      </c>
      <c r="AV562" s="7" t="s">
        <v>1697</v>
      </c>
      <c r="AW562" s="7" t="s">
        <v>1687</v>
      </c>
      <c r="AX562" s="7" t="s">
        <v>2295</v>
      </c>
      <c r="AY562" s="48" t="s">
        <v>1695</v>
      </c>
      <c r="AZ562" s="7" t="s">
        <v>1650</v>
      </c>
      <c r="BA562" s="7">
        <v>344</v>
      </c>
      <c r="BB562" s="7">
        <v>336</v>
      </c>
      <c r="BC562" s="7" t="s">
        <v>2246</v>
      </c>
      <c r="BD562" s="7">
        <v>26.759599999999999</v>
      </c>
      <c r="BF562" s="7">
        <f>32.0848-BD562</f>
        <v>5.3252000000000024</v>
      </c>
      <c r="BG562" s="7" t="s">
        <v>2370</v>
      </c>
      <c r="BH562" s="7">
        <v>13.7879</v>
      </c>
      <c r="BJ562" s="7">
        <f>16.3368-BH562</f>
        <v>2.5488999999999997</v>
      </c>
    </row>
    <row r="563" spans="1:63" x14ac:dyDescent="0.2">
      <c r="A563" s="7">
        <v>121</v>
      </c>
      <c r="B563" s="7" t="s">
        <v>809</v>
      </c>
      <c r="C563" s="7" t="s">
        <v>808</v>
      </c>
      <c r="D563" s="7" t="s">
        <v>807</v>
      </c>
      <c r="E563" s="7" t="s">
        <v>806</v>
      </c>
      <c r="F563" s="7" t="s">
        <v>805</v>
      </c>
      <c r="G563" s="7">
        <v>2010</v>
      </c>
      <c r="H563" s="7">
        <v>39987</v>
      </c>
      <c r="I563" s="7" t="s">
        <v>32</v>
      </c>
      <c r="J563" s="7" t="s">
        <v>32</v>
      </c>
      <c r="K563" s="7" t="s">
        <v>32</v>
      </c>
      <c r="L563" s="7">
        <v>2</v>
      </c>
      <c r="M563" s="7" t="s">
        <v>32</v>
      </c>
      <c r="N563" s="7" t="s">
        <v>34</v>
      </c>
      <c r="O563" s="7" t="s">
        <v>190</v>
      </c>
      <c r="P563" s="7" t="s">
        <v>34</v>
      </c>
      <c r="Q563" s="7" t="s">
        <v>34</v>
      </c>
      <c r="R563" s="7" t="s">
        <v>34</v>
      </c>
      <c r="S563" s="7" t="s">
        <v>34</v>
      </c>
      <c r="T563" s="7" t="s">
        <v>34</v>
      </c>
      <c r="U563" s="7" t="s">
        <v>32</v>
      </c>
      <c r="V563" s="7">
        <v>1</v>
      </c>
      <c r="W563" s="7" t="s">
        <v>32</v>
      </c>
      <c r="X563" s="7" t="s">
        <v>32</v>
      </c>
      <c r="Y563" s="7" t="s">
        <v>32</v>
      </c>
      <c r="Z563" s="7" t="s">
        <v>32</v>
      </c>
      <c r="AA563" s="7">
        <v>19537923</v>
      </c>
      <c r="AB563" s="7">
        <v>1</v>
      </c>
      <c r="AD563" s="7">
        <v>4</v>
      </c>
      <c r="AE563" s="24">
        <v>16</v>
      </c>
      <c r="AF563" s="7">
        <v>8</v>
      </c>
      <c r="AG563" s="7">
        <v>8</v>
      </c>
      <c r="AH563" s="7" t="s">
        <v>1642</v>
      </c>
      <c r="AI563" s="7" t="s">
        <v>1642</v>
      </c>
      <c r="AJ563" s="7" t="s">
        <v>1719</v>
      </c>
      <c r="AM563" s="21" t="s">
        <v>1719</v>
      </c>
      <c r="AP563" s="7">
        <v>1</v>
      </c>
      <c r="AQ563" s="7" t="s">
        <v>2297</v>
      </c>
      <c r="AR563" s="7" t="s">
        <v>2682</v>
      </c>
      <c r="AS563" s="7" t="s">
        <v>1638</v>
      </c>
      <c r="AT563" s="7" t="s">
        <v>1640</v>
      </c>
      <c r="AU563" s="7" t="s">
        <v>178</v>
      </c>
      <c r="AV563" s="7" t="s">
        <v>1698</v>
      </c>
      <c r="AW563" s="7" t="s">
        <v>1687</v>
      </c>
      <c r="AX563" s="7" t="s">
        <v>2295</v>
      </c>
      <c r="AY563" s="48" t="s">
        <v>1695</v>
      </c>
      <c r="AZ563" s="7" t="s">
        <v>1650</v>
      </c>
      <c r="BA563" s="7">
        <v>344</v>
      </c>
      <c r="BB563" s="7">
        <v>336</v>
      </c>
      <c r="BC563" s="7" t="s">
        <v>2247</v>
      </c>
      <c r="BD563" s="7">
        <v>17.599</v>
      </c>
      <c r="BF563" s="7">
        <f>18.7733-BD563</f>
        <v>1.1742999999999988</v>
      </c>
      <c r="BG563" s="7" t="s">
        <v>2371</v>
      </c>
      <c r="BH563" s="7">
        <v>10.8629</v>
      </c>
      <c r="BJ563" s="7">
        <f>12.5014-BH563</f>
        <v>1.6385000000000005</v>
      </c>
    </row>
    <row r="564" spans="1:63" x14ac:dyDescent="0.2">
      <c r="A564" s="7">
        <v>121</v>
      </c>
      <c r="B564" s="7" t="s">
        <v>809</v>
      </c>
      <c r="C564" s="7" t="s">
        <v>808</v>
      </c>
      <c r="D564" s="7" t="s">
        <v>807</v>
      </c>
      <c r="E564" s="7" t="s">
        <v>806</v>
      </c>
      <c r="F564" s="7" t="s">
        <v>805</v>
      </c>
      <c r="G564" s="7">
        <v>2010</v>
      </c>
      <c r="H564" s="7">
        <v>39987</v>
      </c>
      <c r="I564" s="7" t="s">
        <v>32</v>
      </c>
      <c r="J564" s="7" t="s">
        <v>32</v>
      </c>
      <c r="K564" s="7" t="s">
        <v>32</v>
      </c>
      <c r="L564" s="7">
        <v>2</v>
      </c>
      <c r="M564" s="7" t="s">
        <v>32</v>
      </c>
      <c r="N564" s="7" t="s">
        <v>34</v>
      </c>
      <c r="O564" s="7" t="s">
        <v>190</v>
      </c>
      <c r="P564" s="7" t="s">
        <v>34</v>
      </c>
      <c r="Q564" s="7" t="s">
        <v>34</v>
      </c>
      <c r="R564" s="7" t="s">
        <v>34</v>
      </c>
      <c r="S564" s="7" t="s">
        <v>34</v>
      </c>
      <c r="T564" s="7" t="s">
        <v>34</v>
      </c>
      <c r="U564" s="7" t="s">
        <v>32</v>
      </c>
      <c r="V564" s="7">
        <v>1</v>
      </c>
      <c r="W564" s="7" t="s">
        <v>32</v>
      </c>
      <c r="X564" s="7" t="s">
        <v>32</v>
      </c>
      <c r="Y564" s="7" t="s">
        <v>32</v>
      </c>
      <c r="Z564" s="7" t="s">
        <v>32</v>
      </c>
      <c r="AA564" s="7">
        <v>19537923</v>
      </c>
      <c r="AB564" s="7">
        <v>1</v>
      </c>
      <c r="AD564" s="7">
        <v>4</v>
      </c>
      <c r="AE564" s="24">
        <v>16</v>
      </c>
      <c r="AF564" s="7">
        <v>8</v>
      </c>
      <c r="AG564" s="7">
        <v>8</v>
      </c>
      <c r="AH564" s="7" t="s">
        <v>1642</v>
      </c>
      <c r="AI564" s="7" t="s">
        <v>1642</v>
      </c>
      <c r="AJ564" s="7" t="s">
        <v>1719</v>
      </c>
      <c r="AM564" s="21" t="s">
        <v>1719</v>
      </c>
      <c r="AP564" s="7">
        <v>1</v>
      </c>
      <c r="AQ564" s="7" t="s">
        <v>2297</v>
      </c>
      <c r="AR564" s="7" t="s">
        <v>2682</v>
      </c>
      <c r="AS564" s="7" t="s">
        <v>1638</v>
      </c>
      <c r="AT564" s="7" t="s">
        <v>1640</v>
      </c>
      <c r="AU564" s="7" t="s">
        <v>178</v>
      </c>
      <c r="AV564" s="7" t="s">
        <v>1699</v>
      </c>
      <c r="AW564" s="7" t="s">
        <v>1687</v>
      </c>
      <c r="AX564" s="7" t="s">
        <v>2295</v>
      </c>
      <c r="AY564" s="48" t="s">
        <v>1695</v>
      </c>
      <c r="AZ564" s="7" t="s">
        <v>1650</v>
      </c>
      <c r="BA564" s="7">
        <v>344</v>
      </c>
      <c r="BB564" s="7">
        <v>336</v>
      </c>
      <c r="BC564" s="7" t="s">
        <v>2248</v>
      </c>
      <c r="BD564" s="7">
        <v>14.064</v>
      </c>
      <c r="BF564" s="7">
        <f>16.3853-BD564</f>
        <v>2.3213000000000008</v>
      </c>
      <c r="BG564" s="7" t="s">
        <v>2372</v>
      </c>
      <c r="BH564" s="7">
        <v>10.0496</v>
      </c>
      <c r="BJ564" s="7">
        <f>11.761-BH564</f>
        <v>1.7113999999999994</v>
      </c>
    </row>
    <row r="565" spans="1:63" x14ac:dyDescent="0.2">
      <c r="A565" s="7">
        <v>121</v>
      </c>
      <c r="B565" s="7" t="s">
        <v>809</v>
      </c>
      <c r="C565" s="7" t="s">
        <v>808</v>
      </c>
      <c r="D565" s="7" t="s">
        <v>807</v>
      </c>
      <c r="E565" s="7" t="s">
        <v>806</v>
      </c>
      <c r="F565" s="7" t="s">
        <v>805</v>
      </c>
      <c r="G565" s="7">
        <v>2010</v>
      </c>
      <c r="H565" s="7">
        <v>39987</v>
      </c>
      <c r="I565" s="7" t="s">
        <v>32</v>
      </c>
      <c r="J565" s="7" t="s">
        <v>32</v>
      </c>
      <c r="K565" s="7" t="s">
        <v>32</v>
      </c>
      <c r="L565" s="7">
        <v>2</v>
      </c>
      <c r="M565" s="7" t="s">
        <v>32</v>
      </c>
      <c r="N565" s="7" t="s">
        <v>34</v>
      </c>
      <c r="O565" s="7" t="s">
        <v>190</v>
      </c>
      <c r="P565" s="7" t="s">
        <v>34</v>
      </c>
      <c r="Q565" s="7" t="s">
        <v>34</v>
      </c>
      <c r="R565" s="7" t="s">
        <v>34</v>
      </c>
      <c r="S565" s="7" t="s">
        <v>34</v>
      </c>
      <c r="T565" s="7" t="s">
        <v>34</v>
      </c>
      <c r="U565" s="7" t="s">
        <v>32</v>
      </c>
      <c r="V565" s="7">
        <v>1</v>
      </c>
      <c r="W565" s="7" t="s">
        <v>32</v>
      </c>
      <c r="X565" s="7" t="s">
        <v>32</v>
      </c>
      <c r="Y565" s="7" t="s">
        <v>32</v>
      </c>
      <c r="Z565" s="7" t="s">
        <v>32</v>
      </c>
      <c r="AA565" s="7">
        <v>19537923</v>
      </c>
      <c r="AB565" s="7">
        <v>1</v>
      </c>
      <c r="AD565" s="7">
        <v>4</v>
      </c>
      <c r="AE565" s="24">
        <v>16</v>
      </c>
      <c r="AF565" s="7">
        <v>8</v>
      </c>
      <c r="AG565" s="7">
        <v>8</v>
      </c>
      <c r="AH565" s="7" t="s">
        <v>1642</v>
      </c>
      <c r="AI565" s="7" t="s">
        <v>1642</v>
      </c>
      <c r="AJ565" s="7" t="s">
        <v>1719</v>
      </c>
      <c r="AM565" s="21" t="s">
        <v>1719</v>
      </c>
      <c r="AP565" s="7">
        <v>1</v>
      </c>
      <c r="AQ565" s="7" t="s">
        <v>2297</v>
      </c>
      <c r="AR565" s="7" t="s">
        <v>2682</v>
      </c>
      <c r="AS565" s="7" t="s">
        <v>1638</v>
      </c>
      <c r="AT565" s="7" t="s">
        <v>1640</v>
      </c>
      <c r="AU565" s="7" t="s">
        <v>178</v>
      </c>
      <c r="AV565" s="7" t="s">
        <v>1700</v>
      </c>
      <c r="AW565" s="7" t="s">
        <v>1687</v>
      </c>
      <c r="AX565" s="7" t="s">
        <v>2295</v>
      </c>
      <c r="AY565" s="7" t="s">
        <v>2010</v>
      </c>
      <c r="AZ565" s="7" t="s">
        <v>1650</v>
      </c>
      <c r="BA565" s="7">
        <v>344</v>
      </c>
      <c r="BB565" s="7">
        <v>336</v>
      </c>
      <c r="BC565" s="7" t="s">
        <v>2683</v>
      </c>
      <c r="BD565" s="7">
        <v>27.202000000000002</v>
      </c>
      <c r="BF565" s="7">
        <f>30.0706-BD565</f>
        <v>2.8685999999999972</v>
      </c>
      <c r="BG565" s="7" t="s">
        <v>2686</v>
      </c>
      <c r="BH565" s="7">
        <v>47.375300000000003</v>
      </c>
      <c r="BJ565" s="7">
        <f>50.9338-BH565</f>
        <v>3.5584999999999951</v>
      </c>
    </row>
    <row r="566" spans="1:63" x14ac:dyDescent="0.2">
      <c r="A566" s="7">
        <v>122</v>
      </c>
      <c r="B566" s="7" t="s">
        <v>804</v>
      </c>
      <c r="C566" s="7" t="s">
        <v>803</v>
      </c>
      <c r="D566" s="7" t="s">
        <v>802</v>
      </c>
      <c r="E566" s="7" t="s">
        <v>801</v>
      </c>
      <c r="F566" s="7" t="s">
        <v>800</v>
      </c>
      <c r="G566" s="7">
        <v>2009</v>
      </c>
      <c r="H566" s="7">
        <v>39857</v>
      </c>
      <c r="I566" s="7" t="s">
        <v>799</v>
      </c>
      <c r="J566" s="7" t="s">
        <v>798</v>
      </c>
      <c r="K566" s="7" t="s">
        <v>797</v>
      </c>
      <c r="L566" s="7">
        <v>2</v>
      </c>
      <c r="M566" s="7" t="s">
        <v>796</v>
      </c>
      <c r="N566" s="7" t="s">
        <v>795</v>
      </c>
      <c r="O566" s="7" t="s">
        <v>34</v>
      </c>
      <c r="P566" s="7" t="s">
        <v>34</v>
      </c>
      <c r="Q566" s="7" t="s">
        <v>34</v>
      </c>
      <c r="R566" s="7" t="s">
        <v>794</v>
      </c>
      <c r="S566" s="7" t="s">
        <v>34</v>
      </c>
      <c r="T566" s="7" t="s">
        <v>34</v>
      </c>
      <c r="U566" s="7" t="s">
        <v>34</v>
      </c>
      <c r="V566" s="7">
        <v>1</v>
      </c>
      <c r="W566" s="7" t="s">
        <v>178</v>
      </c>
      <c r="X566" s="7">
        <v>1</v>
      </c>
      <c r="Y566" s="7" t="s">
        <v>793</v>
      </c>
      <c r="Z566" s="7" t="s">
        <v>792</v>
      </c>
      <c r="AA566" s="7">
        <v>19212264</v>
      </c>
      <c r="AB566" s="7">
        <v>1</v>
      </c>
      <c r="AD566" s="7">
        <v>4</v>
      </c>
      <c r="AE566" s="24">
        <v>16</v>
      </c>
      <c r="AF566" s="7">
        <v>8</v>
      </c>
      <c r="AG566" s="7">
        <v>8</v>
      </c>
      <c r="AH566" s="7" t="s">
        <v>1642</v>
      </c>
      <c r="AI566" s="7" t="s">
        <v>1642</v>
      </c>
      <c r="AJ566" s="7" t="s">
        <v>2646</v>
      </c>
      <c r="AM566" s="7" t="s">
        <v>2646</v>
      </c>
      <c r="AP566" s="7">
        <v>15</v>
      </c>
      <c r="AQ566" s="7" t="s">
        <v>2654</v>
      </c>
      <c r="AR566" s="7" t="s">
        <v>1814</v>
      </c>
      <c r="AS566" s="7" t="s">
        <v>1667</v>
      </c>
      <c r="AT566" s="7" t="s">
        <v>2648</v>
      </c>
      <c r="AU566" s="7" t="s">
        <v>178</v>
      </c>
      <c r="AV566" s="7" t="s">
        <v>2685</v>
      </c>
      <c r="AW566" s="7" t="s">
        <v>1639</v>
      </c>
      <c r="AX566" s="7" t="s">
        <v>2684</v>
      </c>
      <c r="AY566" s="7" t="s">
        <v>1881</v>
      </c>
      <c r="AZ566" s="7" t="s">
        <v>1650</v>
      </c>
      <c r="BA566" s="7">
        <v>345</v>
      </c>
      <c r="BB566" s="7">
        <v>337</v>
      </c>
      <c r="BC566" s="7" t="s">
        <v>2652</v>
      </c>
      <c r="BD566" s="7">
        <v>48.956099999999999</v>
      </c>
      <c r="BF566" s="7">
        <f>61.6918-BD566</f>
        <v>12.735700000000001</v>
      </c>
      <c r="BG566" s="7" t="s">
        <v>2653</v>
      </c>
      <c r="BH566" s="7">
        <v>13.2296</v>
      </c>
      <c r="BJ566" s="7">
        <f>17.7892-BH566</f>
        <v>4.5596000000000014</v>
      </c>
      <c r="BK566" s="9" t="s">
        <v>2688</v>
      </c>
    </row>
    <row r="567" spans="1:63" x14ac:dyDescent="0.2">
      <c r="A567" s="7">
        <v>122</v>
      </c>
      <c r="B567" s="7" t="s">
        <v>804</v>
      </c>
      <c r="C567" s="7" t="s">
        <v>803</v>
      </c>
      <c r="D567" s="7" t="s">
        <v>802</v>
      </c>
      <c r="E567" s="7" t="s">
        <v>801</v>
      </c>
      <c r="F567" s="7" t="s">
        <v>800</v>
      </c>
      <c r="G567" s="7">
        <v>2009</v>
      </c>
      <c r="H567" s="7">
        <v>39857</v>
      </c>
      <c r="I567" s="7" t="s">
        <v>799</v>
      </c>
      <c r="J567" s="7" t="s">
        <v>798</v>
      </c>
      <c r="K567" s="7" t="s">
        <v>797</v>
      </c>
      <c r="L567" s="7">
        <v>2</v>
      </c>
      <c r="M567" s="7" t="s">
        <v>796</v>
      </c>
      <c r="N567" s="7" t="s">
        <v>795</v>
      </c>
      <c r="O567" s="7" t="s">
        <v>34</v>
      </c>
      <c r="P567" s="7" t="s">
        <v>34</v>
      </c>
      <c r="Q567" s="7" t="s">
        <v>34</v>
      </c>
      <c r="R567" s="7" t="s">
        <v>794</v>
      </c>
      <c r="S567" s="7" t="s">
        <v>34</v>
      </c>
      <c r="T567" s="7" t="s">
        <v>34</v>
      </c>
      <c r="U567" s="7" t="s">
        <v>34</v>
      </c>
      <c r="V567" s="7">
        <v>1</v>
      </c>
      <c r="W567" s="7" t="s">
        <v>178</v>
      </c>
      <c r="X567" s="7">
        <v>1</v>
      </c>
      <c r="Y567" s="7" t="s">
        <v>793</v>
      </c>
      <c r="Z567" s="7" t="s">
        <v>792</v>
      </c>
      <c r="AA567" s="7">
        <v>19212264</v>
      </c>
      <c r="AB567" s="7">
        <v>1</v>
      </c>
      <c r="AD567" s="7">
        <v>4</v>
      </c>
      <c r="AE567" s="24">
        <v>16</v>
      </c>
      <c r="AF567" s="7">
        <v>8</v>
      </c>
      <c r="AG567" s="7">
        <v>8</v>
      </c>
      <c r="AH567" s="7" t="s">
        <v>1642</v>
      </c>
      <c r="AI567" s="7" t="s">
        <v>1642</v>
      </c>
      <c r="AJ567" s="7" t="s">
        <v>2646</v>
      </c>
      <c r="AM567" s="7" t="s">
        <v>2646</v>
      </c>
      <c r="AP567" s="7">
        <v>15</v>
      </c>
      <c r="AQ567" s="7" t="s">
        <v>2654</v>
      </c>
      <c r="AR567" s="7" t="s">
        <v>1814</v>
      </c>
      <c r="AS567" s="7" t="s">
        <v>1667</v>
      </c>
      <c r="AT567" s="7" t="s">
        <v>2648</v>
      </c>
      <c r="AU567" s="7" t="s">
        <v>178</v>
      </c>
      <c r="AV567" s="7" t="s">
        <v>2687</v>
      </c>
      <c r="AW567" s="7" t="s">
        <v>1678</v>
      </c>
      <c r="AX567" s="7" t="s">
        <v>2684</v>
      </c>
      <c r="AY567" s="7" t="s">
        <v>1750</v>
      </c>
      <c r="AZ567" s="7" t="s">
        <v>1650</v>
      </c>
      <c r="BA567" s="7">
        <v>345</v>
      </c>
      <c r="BB567" s="7">
        <v>337</v>
      </c>
      <c r="BC567" s="7" t="s">
        <v>2651</v>
      </c>
      <c r="BD567" s="7">
        <v>55.820099999999996</v>
      </c>
      <c r="BF567" s="7">
        <f>68.5185-BD567</f>
        <v>12.698400000000007</v>
      </c>
      <c r="BG567" s="7" t="s">
        <v>2650</v>
      </c>
      <c r="BH567" s="7">
        <v>9.4709000000000003</v>
      </c>
      <c r="BJ567" s="7">
        <f>12.8571-BH567</f>
        <v>3.3862000000000005</v>
      </c>
      <c r="BK567" s="9" t="s">
        <v>2649</v>
      </c>
    </row>
    <row r="568" spans="1:63" x14ac:dyDescent="0.2">
      <c r="A568" s="7">
        <v>123</v>
      </c>
      <c r="B568" s="7" t="s">
        <v>791</v>
      </c>
      <c r="C568" s="7" t="s">
        <v>790</v>
      </c>
      <c r="D568" s="7" t="s">
        <v>789</v>
      </c>
      <c r="E568" s="7" t="s">
        <v>788</v>
      </c>
      <c r="F568" s="7" t="s">
        <v>324</v>
      </c>
      <c r="G568" s="7">
        <v>2007</v>
      </c>
      <c r="H568" s="7">
        <v>39287</v>
      </c>
      <c r="I568" s="7" t="s">
        <v>32</v>
      </c>
      <c r="J568" s="7" t="s">
        <v>32</v>
      </c>
      <c r="K568" s="7" t="s">
        <v>787</v>
      </c>
      <c r="L568" s="7">
        <v>2</v>
      </c>
      <c r="M568" s="7" t="s">
        <v>786</v>
      </c>
      <c r="N568" s="7" t="s">
        <v>34</v>
      </c>
      <c r="O568" s="7" t="s">
        <v>190</v>
      </c>
      <c r="P568" s="7" t="s">
        <v>34</v>
      </c>
      <c r="Q568" s="7" t="s">
        <v>34</v>
      </c>
      <c r="R568" s="7" t="s">
        <v>34</v>
      </c>
      <c r="S568" s="7" t="s">
        <v>34</v>
      </c>
      <c r="T568" s="7" t="s">
        <v>34</v>
      </c>
      <c r="U568" s="7" t="s">
        <v>32</v>
      </c>
      <c r="V568" s="7">
        <v>1</v>
      </c>
      <c r="W568" s="7" t="s">
        <v>32</v>
      </c>
      <c r="X568" s="7" t="s">
        <v>32</v>
      </c>
      <c r="Y568" s="7" t="s">
        <v>32</v>
      </c>
      <c r="Z568" s="7" t="s">
        <v>32</v>
      </c>
      <c r="AA568" s="7">
        <v>17644267</v>
      </c>
      <c r="AB568" s="7">
        <v>1</v>
      </c>
      <c r="AD568" s="7">
        <v>4</v>
      </c>
      <c r="AE568" s="24">
        <v>28</v>
      </c>
      <c r="AF568" s="7">
        <v>13</v>
      </c>
      <c r="AG568" s="7">
        <v>15</v>
      </c>
      <c r="AH568" s="7" t="s">
        <v>1642</v>
      </c>
      <c r="AI568" s="7" t="s">
        <v>1642</v>
      </c>
      <c r="AJ568" s="7" t="s">
        <v>2639</v>
      </c>
      <c r="AM568" s="7" t="s">
        <v>2639</v>
      </c>
      <c r="AR568" s="7" t="s">
        <v>1637</v>
      </c>
      <c r="AS568" s="7" t="s">
        <v>1638</v>
      </c>
      <c r="AT568" s="7" t="s">
        <v>1640</v>
      </c>
      <c r="AU568" s="7" t="s">
        <v>178</v>
      </c>
      <c r="AV568" s="7" t="s">
        <v>1641</v>
      </c>
      <c r="AW568" s="7" t="s">
        <v>1687</v>
      </c>
      <c r="AX568" s="7" t="s">
        <v>2689</v>
      </c>
      <c r="AY568" s="7" t="s">
        <v>1695</v>
      </c>
      <c r="AZ568" s="7" t="s">
        <v>1650</v>
      </c>
      <c r="BA568" s="7">
        <v>346</v>
      </c>
      <c r="BB568" s="7">
        <v>338</v>
      </c>
      <c r="BC568" s="7" t="s">
        <v>2244</v>
      </c>
      <c r="BD568" s="7">
        <v>42.974800000000002</v>
      </c>
      <c r="BF568" s="7">
        <f>47.2868-BD568</f>
        <v>4.3119999999999976</v>
      </c>
      <c r="BG568" s="7" t="s">
        <v>2368</v>
      </c>
      <c r="BH568" s="7">
        <v>36.0456</v>
      </c>
      <c r="BJ568" s="7">
        <f>40.0194-BH568</f>
        <v>3.9737999999999971</v>
      </c>
      <c r="BK568" s="7"/>
    </row>
    <row r="569" spans="1:63" x14ac:dyDescent="0.2">
      <c r="A569" s="7">
        <v>123</v>
      </c>
      <c r="B569" s="7" t="s">
        <v>791</v>
      </c>
      <c r="C569" s="7" t="s">
        <v>790</v>
      </c>
      <c r="D569" s="7" t="s">
        <v>789</v>
      </c>
      <c r="E569" s="7" t="s">
        <v>788</v>
      </c>
      <c r="F569" s="7" t="s">
        <v>324</v>
      </c>
      <c r="G569" s="7">
        <v>2007</v>
      </c>
      <c r="H569" s="7">
        <v>39287</v>
      </c>
      <c r="I569" s="7" t="s">
        <v>32</v>
      </c>
      <c r="J569" s="7" t="s">
        <v>32</v>
      </c>
      <c r="K569" s="7" t="s">
        <v>787</v>
      </c>
      <c r="L569" s="7">
        <v>2</v>
      </c>
      <c r="M569" s="7" t="s">
        <v>786</v>
      </c>
      <c r="N569" s="7" t="s">
        <v>34</v>
      </c>
      <c r="O569" s="7" t="s">
        <v>190</v>
      </c>
      <c r="P569" s="7" t="s">
        <v>34</v>
      </c>
      <c r="Q569" s="7" t="s">
        <v>34</v>
      </c>
      <c r="R569" s="7" t="s">
        <v>34</v>
      </c>
      <c r="S569" s="7" t="s">
        <v>34</v>
      </c>
      <c r="T569" s="7" t="s">
        <v>34</v>
      </c>
      <c r="U569" s="7" t="s">
        <v>32</v>
      </c>
      <c r="V569" s="7">
        <v>1</v>
      </c>
      <c r="W569" s="7" t="s">
        <v>32</v>
      </c>
      <c r="X569" s="7" t="s">
        <v>32</v>
      </c>
      <c r="Y569" s="7" t="s">
        <v>32</v>
      </c>
      <c r="Z569" s="7" t="s">
        <v>32</v>
      </c>
      <c r="AA569" s="7">
        <v>17644267</v>
      </c>
      <c r="AB569" s="7">
        <v>1</v>
      </c>
      <c r="AD569" s="7">
        <v>4</v>
      </c>
      <c r="AE569" s="24">
        <v>28</v>
      </c>
      <c r="AF569" s="7">
        <v>13</v>
      </c>
      <c r="AG569" s="7">
        <v>15</v>
      </c>
      <c r="AH569" s="7" t="s">
        <v>1642</v>
      </c>
      <c r="AI569" s="7" t="s">
        <v>1642</v>
      </c>
      <c r="AJ569" s="7" t="s">
        <v>2639</v>
      </c>
      <c r="AM569" s="7" t="s">
        <v>2639</v>
      </c>
      <c r="AR569" s="7" t="s">
        <v>1637</v>
      </c>
      <c r="AS569" s="7" t="s">
        <v>1638</v>
      </c>
      <c r="AT569" s="7" t="s">
        <v>1640</v>
      </c>
      <c r="AU569" s="7" t="s">
        <v>178</v>
      </c>
      <c r="AV569" s="7" t="s">
        <v>1641</v>
      </c>
      <c r="AW569" s="7" t="s">
        <v>1687</v>
      </c>
      <c r="AX569" s="7" t="s">
        <v>2689</v>
      </c>
      <c r="AY569" s="7" t="s">
        <v>1695</v>
      </c>
      <c r="AZ569" s="7" t="s">
        <v>1650</v>
      </c>
      <c r="BA569" s="7">
        <v>346</v>
      </c>
      <c r="BB569" s="7">
        <v>338</v>
      </c>
      <c r="BC569" s="7" t="s">
        <v>2245</v>
      </c>
      <c r="BD569" s="7">
        <v>32.461199999999998</v>
      </c>
      <c r="BF569" s="7">
        <f>37.5485-BD569</f>
        <v>5.087299999999999</v>
      </c>
      <c r="BG569" s="7" t="s">
        <v>2369</v>
      </c>
      <c r="BH569" s="7">
        <v>16.7636</v>
      </c>
      <c r="BJ569" s="7">
        <f>18.7015-BH569</f>
        <v>1.9378999999999991</v>
      </c>
      <c r="BK569" s="7"/>
    </row>
    <row r="570" spans="1:63" x14ac:dyDescent="0.2">
      <c r="A570" s="7">
        <v>123</v>
      </c>
      <c r="B570" s="7" t="s">
        <v>791</v>
      </c>
      <c r="C570" s="7" t="s">
        <v>790</v>
      </c>
      <c r="D570" s="7" t="s">
        <v>789</v>
      </c>
      <c r="E570" s="7" t="s">
        <v>788</v>
      </c>
      <c r="F570" s="7" t="s">
        <v>324</v>
      </c>
      <c r="G570" s="7">
        <v>2007</v>
      </c>
      <c r="H570" s="7">
        <v>39287</v>
      </c>
      <c r="I570" s="7" t="s">
        <v>32</v>
      </c>
      <c r="J570" s="7" t="s">
        <v>32</v>
      </c>
      <c r="K570" s="7" t="s">
        <v>787</v>
      </c>
      <c r="L570" s="7">
        <v>2</v>
      </c>
      <c r="M570" s="7" t="s">
        <v>786</v>
      </c>
      <c r="N570" s="7" t="s">
        <v>34</v>
      </c>
      <c r="O570" s="7" t="s">
        <v>190</v>
      </c>
      <c r="P570" s="7" t="s">
        <v>34</v>
      </c>
      <c r="Q570" s="7" t="s">
        <v>34</v>
      </c>
      <c r="R570" s="7" t="s">
        <v>34</v>
      </c>
      <c r="S570" s="7" t="s">
        <v>34</v>
      </c>
      <c r="T570" s="7" t="s">
        <v>34</v>
      </c>
      <c r="U570" s="7" t="s">
        <v>32</v>
      </c>
      <c r="V570" s="7">
        <v>1</v>
      </c>
      <c r="W570" s="7" t="s">
        <v>32</v>
      </c>
      <c r="X570" s="7" t="s">
        <v>32</v>
      </c>
      <c r="Y570" s="7" t="s">
        <v>32</v>
      </c>
      <c r="Z570" s="7" t="s">
        <v>32</v>
      </c>
      <c r="AA570" s="7">
        <v>17644267</v>
      </c>
      <c r="AB570" s="7">
        <v>1</v>
      </c>
      <c r="AD570" s="7">
        <v>4</v>
      </c>
      <c r="AE570" s="24">
        <v>28</v>
      </c>
      <c r="AF570" s="7">
        <v>13</v>
      </c>
      <c r="AG570" s="7">
        <v>15</v>
      </c>
      <c r="AH570" s="7" t="s">
        <v>1642</v>
      </c>
      <c r="AI570" s="7" t="s">
        <v>1642</v>
      </c>
      <c r="AJ570" s="7" t="s">
        <v>2639</v>
      </c>
      <c r="AM570" s="7" t="s">
        <v>2639</v>
      </c>
      <c r="AR570" s="7" t="s">
        <v>1637</v>
      </c>
      <c r="AS570" s="7" t="s">
        <v>1638</v>
      </c>
      <c r="AT570" s="7" t="s">
        <v>1640</v>
      </c>
      <c r="AU570" s="7" t="s">
        <v>178</v>
      </c>
      <c r="AV570" s="7" t="s">
        <v>1641</v>
      </c>
      <c r="AW570" s="7" t="s">
        <v>1687</v>
      </c>
      <c r="AX570" s="7" t="s">
        <v>2689</v>
      </c>
      <c r="AY570" s="7" t="s">
        <v>1695</v>
      </c>
      <c r="AZ570" s="7" t="s">
        <v>1650</v>
      </c>
      <c r="BA570" s="7">
        <v>346</v>
      </c>
      <c r="BB570" s="7">
        <v>338</v>
      </c>
      <c r="BC570" s="7" t="s">
        <v>2246</v>
      </c>
      <c r="BD570" s="7">
        <v>19.525200000000002</v>
      </c>
      <c r="BF570" s="7">
        <f>23.7403-BD570</f>
        <v>4.2150999999999996</v>
      </c>
      <c r="BG570" s="7" t="s">
        <v>2370</v>
      </c>
      <c r="BH570" s="7">
        <v>12.7422</v>
      </c>
      <c r="BJ570" s="7">
        <f>14.5833-BH570</f>
        <v>1.8410999999999991</v>
      </c>
      <c r="BK570" s="7"/>
    </row>
    <row r="571" spans="1:63" x14ac:dyDescent="0.2">
      <c r="A571" s="7">
        <v>123</v>
      </c>
      <c r="B571" s="7" t="s">
        <v>791</v>
      </c>
      <c r="C571" s="7" t="s">
        <v>790</v>
      </c>
      <c r="D571" s="7" t="s">
        <v>789</v>
      </c>
      <c r="E571" s="7" t="s">
        <v>788</v>
      </c>
      <c r="F571" s="7" t="s">
        <v>324</v>
      </c>
      <c r="G571" s="7">
        <v>2007</v>
      </c>
      <c r="H571" s="7">
        <v>39287</v>
      </c>
      <c r="I571" s="7" t="s">
        <v>32</v>
      </c>
      <c r="J571" s="7" t="s">
        <v>32</v>
      </c>
      <c r="K571" s="7" t="s">
        <v>787</v>
      </c>
      <c r="L571" s="7">
        <v>2</v>
      </c>
      <c r="M571" s="7" t="s">
        <v>786</v>
      </c>
      <c r="N571" s="7" t="s">
        <v>34</v>
      </c>
      <c r="O571" s="7" t="s">
        <v>190</v>
      </c>
      <c r="P571" s="7" t="s">
        <v>34</v>
      </c>
      <c r="Q571" s="7" t="s">
        <v>34</v>
      </c>
      <c r="R571" s="7" t="s">
        <v>34</v>
      </c>
      <c r="S571" s="7" t="s">
        <v>34</v>
      </c>
      <c r="T571" s="7" t="s">
        <v>34</v>
      </c>
      <c r="U571" s="7" t="s">
        <v>32</v>
      </c>
      <c r="V571" s="7">
        <v>1</v>
      </c>
      <c r="W571" s="7" t="s">
        <v>32</v>
      </c>
      <c r="X571" s="7" t="s">
        <v>32</v>
      </c>
      <c r="Y571" s="7" t="s">
        <v>32</v>
      </c>
      <c r="Z571" s="7" t="s">
        <v>32</v>
      </c>
      <c r="AA571" s="7">
        <v>17644267</v>
      </c>
      <c r="AB571" s="7">
        <v>1</v>
      </c>
      <c r="AD571" s="7">
        <v>4</v>
      </c>
      <c r="AE571" s="24">
        <v>28</v>
      </c>
      <c r="AF571" s="7">
        <v>13</v>
      </c>
      <c r="AG571" s="7">
        <v>15</v>
      </c>
      <c r="AH571" s="7" t="s">
        <v>1642</v>
      </c>
      <c r="AI571" s="7" t="s">
        <v>1642</v>
      </c>
      <c r="AJ571" s="7" t="s">
        <v>2639</v>
      </c>
      <c r="AM571" s="7" t="s">
        <v>2639</v>
      </c>
      <c r="AR571" s="7" t="s">
        <v>1637</v>
      </c>
      <c r="AS571" s="7" t="s">
        <v>1638</v>
      </c>
      <c r="AT571" s="7" t="s">
        <v>1640</v>
      </c>
      <c r="AU571" s="7" t="s">
        <v>178</v>
      </c>
      <c r="AV571" s="7" t="s">
        <v>1641</v>
      </c>
      <c r="AW571" s="7" t="s">
        <v>1687</v>
      </c>
      <c r="AX571" s="7" t="s">
        <v>2689</v>
      </c>
      <c r="AY571" s="7" t="s">
        <v>1695</v>
      </c>
      <c r="AZ571" s="7" t="s">
        <v>1650</v>
      </c>
      <c r="BA571" s="7">
        <v>346</v>
      </c>
      <c r="BB571" s="7">
        <v>338</v>
      </c>
      <c r="BC571" s="7" t="s">
        <v>2247</v>
      </c>
      <c r="BD571" s="7">
        <v>13.6143</v>
      </c>
      <c r="BF571" s="7">
        <f>18.0233-BD571</f>
        <v>4.4089999999999989</v>
      </c>
      <c r="BG571" s="7" t="s">
        <v>2371</v>
      </c>
      <c r="BH571" s="7">
        <v>8.8662799999999997</v>
      </c>
      <c r="BJ571" s="7">
        <f>10.6105-BH571</f>
        <v>1.7442200000000003</v>
      </c>
      <c r="BK571" s="7"/>
    </row>
    <row r="572" spans="1:63" x14ac:dyDescent="0.2">
      <c r="A572" s="7">
        <v>123</v>
      </c>
      <c r="B572" s="7" t="s">
        <v>791</v>
      </c>
      <c r="C572" s="7" t="s">
        <v>790</v>
      </c>
      <c r="D572" s="7" t="s">
        <v>789</v>
      </c>
      <c r="E572" s="7" t="s">
        <v>788</v>
      </c>
      <c r="F572" s="7" t="s">
        <v>324</v>
      </c>
      <c r="G572" s="7">
        <v>2007</v>
      </c>
      <c r="H572" s="7">
        <v>39287</v>
      </c>
      <c r="I572" s="7" t="s">
        <v>32</v>
      </c>
      <c r="J572" s="7" t="s">
        <v>32</v>
      </c>
      <c r="K572" s="7" t="s">
        <v>787</v>
      </c>
      <c r="L572" s="7">
        <v>2</v>
      </c>
      <c r="M572" s="7" t="s">
        <v>786</v>
      </c>
      <c r="N572" s="7" t="s">
        <v>34</v>
      </c>
      <c r="O572" s="7" t="s">
        <v>190</v>
      </c>
      <c r="P572" s="7" t="s">
        <v>34</v>
      </c>
      <c r="Q572" s="7" t="s">
        <v>34</v>
      </c>
      <c r="R572" s="7" t="s">
        <v>34</v>
      </c>
      <c r="S572" s="7" t="s">
        <v>34</v>
      </c>
      <c r="T572" s="7" t="s">
        <v>34</v>
      </c>
      <c r="U572" s="7" t="s">
        <v>32</v>
      </c>
      <c r="V572" s="7">
        <v>1</v>
      </c>
      <c r="W572" s="7" t="s">
        <v>32</v>
      </c>
      <c r="X572" s="7" t="s">
        <v>32</v>
      </c>
      <c r="Y572" s="7" t="s">
        <v>32</v>
      </c>
      <c r="Z572" s="7" t="s">
        <v>32</v>
      </c>
      <c r="AA572" s="7">
        <v>17644267</v>
      </c>
      <c r="AB572" s="7">
        <v>1</v>
      </c>
      <c r="AD572" s="7">
        <v>4</v>
      </c>
      <c r="AE572" s="24">
        <v>28</v>
      </c>
      <c r="AF572" s="7">
        <v>13</v>
      </c>
      <c r="AG572" s="7">
        <v>15</v>
      </c>
      <c r="AH572" s="7" t="s">
        <v>1642</v>
      </c>
      <c r="AI572" s="7" t="s">
        <v>1642</v>
      </c>
      <c r="AJ572" s="7" t="s">
        <v>2639</v>
      </c>
      <c r="AM572" s="7" t="s">
        <v>2639</v>
      </c>
      <c r="AR572" s="7" t="s">
        <v>1637</v>
      </c>
      <c r="AS572" s="7" t="s">
        <v>1638</v>
      </c>
      <c r="AT572" s="7" t="s">
        <v>1640</v>
      </c>
      <c r="AU572" s="7" t="s">
        <v>178</v>
      </c>
      <c r="AV572" s="7" t="s">
        <v>1641</v>
      </c>
      <c r="AW572" s="7" t="s">
        <v>1687</v>
      </c>
      <c r="AX572" s="7" t="s">
        <v>2689</v>
      </c>
      <c r="AY572" s="7" t="s">
        <v>1695</v>
      </c>
      <c r="AZ572" s="7" t="s">
        <v>1650</v>
      </c>
      <c r="BA572" s="7">
        <v>346</v>
      </c>
      <c r="BB572" s="7">
        <v>338</v>
      </c>
      <c r="BC572" s="7" t="s">
        <v>2248</v>
      </c>
      <c r="BD572" s="7">
        <v>10.6105</v>
      </c>
      <c r="BF572" s="7">
        <f>13.3721-BD572</f>
        <v>2.7615999999999996</v>
      </c>
      <c r="BG572" s="7" t="s">
        <v>2372</v>
      </c>
      <c r="BH572" s="7">
        <v>7.0251900000000003</v>
      </c>
      <c r="BJ572" s="7">
        <f>7.99419-BH572</f>
        <v>0.96899999999999942</v>
      </c>
      <c r="BK572" s="7"/>
    </row>
    <row r="573" spans="1:63" x14ac:dyDescent="0.2">
      <c r="A573" s="7">
        <v>123</v>
      </c>
      <c r="B573" s="7" t="s">
        <v>791</v>
      </c>
      <c r="C573" s="7" t="s">
        <v>790</v>
      </c>
      <c r="D573" s="7" t="s">
        <v>789</v>
      </c>
      <c r="E573" s="7" t="s">
        <v>788</v>
      </c>
      <c r="F573" s="7" t="s">
        <v>324</v>
      </c>
      <c r="G573" s="7">
        <v>2007</v>
      </c>
      <c r="H573" s="7">
        <v>39287</v>
      </c>
      <c r="I573" s="7" t="s">
        <v>32</v>
      </c>
      <c r="J573" s="7" t="s">
        <v>32</v>
      </c>
      <c r="K573" s="7" t="s">
        <v>787</v>
      </c>
      <c r="L573" s="7">
        <v>2</v>
      </c>
      <c r="M573" s="7" t="s">
        <v>786</v>
      </c>
      <c r="N573" s="7" t="s">
        <v>34</v>
      </c>
      <c r="O573" s="7" t="s">
        <v>190</v>
      </c>
      <c r="P573" s="7" t="s">
        <v>34</v>
      </c>
      <c r="Q573" s="7" t="s">
        <v>34</v>
      </c>
      <c r="R573" s="7" t="s">
        <v>34</v>
      </c>
      <c r="S573" s="7" t="s">
        <v>34</v>
      </c>
      <c r="T573" s="7" t="s">
        <v>34</v>
      </c>
      <c r="U573" s="7" t="s">
        <v>32</v>
      </c>
      <c r="V573" s="7">
        <v>1</v>
      </c>
      <c r="W573" s="7" t="s">
        <v>32</v>
      </c>
      <c r="X573" s="7" t="s">
        <v>32</v>
      </c>
      <c r="Y573" s="7" t="s">
        <v>32</v>
      </c>
      <c r="Z573" s="7" t="s">
        <v>32</v>
      </c>
      <c r="AA573" s="7">
        <v>17644267</v>
      </c>
      <c r="AB573" s="7">
        <v>1</v>
      </c>
      <c r="AD573" s="7">
        <v>4</v>
      </c>
      <c r="AE573" s="24">
        <v>23</v>
      </c>
      <c r="AF573" s="7">
        <v>11.5</v>
      </c>
      <c r="AG573" s="7">
        <v>11.5</v>
      </c>
      <c r="AH573" s="7" t="s">
        <v>1642</v>
      </c>
      <c r="AI573" s="7" t="s">
        <v>1642</v>
      </c>
      <c r="AJ573" s="7" t="s">
        <v>2639</v>
      </c>
      <c r="AM573" s="7" t="s">
        <v>2639</v>
      </c>
      <c r="AP573" s="7">
        <v>5</v>
      </c>
      <c r="AQ573" s="7" t="s">
        <v>2690</v>
      </c>
      <c r="AR573" s="7" t="s">
        <v>1637</v>
      </c>
      <c r="AS573" s="7" t="s">
        <v>1638</v>
      </c>
      <c r="AT573" s="7" t="s">
        <v>1640</v>
      </c>
      <c r="AU573" s="7" t="s">
        <v>178</v>
      </c>
      <c r="AV573" s="7" t="s">
        <v>1641</v>
      </c>
      <c r="AW573" s="7" t="s">
        <v>1639</v>
      </c>
      <c r="AX573" s="7" t="s">
        <v>2689</v>
      </c>
      <c r="AY573" s="7" t="s">
        <v>1881</v>
      </c>
      <c r="AZ573" s="7" t="s">
        <v>1650</v>
      </c>
      <c r="BA573" s="7">
        <v>347</v>
      </c>
      <c r="BB573" s="7">
        <v>339</v>
      </c>
      <c r="BC573" s="7" t="s">
        <v>2638</v>
      </c>
      <c r="BD573" s="7">
        <v>70.186300000000003</v>
      </c>
      <c r="BF573" s="7">
        <f>78.882-BD573</f>
        <v>8.6957000000000022</v>
      </c>
      <c r="BG573" s="7" t="s">
        <v>1880</v>
      </c>
      <c r="BH573" s="7">
        <v>49.068300000000001</v>
      </c>
      <c r="BJ573" s="7">
        <f>56.9876-BH573</f>
        <v>7.9192999999999998</v>
      </c>
      <c r="BK573" s="7"/>
    </row>
    <row r="574" spans="1:63" x14ac:dyDescent="0.2">
      <c r="A574" s="7">
        <v>123</v>
      </c>
      <c r="B574" s="7" t="s">
        <v>791</v>
      </c>
      <c r="C574" s="7" t="s">
        <v>790</v>
      </c>
      <c r="D574" s="7" t="s">
        <v>789</v>
      </c>
      <c r="E574" s="7" t="s">
        <v>788</v>
      </c>
      <c r="F574" s="7" t="s">
        <v>324</v>
      </c>
      <c r="G574" s="7">
        <v>2007</v>
      </c>
      <c r="H574" s="7">
        <v>39287</v>
      </c>
      <c r="I574" s="7" t="s">
        <v>32</v>
      </c>
      <c r="J574" s="7" t="s">
        <v>32</v>
      </c>
      <c r="K574" s="7" t="s">
        <v>787</v>
      </c>
      <c r="L574" s="7">
        <v>2</v>
      </c>
      <c r="M574" s="7" t="s">
        <v>786</v>
      </c>
      <c r="N574" s="7" t="s">
        <v>34</v>
      </c>
      <c r="O574" s="7" t="s">
        <v>190</v>
      </c>
      <c r="P574" s="7" t="s">
        <v>34</v>
      </c>
      <c r="Q574" s="7" t="s">
        <v>34</v>
      </c>
      <c r="R574" s="7" t="s">
        <v>34</v>
      </c>
      <c r="S574" s="7" t="s">
        <v>34</v>
      </c>
      <c r="T574" s="7" t="s">
        <v>34</v>
      </c>
      <c r="U574" s="7" t="s">
        <v>32</v>
      </c>
      <c r="V574" s="7">
        <v>1</v>
      </c>
      <c r="W574" s="7" t="s">
        <v>32</v>
      </c>
      <c r="X574" s="7" t="s">
        <v>32</v>
      </c>
      <c r="Y574" s="7" t="s">
        <v>32</v>
      </c>
      <c r="Z574" s="7" t="s">
        <v>32</v>
      </c>
      <c r="AA574" s="7">
        <v>17644267</v>
      </c>
      <c r="AB574" s="7">
        <v>1</v>
      </c>
      <c r="AD574" s="7">
        <v>4</v>
      </c>
      <c r="AE574" s="24">
        <v>18</v>
      </c>
      <c r="AF574" s="7">
        <v>9</v>
      </c>
      <c r="AG574" s="7">
        <v>9</v>
      </c>
      <c r="AH574" s="7" t="s">
        <v>1642</v>
      </c>
      <c r="AI574" s="7" t="s">
        <v>1642</v>
      </c>
      <c r="AJ574" s="7" t="s">
        <v>2639</v>
      </c>
      <c r="AM574" s="7" t="s">
        <v>2639</v>
      </c>
      <c r="AP574" s="7">
        <v>1</v>
      </c>
      <c r="AQ574" s="7" t="s">
        <v>2696</v>
      </c>
      <c r="AR574" s="7" t="s">
        <v>1637</v>
      </c>
      <c r="AS574" s="7" t="s">
        <v>1638</v>
      </c>
      <c r="AT574" s="7" t="s">
        <v>1640</v>
      </c>
      <c r="AU574" s="7" t="s">
        <v>178</v>
      </c>
      <c r="AV574" s="7" t="s">
        <v>1641</v>
      </c>
      <c r="AW574" s="7" t="s">
        <v>1639</v>
      </c>
      <c r="AX574" s="7" t="s">
        <v>2689</v>
      </c>
      <c r="AY574" s="7" t="s">
        <v>1881</v>
      </c>
      <c r="AZ574" s="7" t="s">
        <v>1650</v>
      </c>
      <c r="BA574" s="7">
        <v>348</v>
      </c>
      <c r="BB574" s="7">
        <v>340</v>
      </c>
      <c r="BC574" s="7" t="s">
        <v>2692</v>
      </c>
      <c r="BD574" s="7">
        <v>57.448599999999999</v>
      </c>
      <c r="BF574" s="7">
        <f>67.3251-BD574</f>
        <v>9.8765000000000072</v>
      </c>
      <c r="BG574" s="7" t="s">
        <v>2694</v>
      </c>
      <c r="BH574" s="7">
        <v>38.0246</v>
      </c>
      <c r="BJ574" s="7">
        <f>45.9259-BH574</f>
        <v>7.9012999999999991</v>
      </c>
      <c r="BK574" s="7" t="s">
        <v>2697</v>
      </c>
    </row>
    <row r="575" spans="1:63" x14ac:dyDescent="0.2">
      <c r="A575" s="7">
        <v>123</v>
      </c>
      <c r="B575" s="7" t="s">
        <v>791</v>
      </c>
      <c r="C575" s="7" t="s">
        <v>790</v>
      </c>
      <c r="D575" s="7" t="s">
        <v>789</v>
      </c>
      <c r="E575" s="7" t="s">
        <v>788</v>
      </c>
      <c r="F575" s="7" t="s">
        <v>324</v>
      </c>
      <c r="G575" s="7">
        <v>2007</v>
      </c>
      <c r="H575" s="7">
        <v>39287</v>
      </c>
      <c r="I575" s="7" t="s">
        <v>32</v>
      </c>
      <c r="J575" s="7" t="s">
        <v>32</v>
      </c>
      <c r="K575" s="7" t="s">
        <v>787</v>
      </c>
      <c r="L575" s="7">
        <v>2</v>
      </c>
      <c r="M575" s="7" t="s">
        <v>786</v>
      </c>
      <c r="N575" s="7" t="s">
        <v>34</v>
      </c>
      <c r="O575" s="7" t="s">
        <v>190</v>
      </c>
      <c r="P575" s="7" t="s">
        <v>34</v>
      </c>
      <c r="Q575" s="7" t="s">
        <v>34</v>
      </c>
      <c r="R575" s="7" t="s">
        <v>34</v>
      </c>
      <c r="S575" s="7" t="s">
        <v>34</v>
      </c>
      <c r="T575" s="7" t="s">
        <v>34</v>
      </c>
      <c r="U575" s="7" t="s">
        <v>32</v>
      </c>
      <c r="V575" s="7">
        <v>1</v>
      </c>
      <c r="W575" s="7" t="s">
        <v>32</v>
      </c>
      <c r="X575" s="7" t="s">
        <v>32</v>
      </c>
      <c r="Y575" s="7" t="s">
        <v>32</v>
      </c>
      <c r="Z575" s="7" t="s">
        <v>32</v>
      </c>
      <c r="AA575" s="7">
        <v>17644267</v>
      </c>
      <c r="AB575" s="7">
        <v>1</v>
      </c>
      <c r="AD575" s="7">
        <v>4</v>
      </c>
      <c r="AE575" s="24">
        <v>18</v>
      </c>
      <c r="AF575" s="7">
        <v>9</v>
      </c>
      <c r="AG575" s="7">
        <v>9</v>
      </c>
      <c r="AH575" s="7" t="s">
        <v>1642</v>
      </c>
      <c r="AI575" s="7" t="s">
        <v>1642</v>
      </c>
      <c r="AJ575" s="7" t="s">
        <v>2639</v>
      </c>
      <c r="AM575" s="7" t="s">
        <v>2639</v>
      </c>
      <c r="AP575" s="7">
        <v>1</v>
      </c>
      <c r="AQ575" s="7" t="s">
        <v>2696</v>
      </c>
      <c r="AR575" s="7" t="s">
        <v>1637</v>
      </c>
      <c r="AS575" s="7" t="s">
        <v>1638</v>
      </c>
      <c r="AT575" s="7" t="s">
        <v>1640</v>
      </c>
      <c r="AU575" s="7" t="s">
        <v>178</v>
      </c>
      <c r="AV575" s="7" t="s">
        <v>1641</v>
      </c>
      <c r="AW575" s="7" t="s">
        <v>1639</v>
      </c>
      <c r="AX575" s="7" t="s">
        <v>2689</v>
      </c>
      <c r="AY575" s="7" t="s">
        <v>2691</v>
      </c>
      <c r="AZ575" s="7" t="s">
        <v>1650</v>
      </c>
      <c r="BA575" s="7">
        <v>348</v>
      </c>
      <c r="BB575" s="7">
        <v>340</v>
      </c>
      <c r="BC575" s="7" t="s">
        <v>2693</v>
      </c>
      <c r="BD575" s="7">
        <v>21.893000000000001</v>
      </c>
      <c r="BF575" s="7">
        <f>31.6049-BD575</f>
        <v>9.7119</v>
      </c>
      <c r="BG575" s="7" t="s">
        <v>2695</v>
      </c>
      <c r="BH575" s="7">
        <v>27.160499999999999</v>
      </c>
      <c r="BJ575" s="7">
        <f>31.6049-BH575</f>
        <v>4.4444000000000017</v>
      </c>
      <c r="BK575" s="7" t="s">
        <v>2697</v>
      </c>
    </row>
    <row r="576" spans="1:63" x14ac:dyDescent="0.2">
      <c r="A576" s="7">
        <v>123</v>
      </c>
      <c r="B576" s="7" t="s">
        <v>791</v>
      </c>
      <c r="C576" s="7" t="s">
        <v>790</v>
      </c>
      <c r="D576" s="7" t="s">
        <v>789</v>
      </c>
      <c r="E576" s="7" t="s">
        <v>788</v>
      </c>
      <c r="F576" s="7" t="s">
        <v>324</v>
      </c>
      <c r="G576" s="7">
        <v>2007</v>
      </c>
      <c r="H576" s="7">
        <v>39287</v>
      </c>
      <c r="I576" s="7" t="s">
        <v>32</v>
      </c>
      <c r="J576" s="7" t="s">
        <v>32</v>
      </c>
      <c r="K576" s="7" t="s">
        <v>787</v>
      </c>
      <c r="L576" s="7">
        <v>2</v>
      </c>
      <c r="M576" s="7" t="s">
        <v>786</v>
      </c>
      <c r="N576" s="7" t="s">
        <v>34</v>
      </c>
      <c r="O576" s="7" t="s">
        <v>190</v>
      </c>
      <c r="P576" s="7" t="s">
        <v>34</v>
      </c>
      <c r="Q576" s="7" t="s">
        <v>34</v>
      </c>
      <c r="R576" s="7" t="s">
        <v>34</v>
      </c>
      <c r="S576" s="7" t="s">
        <v>34</v>
      </c>
      <c r="T576" s="7" t="s">
        <v>34</v>
      </c>
      <c r="U576" s="7" t="s">
        <v>32</v>
      </c>
      <c r="V576" s="7">
        <v>1</v>
      </c>
      <c r="W576" s="7" t="s">
        <v>32</v>
      </c>
      <c r="X576" s="7" t="s">
        <v>32</v>
      </c>
      <c r="Y576" s="7" t="s">
        <v>32</v>
      </c>
      <c r="Z576" s="7" t="s">
        <v>32</v>
      </c>
      <c r="AA576" s="7">
        <v>17644267</v>
      </c>
      <c r="AB576" s="7">
        <v>1</v>
      </c>
      <c r="AD576" s="7">
        <v>4</v>
      </c>
      <c r="AE576" s="24">
        <v>24</v>
      </c>
      <c r="AF576" s="7">
        <v>12</v>
      </c>
      <c r="AG576" s="7">
        <v>12</v>
      </c>
      <c r="AH576" s="7" t="s">
        <v>1642</v>
      </c>
      <c r="AI576" s="7" t="s">
        <v>1642</v>
      </c>
      <c r="AJ576" s="7" t="s">
        <v>2639</v>
      </c>
      <c r="AM576" s="7" t="s">
        <v>2639</v>
      </c>
      <c r="AP576" s="7">
        <v>5</v>
      </c>
      <c r="AQ576" s="7" t="s">
        <v>2690</v>
      </c>
      <c r="AR576" s="7" t="s">
        <v>1637</v>
      </c>
      <c r="AS576" s="7" t="s">
        <v>1638</v>
      </c>
      <c r="AT576" s="7" t="s">
        <v>1640</v>
      </c>
      <c r="AU576" s="7" t="s">
        <v>178</v>
      </c>
      <c r="AV576" s="7" t="s">
        <v>1641</v>
      </c>
      <c r="AW576" s="7" t="s">
        <v>1639</v>
      </c>
      <c r="AX576" s="7" t="s">
        <v>2689</v>
      </c>
      <c r="AY576" s="7" t="s">
        <v>1881</v>
      </c>
      <c r="AZ576" s="7" t="s">
        <v>1650</v>
      </c>
      <c r="BA576" s="7">
        <v>349</v>
      </c>
      <c r="BB576" s="7">
        <v>341</v>
      </c>
      <c r="BC576" s="7" t="s">
        <v>2698</v>
      </c>
      <c r="BD576" s="7">
        <v>81.059600000000003</v>
      </c>
      <c r="BF576" s="7">
        <f>86.5617-BD576</f>
        <v>5.5020999999999987</v>
      </c>
      <c r="BG576" s="7" t="s">
        <v>2699</v>
      </c>
      <c r="BH576" s="7">
        <v>50.1676</v>
      </c>
      <c r="BJ576" s="7">
        <f>59.0894-BH576</f>
        <v>8.9217999999999975</v>
      </c>
      <c r="BK576" s="7"/>
    </row>
    <row r="577" spans="1:63" x14ac:dyDescent="0.2">
      <c r="A577" s="7">
        <v>124</v>
      </c>
      <c r="B577" s="7" t="s">
        <v>785</v>
      </c>
      <c r="C577" s="7" t="s">
        <v>784</v>
      </c>
      <c r="D577" s="7" t="s">
        <v>783</v>
      </c>
      <c r="E577" s="7" t="s">
        <v>782</v>
      </c>
      <c r="F577" s="7" t="s">
        <v>558</v>
      </c>
      <c r="G577" s="7">
        <v>2007</v>
      </c>
      <c r="H577" s="7">
        <v>39147</v>
      </c>
      <c r="I577" s="7" t="s">
        <v>32</v>
      </c>
      <c r="J577" s="7" t="s">
        <v>32</v>
      </c>
      <c r="K577" s="7" t="s">
        <v>781</v>
      </c>
      <c r="L577" s="7">
        <v>2</v>
      </c>
      <c r="M577" s="7" t="s">
        <v>780</v>
      </c>
      <c r="N577" s="7" t="s">
        <v>779</v>
      </c>
      <c r="O577" s="7" t="s">
        <v>34</v>
      </c>
      <c r="P577" s="7" t="s">
        <v>34</v>
      </c>
      <c r="Q577" s="7" t="s">
        <v>34</v>
      </c>
      <c r="R577" s="7" t="s">
        <v>739</v>
      </c>
      <c r="S577" s="7" t="s">
        <v>34</v>
      </c>
      <c r="T577" s="7" t="s">
        <v>34</v>
      </c>
      <c r="U577" s="7" t="s">
        <v>34</v>
      </c>
      <c r="V577" s="7">
        <v>1</v>
      </c>
      <c r="W577" s="7" t="s">
        <v>178</v>
      </c>
      <c r="X577" s="7">
        <v>1</v>
      </c>
      <c r="Y577" s="7" t="s">
        <v>778</v>
      </c>
      <c r="Z577" s="7" t="s">
        <v>777</v>
      </c>
      <c r="AA577" s="7">
        <v>17335785</v>
      </c>
      <c r="AB577" s="7">
        <v>1</v>
      </c>
      <c r="AD577" s="7">
        <v>4</v>
      </c>
      <c r="AE577" s="24">
        <v>24</v>
      </c>
      <c r="AF577" s="7">
        <v>12</v>
      </c>
      <c r="AG577" s="7">
        <v>12</v>
      </c>
      <c r="AH577" s="7" t="s">
        <v>1642</v>
      </c>
      <c r="AI577" s="7" t="s">
        <v>1642</v>
      </c>
      <c r="AJ577" s="7" t="s">
        <v>2024</v>
      </c>
      <c r="AM577" s="7" t="s">
        <v>2024</v>
      </c>
      <c r="AP577" s="7">
        <v>1</v>
      </c>
      <c r="AQ577" s="7" t="s">
        <v>2297</v>
      </c>
      <c r="AR577" s="7" t="s">
        <v>1814</v>
      </c>
      <c r="AS577" s="7" t="s">
        <v>1667</v>
      </c>
      <c r="AT577" s="7" t="s">
        <v>1729</v>
      </c>
      <c r="AU577" s="7" t="s">
        <v>178</v>
      </c>
      <c r="AV577" s="7" t="s">
        <v>1641</v>
      </c>
      <c r="AW577" s="7" t="s">
        <v>1678</v>
      </c>
      <c r="AX577" s="7" t="s">
        <v>2700</v>
      </c>
      <c r="AY577" s="7" t="s">
        <v>1750</v>
      </c>
      <c r="AZ577" s="7" t="s">
        <v>1650</v>
      </c>
      <c r="BA577" s="7">
        <v>350</v>
      </c>
      <c r="BB577" s="7">
        <v>342</v>
      </c>
      <c r="BC577" s="7" t="s">
        <v>2701</v>
      </c>
      <c r="BD577" s="7">
        <v>40.1402</v>
      </c>
      <c r="BF577" s="7">
        <f>49.973-BD577</f>
        <v>9.8327999999999989</v>
      </c>
      <c r="BG577" s="7" t="s">
        <v>2701</v>
      </c>
      <c r="BH577" s="7">
        <v>24.8733</v>
      </c>
      <c r="BJ577" s="7">
        <f>34.8356-BH577</f>
        <v>9.962299999999999</v>
      </c>
    </row>
    <row r="578" spans="1:63" x14ac:dyDescent="0.2">
      <c r="A578" s="7">
        <v>124</v>
      </c>
      <c r="B578" s="7" t="s">
        <v>785</v>
      </c>
      <c r="C578" s="7" t="s">
        <v>784</v>
      </c>
      <c r="D578" s="7" t="s">
        <v>783</v>
      </c>
      <c r="E578" s="7" t="s">
        <v>782</v>
      </c>
      <c r="F578" s="7" t="s">
        <v>558</v>
      </c>
      <c r="G578" s="7">
        <v>2007</v>
      </c>
      <c r="H578" s="7">
        <v>39147</v>
      </c>
      <c r="I578" s="7" t="s">
        <v>32</v>
      </c>
      <c r="J578" s="7" t="s">
        <v>32</v>
      </c>
      <c r="K578" s="7" t="s">
        <v>781</v>
      </c>
      <c r="L578" s="7">
        <v>2</v>
      </c>
      <c r="M578" s="7" t="s">
        <v>780</v>
      </c>
      <c r="N578" s="7" t="s">
        <v>779</v>
      </c>
      <c r="O578" s="7" t="s">
        <v>34</v>
      </c>
      <c r="P578" s="7" t="s">
        <v>34</v>
      </c>
      <c r="Q578" s="7" t="s">
        <v>34</v>
      </c>
      <c r="R578" s="7" t="s">
        <v>739</v>
      </c>
      <c r="S578" s="7" t="s">
        <v>34</v>
      </c>
      <c r="T578" s="7" t="s">
        <v>34</v>
      </c>
      <c r="U578" s="7" t="s">
        <v>34</v>
      </c>
      <c r="V578" s="7">
        <v>1</v>
      </c>
      <c r="W578" s="7" t="s">
        <v>178</v>
      </c>
      <c r="X578" s="7">
        <v>1</v>
      </c>
      <c r="Y578" s="7" t="s">
        <v>778</v>
      </c>
      <c r="Z578" s="7" t="s">
        <v>777</v>
      </c>
      <c r="AA578" s="7">
        <v>17335785</v>
      </c>
      <c r="AB578" s="7">
        <v>1</v>
      </c>
      <c r="AD578" s="7">
        <v>4</v>
      </c>
      <c r="AE578" s="24">
        <v>24</v>
      </c>
      <c r="AF578" s="7">
        <v>12</v>
      </c>
      <c r="AG578" s="7">
        <v>12</v>
      </c>
      <c r="AH578" s="7" t="s">
        <v>1642</v>
      </c>
      <c r="AI578" s="7" t="s">
        <v>1642</v>
      </c>
      <c r="AJ578" s="7" t="s">
        <v>2024</v>
      </c>
      <c r="AM578" s="7" t="s">
        <v>2024</v>
      </c>
      <c r="AP578" s="7">
        <v>1</v>
      </c>
      <c r="AQ578" s="7" t="s">
        <v>2297</v>
      </c>
      <c r="AR578" s="7" t="s">
        <v>1814</v>
      </c>
      <c r="AS578" s="7" t="s">
        <v>1667</v>
      </c>
      <c r="AT578" s="7" t="s">
        <v>1729</v>
      </c>
      <c r="AU578" s="7" t="s">
        <v>178</v>
      </c>
      <c r="AV578" s="7" t="s">
        <v>1689</v>
      </c>
      <c r="AW578" s="7" t="s">
        <v>1678</v>
      </c>
      <c r="AX578" s="7" t="s">
        <v>2700</v>
      </c>
      <c r="AY578" s="7" t="s">
        <v>1750</v>
      </c>
      <c r="AZ578" s="7" t="s">
        <v>1650</v>
      </c>
      <c r="BA578" s="7">
        <v>350</v>
      </c>
      <c r="BB578" s="7">
        <v>342</v>
      </c>
      <c r="BC578" s="7" t="s">
        <v>2702</v>
      </c>
      <c r="BD578" s="7">
        <v>44.797800000000002</v>
      </c>
      <c r="BF578" s="7">
        <f>52.1725-BD578</f>
        <v>7.3746999999999971</v>
      </c>
      <c r="BG578" s="7" t="s">
        <v>2702</v>
      </c>
      <c r="BH578" s="7">
        <v>24.485199999999999</v>
      </c>
      <c r="BJ578" s="7">
        <f>36.6469-BH578</f>
        <v>12.161700000000003</v>
      </c>
    </row>
    <row r="579" spans="1:63" x14ac:dyDescent="0.2">
      <c r="A579" s="7">
        <v>124</v>
      </c>
      <c r="B579" s="7" t="s">
        <v>785</v>
      </c>
      <c r="C579" s="7" t="s">
        <v>784</v>
      </c>
      <c r="D579" s="7" t="s">
        <v>783</v>
      </c>
      <c r="E579" s="7" t="s">
        <v>782</v>
      </c>
      <c r="F579" s="7" t="s">
        <v>558</v>
      </c>
      <c r="G579" s="7">
        <v>2007</v>
      </c>
      <c r="H579" s="7">
        <v>39147</v>
      </c>
      <c r="I579" s="7" t="s">
        <v>32</v>
      </c>
      <c r="J579" s="7" t="s">
        <v>32</v>
      </c>
      <c r="K579" s="7" t="s">
        <v>781</v>
      </c>
      <c r="L579" s="7">
        <v>2</v>
      </c>
      <c r="M579" s="7" t="s">
        <v>780</v>
      </c>
      <c r="N579" s="7" t="s">
        <v>779</v>
      </c>
      <c r="O579" s="7" t="s">
        <v>34</v>
      </c>
      <c r="P579" s="7" t="s">
        <v>34</v>
      </c>
      <c r="Q579" s="7" t="s">
        <v>34</v>
      </c>
      <c r="R579" s="7" t="s">
        <v>739</v>
      </c>
      <c r="S579" s="7" t="s">
        <v>34</v>
      </c>
      <c r="T579" s="7" t="s">
        <v>34</v>
      </c>
      <c r="U579" s="7" t="s">
        <v>34</v>
      </c>
      <c r="V579" s="7">
        <v>1</v>
      </c>
      <c r="W579" s="7" t="s">
        <v>178</v>
      </c>
      <c r="X579" s="7">
        <v>1</v>
      </c>
      <c r="Y579" s="7" t="s">
        <v>778</v>
      </c>
      <c r="Z579" s="7" t="s">
        <v>777</v>
      </c>
      <c r="AA579" s="7">
        <v>17335785</v>
      </c>
      <c r="AB579" s="7">
        <v>1</v>
      </c>
      <c r="AD579" s="7">
        <v>4</v>
      </c>
      <c r="AE579" s="24">
        <v>24</v>
      </c>
      <c r="AF579" s="7">
        <v>12</v>
      </c>
      <c r="AG579" s="7">
        <v>12</v>
      </c>
      <c r="AH579" s="7" t="s">
        <v>1642</v>
      </c>
      <c r="AI579" s="7" t="s">
        <v>1642</v>
      </c>
      <c r="AJ579" s="7" t="s">
        <v>2024</v>
      </c>
      <c r="AM579" s="7" t="s">
        <v>2024</v>
      </c>
      <c r="AP579" s="7">
        <v>1</v>
      </c>
      <c r="AQ579" s="7" t="s">
        <v>2297</v>
      </c>
      <c r="AR579" s="7" t="s">
        <v>1814</v>
      </c>
      <c r="AS579" s="7" t="s">
        <v>1667</v>
      </c>
      <c r="AT579" s="7" t="s">
        <v>1729</v>
      </c>
      <c r="AU579" s="7" t="s">
        <v>178</v>
      </c>
      <c r="AV579" s="7" t="s">
        <v>1898</v>
      </c>
      <c r="AW579" s="7" t="s">
        <v>1678</v>
      </c>
      <c r="AX579" s="7" t="s">
        <v>2700</v>
      </c>
      <c r="AY579" s="7" t="s">
        <v>1750</v>
      </c>
      <c r="AZ579" s="7" t="s">
        <v>1650</v>
      </c>
      <c r="BA579" s="7">
        <v>350</v>
      </c>
      <c r="BB579" s="7">
        <v>342</v>
      </c>
      <c r="BC579" s="7" t="s">
        <v>2703</v>
      </c>
      <c r="BD579" s="7">
        <v>29.660399999999999</v>
      </c>
      <c r="BF579" s="7">
        <f>37.4232-BD579</f>
        <v>7.7628000000000021</v>
      </c>
      <c r="BG579" s="7" t="s">
        <v>2703</v>
      </c>
      <c r="BH579" s="7">
        <v>5.8544499999999999</v>
      </c>
      <c r="BJ579" s="7">
        <f>8.18329-BH579</f>
        <v>2.3288399999999996</v>
      </c>
    </row>
    <row r="580" spans="1:63" x14ac:dyDescent="0.2">
      <c r="A580" s="7">
        <v>124</v>
      </c>
      <c r="B580" s="7" t="s">
        <v>785</v>
      </c>
      <c r="C580" s="7" t="s">
        <v>784</v>
      </c>
      <c r="D580" s="7" t="s">
        <v>783</v>
      </c>
      <c r="E580" s="7" t="s">
        <v>782</v>
      </c>
      <c r="F580" s="7" t="s">
        <v>558</v>
      </c>
      <c r="G580" s="7">
        <v>2007</v>
      </c>
      <c r="H580" s="7">
        <v>39147</v>
      </c>
      <c r="I580" s="7" t="s">
        <v>32</v>
      </c>
      <c r="J580" s="7" t="s">
        <v>32</v>
      </c>
      <c r="K580" s="7" t="s">
        <v>781</v>
      </c>
      <c r="L580" s="7">
        <v>2</v>
      </c>
      <c r="M580" s="7" t="s">
        <v>780</v>
      </c>
      <c r="N580" s="7" t="s">
        <v>779</v>
      </c>
      <c r="O580" s="7" t="s">
        <v>34</v>
      </c>
      <c r="P580" s="7" t="s">
        <v>34</v>
      </c>
      <c r="Q580" s="7" t="s">
        <v>34</v>
      </c>
      <c r="R580" s="7" t="s">
        <v>739</v>
      </c>
      <c r="S580" s="7" t="s">
        <v>34</v>
      </c>
      <c r="T580" s="7" t="s">
        <v>34</v>
      </c>
      <c r="U580" s="7" t="s">
        <v>34</v>
      </c>
      <c r="V580" s="7">
        <v>1</v>
      </c>
      <c r="W580" s="7" t="s">
        <v>178</v>
      </c>
      <c r="X580" s="7">
        <v>1</v>
      </c>
      <c r="Y580" s="7" t="s">
        <v>778</v>
      </c>
      <c r="Z580" s="7" t="s">
        <v>777</v>
      </c>
      <c r="AA580" s="7">
        <v>17335785</v>
      </c>
      <c r="AB580" s="7">
        <v>1</v>
      </c>
      <c r="AD580" s="7">
        <v>4</v>
      </c>
      <c r="AE580" s="24">
        <v>24</v>
      </c>
      <c r="AF580" s="7">
        <v>12</v>
      </c>
      <c r="AG580" s="7">
        <v>12</v>
      </c>
      <c r="AH580" s="7" t="s">
        <v>1769</v>
      </c>
      <c r="AI580" s="7" t="s">
        <v>1769</v>
      </c>
      <c r="AJ580" s="7" t="s">
        <v>2024</v>
      </c>
      <c r="AM580" s="7" t="s">
        <v>2024</v>
      </c>
      <c r="AP580" s="7">
        <v>1</v>
      </c>
      <c r="AQ580" s="7" t="s">
        <v>2297</v>
      </c>
      <c r="AR580" s="7" t="s">
        <v>1814</v>
      </c>
      <c r="AS580" s="7" t="s">
        <v>1667</v>
      </c>
      <c r="AT580" s="7" t="s">
        <v>1729</v>
      </c>
      <c r="AU580" s="7" t="s">
        <v>178</v>
      </c>
      <c r="AV580" s="7" t="s">
        <v>1641</v>
      </c>
      <c r="AW580" s="7" t="s">
        <v>1678</v>
      </c>
      <c r="AX580" s="7" t="s">
        <v>2700</v>
      </c>
      <c r="AY580" s="7" t="s">
        <v>1750</v>
      </c>
      <c r="AZ580" s="7" t="s">
        <v>1650</v>
      </c>
      <c r="BA580" s="7">
        <v>351</v>
      </c>
      <c r="BB580" s="7">
        <v>343</v>
      </c>
      <c r="BC580" s="7" t="s">
        <v>2704</v>
      </c>
      <c r="BD580" s="7">
        <v>51.935000000000002</v>
      </c>
      <c r="BF580" s="7">
        <f>57.8698-BD580</f>
        <v>5.9347999999999956</v>
      </c>
      <c r="BG580" s="7" t="s">
        <v>2704</v>
      </c>
      <c r="BH580" s="7">
        <v>6.5776700000000003</v>
      </c>
      <c r="BJ580" s="7">
        <f>9.5778-BH580</f>
        <v>3.0001299999999995</v>
      </c>
    </row>
    <row r="581" spans="1:63" x14ac:dyDescent="0.2">
      <c r="A581" s="7">
        <v>124</v>
      </c>
      <c r="B581" s="7" t="s">
        <v>785</v>
      </c>
      <c r="C581" s="7" t="s">
        <v>784</v>
      </c>
      <c r="D581" s="7" t="s">
        <v>783</v>
      </c>
      <c r="E581" s="7" t="s">
        <v>782</v>
      </c>
      <c r="F581" s="7" t="s">
        <v>558</v>
      </c>
      <c r="G581" s="7">
        <v>2007</v>
      </c>
      <c r="H581" s="7">
        <v>39147</v>
      </c>
      <c r="I581" s="7" t="s">
        <v>32</v>
      </c>
      <c r="J581" s="7" t="s">
        <v>32</v>
      </c>
      <c r="K581" s="7" t="s">
        <v>781</v>
      </c>
      <c r="L581" s="7">
        <v>2</v>
      </c>
      <c r="M581" s="7" t="s">
        <v>780</v>
      </c>
      <c r="N581" s="7" t="s">
        <v>779</v>
      </c>
      <c r="O581" s="7" t="s">
        <v>34</v>
      </c>
      <c r="P581" s="7" t="s">
        <v>34</v>
      </c>
      <c r="Q581" s="7" t="s">
        <v>34</v>
      </c>
      <c r="R581" s="7" t="s">
        <v>739</v>
      </c>
      <c r="S581" s="7" t="s">
        <v>34</v>
      </c>
      <c r="T581" s="7" t="s">
        <v>34</v>
      </c>
      <c r="U581" s="7" t="s">
        <v>34</v>
      </c>
      <c r="V581" s="7">
        <v>1</v>
      </c>
      <c r="W581" s="7" t="s">
        <v>178</v>
      </c>
      <c r="X581" s="7">
        <v>1</v>
      </c>
      <c r="Y581" s="7" t="s">
        <v>778</v>
      </c>
      <c r="Z581" s="7" t="s">
        <v>777</v>
      </c>
      <c r="AA581" s="7">
        <v>17335785</v>
      </c>
      <c r="AB581" s="7">
        <v>1</v>
      </c>
      <c r="AD581" s="7">
        <v>4</v>
      </c>
      <c r="AE581" s="24">
        <v>24</v>
      </c>
      <c r="AF581" s="7">
        <v>12</v>
      </c>
      <c r="AG581" s="7">
        <v>12</v>
      </c>
      <c r="AH581" s="7" t="s">
        <v>1769</v>
      </c>
      <c r="AI581" s="7" t="s">
        <v>1769</v>
      </c>
      <c r="AJ581" s="7" t="s">
        <v>2024</v>
      </c>
      <c r="AM581" s="7" t="s">
        <v>2024</v>
      </c>
      <c r="AP581" s="7">
        <v>1</v>
      </c>
      <c r="AQ581" s="7" t="s">
        <v>2297</v>
      </c>
      <c r="AR581" s="7" t="s">
        <v>1814</v>
      </c>
      <c r="AS581" s="7" t="s">
        <v>1667</v>
      </c>
      <c r="AT581" s="7" t="s">
        <v>1729</v>
      </c>
      <c r="AU581" s="7" t="s">
        <v>178</v>
      </c>
      <c r="AV581" s="7" t="s">
        <v>1689</v>
      </c>
      <c r="AW581" s="7" t="s">
        <v>1678</v>
      </c>
      <c r="AX581" s="7" t="s">
        <v>2700</v>
      </c>
      <c r="AY581" s="7" t="s">
        <v>1750</v>
      </c>
      <c r="AZ581" s="7" t="s">
        <v>1650</v>
      </c>
      <c r="BA581" s="7">
        <v>351</v>
      </c>
      <c r="BB581" s="7">
        <v>343</v>
      </c>
      <c r="BC581" s="7" t="s">
        <v>2705</v>
      </c>
      <c r="BD581" s="7">
        <v>50.2316</v>
      </c>
      <c r="BF581" s="7">
        <f>54.0796-BD581</f>
        <v>3.847999999999999</v>
      </c>
      <c r="BG581" s="7" t="s">
        <v>2705</v>
      </c>
      <c r="BH581" s="7">
        <v>3.8962599999999998</v>
      </c>
      <c r="BJ581" s="7">
        <f>7.41805-BH581</f>
        <v>3.5217900000000002</v>
      </c>
    </row>
    <row r="582" spans="1:63" x14ac:dyDescent="0.2">
      <c r="A582" s="7">
        <v>124</v>
      </c>
      <c r="B582" s="7" t="s">
        <v>785</v>
      </c>
      <c r="C582" s="7" t="s">
        <v>784</v>
      </c>
      <c r="D582" s="7" t="s">
        <v>783</v>
      </c>
      <c r="E582" s="7" t="s">
        <v>782</v>
      </c>
      <c r="F582" s="7" t="s">
        <v>558</v>
      </c>
      <c r="G582" s="7">
        <v>2007</v>
      </c>
      <c r="H582" s="7">
        <v>39147</v>
      </c>
      <c r="I582" s="7" t="s">
        <v>32</v>
      </c>
      <c r="J582" s="7" t="s">
        <v>32</v>
      </c>
      <c r="K582" s="7" t="s">
        <v>781</v>
      </c>
      <c r="L582" s="7">
        <v>2</v>
      </c>
      <c r="M582" s="7" t="s">
        <v>780</v>
      </c>
      <c r="N582" s="7" t="s">
        <v>779</v>
      </c>
      <c r="O582" s="7" t="s">
        <v>34</v>
      </c>
      <c r="P582" s="7" t="s">
        <v>34</v>
      </c>
      <c r="Q582" s="7" t="s">
        <v>34</v>
      </c>
      <c r="R582" s="7" t="s">
        <v>739</v>
      </c>
      <c r="S582" s="7" t="s">
        <v>34</v>
      </c>
      <c r="T582" s="7" t="s">
        <v>34</v>
      </c>
      <c r="U582" s="7" t="s">
        <v>34</v>
      </c>
      <c r="V582" s="7">
        <v>1</v>
      </c>
      <c r="W582" s="7" t="s">
        <v>178</v>
      </c>
      <c r="X582" s="7">
        <v>1</v>
      </c>
      <c r="Y582" s="7" t="s">
        <v>778</v>
      </c>
      <c r="Z582" s="7" t="s">
        <v>777</v>
      </c>
      <c r="AA582" s="7">
        <v>17335785</v>
      </c>
      <c r="AB582" s="7">
        <v>1</v>
      </c>
      <c r="AD582" s="7">
        <v>4</v>
      </c>
      <c r="AE582" s="24">
        <v>24</v>
      </c>
      <c r="AF582" s="7">
        <v>12</v>
      </c>
      <c r="AG582" s="7">
        <v>12</v>
      </c>
      <c r="AH582" s="7" t="s">
        <v>1769</v>
      </c>
      <c r="AI582" s="7" t="s">
        <v>1769</v>
      </c>
      <c r="AJ582" s="7" t="s">
        <v>2024</v>
      </c>
      <c r="AM582" s="7" t="s">
        <v>2024</v>
      </c>
      <c r="AP582" s="7">
        <v>1</v>
      </c>
      <c r="AQ582" s="7" t="s">
        <v>2297</v>
      </c>
      <c r="AR582" s="7" t="s">
        <v>1814</v>
      </c>
      <c r="AS582" s="7" t="s">
        <v>1667</v>
      </c>
      <c r="AT582" s="7" t="s">
        <v>1729</v>
      </c>
      <c r="AU582" s="7" t="s">
        <v>178</v>
      </c>
      <c r="AV582" s="7" t="s">
        <v>1898</v>
      </c>
      <c r="AW582" s="7" t="s">
        <v>1678</v>
      </c>
      <c r="AX582" s="7" t="s">
        <v>2700</v>
      </c>
      <c r="AY582" s="7" t="s">
        <v>1750</v>
      </c>
      <c r="AZ582" s="7" t="s">
        <v>1650</v>
      </c>
      <c r="BA582" s="7">
        <v>351</v>
      </c>
      <c r="BB582" s="7">
        <v>343</v>
      </c>
      <c r="BC582" s="7" t="s">
        <v>2706</v>
      </c>
      <c r="BD582" s="7">
        <v>29.354600000000001</v>
      </c>
      <c r="BF582" s="7">
        <f>33.7894-BD582</f>
        <v>4.4347999999999992</v>
      </c>
      <c r="BG582" s="7" t="s">
        <v>2706</v>
      </c>
      <c r="BH582" s="7">
        <v>2.5189900000000001</v>
      </c>
      <c r="BJ582" s="7">
        <f>4.21477-BH582</f>
        <v>1.6957799999999996</v>
      </c>
    </row>
    <row r="583" spans="1:63" s="20" customFormat="1" x14ac:dyDescent="0.2">
      <c r="A583" s="20">
        <v>125</v>
      </c>
      <c r="B583" s="20" t="s">
        <v>776</v>
      </c>
      <c r="C583" s="20" t="s">
        <v>775</v>
      </c>
      <c r="D583" s="20" t="s">
        <v>774</v>
      </c>
      <c r="E583" s="20" t="s">
        <v>773</v>
      </c>
      <c r="F583" s="20" t="s">
        <v>468</v>
      </c>
      <c r="G583" s="20">
        <v>2007</v>
      </c>
      <c r="H583" s="20">
        <v>39091</v>
      </c>
      <c r="I583" s="20" t="s">
        <v>772</v>
      </c>
      <c r="J583" s="20" t="s">
        <v>771</v>
      </c>
      <c r="K583" s="20" t="s">
        <v>770</v>
      </c>
      <c r="L583" s="20">
        <v>2</v>
      </c>
      <c r="M583" s="20" t="s">
        <v>769</v>
      </c>
      <c r="N583" s="20" t="s">
        <v>34</v>
      </c>
      <c r="O583" s="20" t="s">
        <v>190</v>
      </c>
      <c r="P583" s="20" t="s">
        <v>34</v>
      </c>
      <c r="Q583" s="20" t="s">
        <v>34</v>
      </c>
      <c r="R583" s="20" t="s">
        <v>34</v>
      </c>
      <c r="S583" s="20" t="s">
        <v>34</v>
      </c>
      <c r="T583" s="20" t="s">
        <v>34</v>
      </c>
      <c r="U583" s="20" t="s">
        <v>32</v>
      </c>
      <c r="V583" s="20">
        <v>1</v>
      </c>
      <c r="W583" s="20" t="s">
        <v>32</v>
      </c>
      <c r="X583" s="20" t="s">
        <v>32</v>
      </c>
      <c r="Y583" s="20" t="s">
        <v>32</v>
      </c>
      <c r="Z583" s="20" t="s">
        <v>32</v>
      </c>
      <c r="AA583" s="20">
        <v>17207472</v>
      </c>
      <c r="AB583" s="20">
        <v>0</v>
      </c>
      <c r="AC583" s="20" t="s">
        <v>3899</v>
      </c>
      <c r="AD583" s="20">
        <v>4</v>
      </c>
      <c r="AE583" s="26"/>
      <c r="AH583" s="20" t="s">
        <v>1642</v>
      </c>
      <c r="AI583" s="20" t="s">
        <v>1642</v>
      </c>
      <c r="AK583" s="20">
        <v>225</v>
      </c>
      <c r="AN583" s="20">
        <v>225</v>
      </c>
      <c r="AP583" s="20">
        <v>1</v>
      </c>
      <c r="AQ583" s="20" t="s">
        <v>2708</v>
      </c>
      <c r="AR583" s="20" t="s">
        <v>1814</v>
      </c>
      <c r="AT583" s="20" t="s">
        <v>2648</v>
      </c>
      <c r="AX583" s="20" t="s">
        <v>2707</v>
      </c>
      <c r="BK583" s="41" t="s">
        <v>3900</v>
      </c>
    </row>
    <row r="584" spans="1:63" s="20" customFormat="1" x14ac:dyDescent="0.2">
      <c r="A584" s="20">
        <v>126</v>
      </c>
      <c r="B584" s="20" t="s">
        <v>768</v>
      </c>
      <c r="C584" s="20" t="s">
        <v>767</v>
      </c>
      <c r="D584" s="20" t="s">
        <v>766</v>
      </c>
      <c r="E584" s="20" t="s">
        <v>765</v>
      </c>
      <c r="F584" s="20" t="s">
        <v>764</v>
      </c>
      <c r="G584" s="20">
        <v>2007</v>
      </c>
      <c r="H584" s="20">
        <v>39010</v>
      </c>
      <c r="I584" s="20" t="s">
        <v>32</v>
      </c>
      <c r="J584" s="20" t="s">
        <v>32</v>
      </c>
      <c r="K584" s="20" t="s">
        <v>763</v>
      </c>
      <c r="L584" s="20">
        <v>2</v>
      </c>
      <c r="M584" s="20" t="s">
        <v>762</v>
      </c>
      <c r="N584" s="20" t="s">
        <v>761</v>
      </c>
      <c r="O584" s="20" t="s">
        <v>190</v>
      </c>
      <c r="P584" s="20" t="s">
        <v>34</v>
      </c>
      <c r="Q584" s="20" t="s">
        <v>34</v>
      </c>
      <c r="R584" s="20" t="s">
        <v>34</v>
      </c>
      <c r="S584" s="20" t="s">
        <v>34</v>
      </c>
      <c r="T584" s="20" t="s">
        <v>34</v>
      </c>
      <c r="U584" s="20" t="s">
        <v>32</v>
      </c>
      <c r="V584" s="20">
        <v>1</v>
      </c>
      <c r="W584" s="20" t="s">
        <v>32</v>
      </c>
      <c r="X584" s="20" t="s">
        <v>32</v>
      </c>
      <c r="Y584" s="20" t="s">
        <v>760</v>
      </c>
      <c r="Z584" s="20" t="s">
        <v>32</v>
      </c>
      <c r="AA584" s="20">
        <v>17049568</v>
      </c>
      <c r="AB584" s="20">
        <v>0</v>
      </c>
      <c r="AC584" s="20" t="s">
        <v>2383</v>
      </c>
      <c r="AE584" s="26"/>
      <c r="AH584" s="20" t="s">
        <v>1642</v>
      </c>
      <c r="AI584" s="20" t="s">
        <v>1642</v>
      </c>
      <c r="AJ584" s="20" t="s">
        <v>2709</v>
      </c>
      <c r="AM584" s="20" t="s">
        <v>2709</v>
      </c>
      <c r="AP584" s="20">
        <v>1</v>
      </c>
      <c r="AQ584" s="20" t="s">
        <v>1787</v>
      </c>
      <c r="AR584" s="20" t="s">
        <v>1814</v>
      </c>
      <c r="AT584" s="20" t="s">
        <v>2167</v>
      </c>
      <c r="AU584" s="20" t="s">
        <v>178</v>
      </c>
      <c r="AV584" s="20" t="s">
        <v>1888</v>
      </c>
      <c r="AW584" s="20" t="s">
        <v>1678</v>
      </c>
      <c r="AX584" s="20" t="s">
        <v>2710</v>
      </c>
      <c r="AY584" s="20" t="s">
        <v>1750</v>
      </c>
      <c r="AZ584" s="20" t="s">
        <v>1650</v>
      </c>
      <c r="BC584" s="20" t="s">
        <v>2163</v>
      </c>
      <c r="BG584" s="20" t="s">
        <v>2305</v>
      </c>
      <c r="BK584" s="41"/>
    </row>
    <row r="585" spans="1:63" s="20" customFormat="1" x14ac:dyDescent="0.2">
      <c r="A585" s="20">
        <v>127</v>
      </c>
      <c r="B585" s="20" t="s">
        <v>759</v>
      </c>
      <c r="C585" s="20" t="s">
        <v>758</v>
      </c>
      <c r="D585" s="20" t="s">
        <v>757</v>
      </c>
      <c r="E585" s="20" t="s">
        <v>756</v>
      </c>
      <c r="F585" s="20" t="s">
        <v>755</v>
      </c>
      <c r="G585" s="20">
        <v>2006</v>
      </c>
      <c r="H585" s="20">
        <v>39003</v>
      </c>
      <c r="I585" s="20" t="s">
        <v>32</v>
      </c>
      <c r="J585" s="20" t="s">
        <v>32</v>
      </c>
      <c r="K585" s="20" t="s">
        <v>754</v>
      </c>
      <c r="L585" s="20">
        <v>2</v>
      </c>
      <c r="M585" s="20" t="s">
        <v>32</v>
      </c>
      <c r="N585" s="20" t="s">
        <v>34</v>
      </c>
      <c r="O585" s="20" t="s">
        <v>190</v>
      </c>
      <c r="P585" s="20" t="s">
        <v>34</v>
      </c>
      <c r="Q585" s="20" t="s">
        <v>34</v>
      </c>
      <c r="R585" s="20" t="s">
        <v>34</v>
      </c>
      <c r="S585" s="20" t="s">
        <v>34</v>
      </c>
      <c r="T585" s="20" t="s">
        <v>34</v>
      </c>
      <c r="U585" s="20" t="s">
        <v>32</v>
      </c>
      <c r="V585" s="20">
        <v>1</v>
      </c>
      <c r="W585" s="20" t="s">
        <v>32</v>
      </c>
      <c r="X585" s="20" t="s">
        <v>32</v>
      </c>
      <c r="Y585" s="20" t="s">
        <v>32</v>
      </c>
      <c r="Z585" s="20" t="s">
        <v>32</v>
      </c>
      <c r="AA585" s="20">
        <v>17034840</v>
      </c>
      <c r="AB585" s="20">
        <v>0</v>
      </c>
      <c r="AC585" s="20" t="s">
        <v>2711</v>
      </c>
      <c r="AE585" s="26"/>
      <c r="BK585" s="41"/>
    </row>
    <row r="586" spans="1:63" x14ac:dyDescent="0.2">
      <c r="A586" s="7">
        <v>128</v>
      </c>
      <c r="B586" s="7" t="s">
        <v>753</v>
      </c>
      <c r="C586" s="7" t="s">
        <v>752</v>
      </c>
      <c r="D586" s="7" t="s">
        <v>751</v>
      </c>
      <c r="E586" s="7" t="s">
        <v>729</v>
      </c>
      <c r="F586" s="7" t="s">
        <v>468</v>
      </c>
      <c r="G586" s="7">
        <v>2006</v>
      </c>
      <c r="H586" s="7">
        <v>38869</v>
      </c>
      <c r="I586" s="7" t="s">
        <v>32</v>
      </c>
      <c r="J586" s="7" t="s">
        <v>32</v>
      </c>
      <c r="K586" s="7" t="s">
        <v>750</v>
      </c>
      <c r="L586" s="7">
        <v>2</v>
      </c>
      <c r="M586" s="7" t="s">
        <v>32</v>
      </c>
      <c r="N586" s="7" t="s">
        <v>34</v>
      </c>
      <c r="O586" s="7" t="s">
        <v>190</v>
      </c>
      <c r="P586" s="7" t="s">
        <v>34</v>
      </c>
      <c r="Q586" s="7" t="s">
        <v>34</v>
      </c>
      <c r="R586" s="7" t="s">
        <v>739</v>
      </c>
      <c r="S586" s="7" t="s">
        <v>34</v>
      </c>
      <c r="T586" s="7" t="s">
        <v>34</v>
      </c>
      <c r="U586" s="7" t="s">
        <v>32</v>
      </c>
      <c r="V586" s="7">
        <v>1</v>
      </c>
      <c r="W586" s="7" t="s">
        <v>32</v>
      </c>
      <c r="X586" s="7" t="s">
        <v>32</v>
      </c>
      <c r="Y586" s="7" t="s">
        <v>32</v>
      </c>
      <c r="Z586" s="7" t="s">
        <v>32</v>
      </c>
      <c r="AA586" s="7">
        <v>16735032</v>
      </c>
      <c r="AB586" s="7">
        <v>1</v>
      </c>
      <c r="AD586" s="7">
        <v>4</v>
      </c>
      <c r="AE586" s="24">
        <v>15</v>
      </c>
      <c r="AF586" s="7">
        <v>8</v>
      </c>
      <c r="AG586" s="7">
        <v>7</v>
      </c>
      <c r="AH586" s="7" t="s">
        <v>1642</v>
      </c>
      <c r="AI586" s="7" t="s">
        <v>1642</v>
      </c>
      <c r="AK586" s="7">
        <v>175</v>
      </c>
      <c r="AN586" s="7">
        <v>175</v>
      </c>
      <c r="AR586" s="7" t="s">
        <v>1675</v>
      </c>
      <c r="AS586" s="7" t="s">
        <v>1667</v>
      </c>
      <c r="AT586" s="7" t="s">
        <v>1640</v>
      </c>
      <c r="AU586" s="7" t="s">
        <v>178</v>
      </c>
      <c r="AV586" s="7" t="s">
        <v>2097</v>
      </c>
      <c r="AW586" s="7" t="s">
        <v>1678</v>
      </c>
      <c r="AX586" s="7" t="s">
        <v>2712</v>
      </c>
      <c r="AY586" s="7" t="s">
        <v>1684</v>
      </c>
      <c r="AZ586" s="7" t="s">
        <v>1650</v>
      </c>
      <c r="BA586" s="7">
        <v>352</v>
      </c>
      <c r="BB586" s="7">
        <v>344</v>
      </c>
      <c r="BC586" s="7" t="s">
        <v>2713</v>
      </c>
      <c r="BD586" s="7">
        <v>81.443299999999994</v>
      </c>
      <c r="BF586" s="7">
        <f>86.5979-BD586</f>
        <v>5.1546000000000021</v>
      </c>
      <c r="BG586" s="7" t="s">
        <v>2715</v>
      </c>
      <c r="BH586" s="7">
        <v>19.066600000000001</v>
      </c>
      <c r="BJ586" s="7">
        <f>26.0081-BH586</f>
        <v>6.9414999999999978</v>
      </c>
    </row>
    <row r="587" spans="1:63" x14ac:dyDescent="0.2">
      <c r="A587" s="7">
        <v>128</v>
      </c>
      <c r="B587" s="7" t="s">
        <v>753</v>
      </c>
      <c r="C587" s="7" t="s">
        <v>752</v>
      </c>
      <c r="D587" s="7" t="s">
        <v>751</v>
      </c>
      <c r="E587" s="7" t="s">
        <v>729</v>
      </c>
      <c r="F587" s="7" t="s">
        <v>468</v>
      </c>
      <c r="G587" s="7">
        <v>2006</v>
      </c>
      <c r="H587" s="7">
        <v>38869</v>
      </c>
      <c r="I587" s="7" t="s">
        <v>32</v>
      </c>
      <c r="J587" s="7" t="s">
        <v>32</v>
      </c>
      <c r="K587" s="7" t="s">
        <v>750</v>
      </c>
      <c r="L587" s="7">
        <v>2</v>
      </c>
      <c r="M587" s="7" t="s">
        <v>32</v>
      </c>
      <c r="N587" s="7" t="s">
        <v>34</v>
      </c>
      <c r="O587" s="7" t="s">
        <v>190</v>
      </c>
      <c r="P587" s="7" t="s">
        <v>34</v>
      </c>
      <c r="Q587" s="7" t="s">
        <v>34</v>
      </c>
      <c r="R587" s="7" t="s">
        <v>739</v>
      </c>
      <c r="S587" s="7" t="s">
        <v>34</v>
      </c>
      <c r="T587" s="7" t="s">
        <v>34</v>
      </c>
      <c r="U587" s="7" t="s">
        <v>32</v>
      </c>
      <c r="V587" s="7">
        <v>1</v>
      </c>
      <c r="W587" s="7" t="s">
        <v>32</v>
      </c>
      <c r="X587" s="7" t="s">
        <v>32</v>
      </c>
      <c r="Y587" s="7" t="s">
        <v>32</v>
      </c>
      <c r="Z587" s="7" t="s">
        <v>32</v>
      </c>
      <c r="AA587" s="7">
        <v>16735032</v>
      </c>
      <c r="AB587" s="7">
        <v>1</v>
      </c>
      <c r="AD587" s="7">
        <v>4</v>
      </c>
      <c r="AE587" s="24">
        <v>15</v>
      </c>
      <c r="AF587" s="7">
        <v>8</v>
      </c>
      <c r="AG587" s="7">
        <v>7</v>
      </c>
      <c r="AH587" s="7" t="s">
        <v>1642</v>
      </c>
      <c r="AI587" s="7" t="s">
        <v>1642</v>
      </c>
      <c r="AK587" s="7">
        <v>175</v>
      </c>
      <c r="AN587" s="7">
        <v>175</v>
      </c>
      <c r="AR587" s="7" t="s">
        <v>1675</v>
      </c>
      <c r="AS587" s="7" t="s">
        <v>1667</v>
      </c>
      <c r="AT587" s="7" t="s">
        <v>1640</v>
      </c>
      <c r="AU587" s="7" t="s">
        <v>178</v>
      </c>
      <c r="AV587" s="7" t="s">
        <v>2097</v>
      </c>
      <c r="AW587" s="7" t="s">
        <v>1678</v>
      </c>
      <c r="AX587" s="7" t="s">
        <v>2712</v>
      </c>
      <c r="AY587" s="7" t="s">
        <v>1684</v>
      </c>
      <c r="AZ587" s="7" t="s">
        <v>1650</v>
      </c>
      <c r="BA587" s="7">
        <v>352</v>
      </c>
      <c r="BB587" s="7">
        <v>344</v>
      </c>
      <c r="BC587" s="7" t="s">
        <v>2714</v>
      </c>
      <c r="BD587" s="7">
        <v>82.474199999999996</v>
      </c>
      <c r="BF587" s="7">
        <f>90.0773-BD587</f>
        <v>7.6030999999999977</v>
      </c>
      <c r="BG587" s="7" t="s">
        <v>2716</v>
      </c>
      <c r="BH587" s="7">
        <v>5.3587199999999999</v>
      </c>
      <c r="BJ587">
        <f>11.2713-BH587</f>
        <v>5.9125800000000002</v>
      </c>
    </row>
    <row r="588" spans="1:63" x14ac:dyDescent="0.2">
      <c r="A588" s="7">
        <v>129</v>
      </c>
      <c r="B588" s="7" t="s">
        <v>749</v>
      </c>
      <c r="C588" s="7" t="s">
        <v>748</v>
      </c>
      <c r="D588" s="7" t="s">
        <v>747</v>
      </c>
      <c r="E588" s="7" t="s">
        <v>729</v>
      </c>
      <c r="F588" s="7" t="s">
        <v>468</v>
      </c>
      <c r="G588" s="7">
        <v>2006</v>
      </c>
      <c r="H588" s="7">
        <v>38755</v>
      </c>
      <c r="I588" s="7" t="s">
        <v>32</v>
      </c>
      <c r="J588" s="7" t="s">
        <v>32</v>
      </c>
      <c r="K588" s="7" t="s">
        <v>746</v>
      </c>
      <c r="L588" s="7">
        <v>2</v>
      </c>
      <c r="M588" s="7" t="s">
        <v>745</v>
      </c>
      <c r="N588" s="7" t="s">
        <v>34</v>
      </c>
      <c r="O588" s="7" t="s">
        <v>190</v>
      </c>
      <c r="P588" s="7" t="s">
        <v>34</v>
      </c>
      <c r="Q588" s="7" t="s">
        <v>34</v>
      </c>
      <c r="R588" s="7" t="s">
        <v>34</v>
      </c>
      <c r="S588" s="7" t="s">
        <v>34</v>
      </c>
      <c r="T588" s="7" t="s">
        <v>34</v>
      </c>
      <c r="U588" s="7" t="s">
        <v>32</v>
      </c>
      <c r="V588" s="7">
        <v>1</v>
      </c>
      <c r="W588" s="7" t="s">
        <v>34</v>
      </c>
      <c r="X588" s="7" t="s">
        <v>32</v>
      </c>
      <c r="Y588" s="7" t="s">
        <v>32</v>
      </c>
      <c r="Z588" s="7" t="s">
        <v>32</v>
      </c>
      <c r="AA588" s="7">
        <v>16458266</v>
      </c>
      <c r="AB588" s="7">
        <v>1</v>
      </c>
      <c r="AD588" s="7">
        <v>4</v>
      </c>
      <c r="AE588" s="24">
        <v>27</v>
      </c>
      <c r="AF588" s="7">
        <v>14</v>
      </c>
      <c r="AG588" s="7">
        <v>13</v>
      </c>
      <c r="AH588" s="7" t="s">
        <v>1642</v>
      </c>
      <c r="AI588" s="7" t="s">
        <v>1642</v>
      </c>
      <c r="AK588" s="7">
        <v>175</v>
      </c>
      <c r="AN588" s="7">
        <v>175</v>
      </c>
      <c r="AR588" s="7" t="s">
        <v>1675</v>
      </c>
      <c r="AS588" s="7" t="s">
        <v>1667</v>
      </c>
      <c r="AT588" s="7" t="s">
        <v>1996</v>
      </c>
      <c r="AU588" s="7" t="s">
        <v>178</v>
      </c>
      <c r="AV588" s="7" t="s">
        <v>1641</v>
      </c>
      <c r="AW588" s="7" t="s">
        <v>1687</v>
      </c>
      <c r="AX588" s="7" t="s">
        <v>2717</v>
      </c>
      <c r="AY588" s="7" t="s">
        <v>1695</v>
      </c>
      <c r="AZ588" s="7" t="s">
        <v>1650</v>
      </c>
      <c r="BA588" s="7">
        <v>353</v>
      </c>
      <c r="BB588" s="7">
        <v>345</v>
      </c>
      <c r="BC588" s="7" t="s">
        <v>2718</v>
      </c>
      <c r="BD588" s="9">
        <v>85.591224999999994</v>
      </c>
      <c r="BF588" s="55">
        <v>10.470825</v>
      </c>
      <c r="BG588" s="7" t="s">
        <v>2735</v>
      </c>
      <c r="BH588" s="7">
        <v>96.062224999999998</v>
      </c>
      <c r="BJ588">
        <v>10.969525000000001</v>
      </c>
      <c r="BK588" s="7"/>
    </row>
    <row r="589" spans="1:63" x14ac:dyDescent="0.2">
      <c r="A589" s="7">
        <v>129</v>
      </c>
      <c r="B589" s="7" t="s">
        <v>749</v>
      </c>
      <c r="C589" s="7" t="s">
        <v>748</v>
      </c>
      <c r="D589" s="7" t="s">
        <v>747</v>
      </c>
      <c r="E589" s="7" t="s">
        <v>729</v>
      </c>
      <c r="F589" s="7" t="s">
        <v>468</v>
      </c>
      <c r="G589" s="7">
        <v>2006</v>
      </c>
      <c r="H589" s="7">
        <v>38755</v>
      </c>
      <c r="I589" s="7" t="s">
        <v>32</v>
      </c>
      <c r="J589" s="7" t="s">
        <v>32</v>
      </c>
      <c r="K589" s="7" t="s">
        <v>746</v>
      </c>
      <c r="L589" s="7">
        <v>2</v>
      </c>
      <c r="M589" s="7" t="s">
        <v>745</v>
      </c>
      <c r="N589" s="7" t="s">
        <v>34</v>
      </c>
      <c r="O589" s="7" t="s">
        <v>190</v>
      </c>
      <c r="P589" s="7" t="s">
        <v>34</v>
      </c>
      <c r="Q589" s="7" t="s">
        <v>34</v>
      </c>
      <c r="R589" s="7" t="s">
        <v>34</v>
      </c>
      <c r="S589" s="7" t="s">
        <v>34</v>
      </c>
      <c r="T589" s="7" t="s">
        <v>34</v>
      </c>
      <c r="U589" s="7" t="s">
        <v>32</v>
      </c>
      <c r="V589" s="7">
        <v>1</v>
      </c>
      <c r="W589" s="7" t="s">
        <v>34</v>
      </c>
      <c r="X589" s="7" t="s">
        <v>32</v>
      </c>
      <c r="Y589" s="7" t="s">
        <v>32</v>
      </c>
      <c r="Z589" s="7" t="s">
        <v>32</v>
      </c>
      <c r="AA589" s="7">
        <v>16458266</v>
      </c>
      <c r="AB589" s="7">
        <v>1</v>
      </c>
      <c r="AD589" s="7">
        <v>4</v>
      </c>
      <c r="AE589" s="24">
        <v>27</v>
      </c>
      <c r="AF589" s="7">
        <v>14</v>
      </c>
      <c r="AG589" s="7">
        <v>13</v>
      </c>
      <c r="AH589" s="7" t="s">
        <v>1642</v>
      </c>
      <c r="AI589" s="7" t="s">
        <v>1642</v>
      </c>
      <c r="AK589" s="7">
        <v>175</v>
      </c>
      <c r="AN589" s="7">
        <v>175</v>
      </c>
      <c r="AR589" s="7" t="s">
        <v>1675</v>
      </c>
      <c r="AS589" s="7" t="s">
        <v>1667</v>
      </c>
      <c r="AT589" s="7" t="s">
        <v>1996</v>
      </c>
      <c r="AU589" s="7" t="s">
        <v>178</v>
      </c>
      <c r="AV589" s="7" t="s">
        <v>1641</v>
      </c>
      <c r="AW589" s="7" t="s">
        <v>1687</v>
      </c>
      <c r="AX589" s="7" t="s">
        <v>2717</v>
      </c>
      <c r="AY589" s="7" t="s">
        <v>1695</v>
      </c>
      <c r="AZ589" s="7" t="s">
        <v>1650</v>
      </c>
      <c r="BA589" s="7">
        <v>353</v>
      </c>
      <c r="BB589" s="7">
        <v>345</v>
      </c>
      <c r="BC589" s="7" t="s">
        <v>2719</v>
      </c>
      <c r="BD589" s="9">
        <v>77.438400000000001</v>
      </c>
      <c r="BF589" s="55">
        <v>17.617640000000002</v>
      </c>
      <c r="BG589" s="7" t="s">
        <v>2736</v>
      </c>
      <c r="BH589" s="7">
        <v>58.491028</v>
      </c>
      <c r="BJ589">
        <v>12.465377999999999</v>
      </c>
      <c r="BK589" s="7"/>
    </row>
    <row r="590" spans="1:63" x14ac:dyDescent="0.2">
      <c r="A590" s="7">
        <v>129</v>
      </c>
      <c r="B590" s="7" t="s">
        <v>749</v>
      </c>
      <c r="C590" s="7" t="s">
        <v>748</v>
      </c>
      <c r="D590" s="7" t="s">
        <v>747</v>
      </c>
      <c r="E590" s="7" t="s">
        <v>729</v>
      </c>
      <c r="F590" s="7" t="s">
        <v>468</v>
      </c>
      <c r="G590" s="7">
        <v>2006</v>
      </c>
      <c r="H590" s="7">
        <v>38755</v>
      </c>
      <c r="I590" s="7" t="s">
        <v>32</v>
      </c>
      <c r="J590" s="7" t="s">
        <v>32</v>
      </c>
      <c r="K590" s="7" t="s">
        <v>746</v>
      </c>
      <c r="L590" s="7">
        <v>2</v>
      </c>
      <c r="M590" s="7" t="s">
        <v>745</v>
      </c>
      <c r="N590" s="7" t="s">
        <v>34</v>
      </c>
      <c r="O590" s="7" t="s">
        <v>190</v>
      </c>
      <c r="P590" s="7" t="s">
        <v>34</v>
      </c>
      <c r="Q590" s="7" t="s">
        <v>34</v>
      </c>
      <c r="R590" s="7" t="s">
        <v>34</v>
      </c>
      <c r="S590" s="7" t="s">
        <v>34</v>
      </c>
      <c r="T590" s="7" t="s">
        <v>34</v>
      </c>
      <c r="U590" s="7" t="s">
        <v>32</v>
      </c>
      <c r="V590" s="7">
        <v>1</v>
      </c>
      <c r="W590" s="7" t="s">
        <v>34</v>
      </c>
      <c r="X590" s="7" t="s">
        <v>32</v>
      </c>
      <c r="Y590" s="7" t="s">
        <v>32</v>
      </c>
      <c r="Z590" s="7" t="s">
        <v>32</v>
      </c>
      <c r="AA590" s="7">
        <v>16458266</v>
      </c>
      <c r="AB590" s="7">
        <v>1</v>
      </c>
      <c r="AD590" s="7">
        <v>4</v>
      </c>
      <c r="AE590" s="24">
        <v>27</v>
      </c>
      <c r="AF590" s="7">
        <v>14</v>
      </c>
      <c r="AG590" s="7">
        <v>13</v>
      </c>
      <c r="AH590" s="7" t="s">
        <v>1642</v>
      </c>
      <c r="AI590" s="7" t="s">
        <v>1642</v>
      </c>
      <c r="AK590" s="7">
        <v>175</v>
      </c>
      <c r="AN590" s="7">
        <v>175</v>
      </c>
      <c r="AR590" s="7" t="s">
        <v>1675</v>
      </c>
      <c r="AS590" s="7" t="s">
        <v>1667</v>
      </c>
      <c r="AT590" s="7" t="s">
        <v>1996</v>
      </c>
      <c r="AU590" s="7" t="s">
        <v>178</v>
      </c>
      <c r="AV590" s="7" t="s">
        <v>1641</v>
      </c>
      <c r="AW590" s="7" t="s">
        <v>1687</v>
      </c>
      <c r="AX590" s="7" t="s">
        <v>2717</v>
      </c>
      <c r="AY590" s="7" t="s">
        <v>1695</v>
      </c>
      <c r="AZ590" s="7" t="s">
        <v>1650</v>
      </c>
      <c r="BA590" s="7">
        <v>353</v>
      </c>
      <c r="BB590" s="7">
        <v>345</v>
      </c>
      <c r="BC590" s="7" t="s">
        <v>2720</v>
      </c>
      <c r="BD590" s="9">
        <v>27.401734999999999</v>
      </c>
      <c r="BF590" s="55">
        <v>16.620497</v>
      </c>
      <c r="BG590" s="7" t="s">
        <v>2737</v>
      </c>
      <c r="BH590" s="7">
        <v>25.739685000000001</v>
      </c>
      <c r="BJ590">
        <v>11.800375000000001</v>
      </c>
      <c r="BK590" s="7"/>
    </row>
    <row r="591" spans="1:63" x14ac:dyDescent="0.2">
      <c r="A591" s="7">
        <v>129</v>
      </c>
      <c r="B591" s="7" t="s">
        <v>749</v>
      </c>
      <c r="C591" s="7" t="s">
        <v>748</v>
      </c>
      <c r="D591" s="7" t="s">
        <v>747</v>
      </c>
      <c r="E591" s="7" t="s">
        <v>729</v>
      </c>
      <c r="F591" s="7" t="s">
        <v>468</v>
      </c>
      <c r="G591" s="7">
        <v>2006</v>
      </c>
      <c r="H591" s="7">
        <v>38755</v>
      </c>
      <c r="I591" s="7" t="s">
        <v>32</v>
      </c>
      <c r="J591" s="7" t="s">
        <v>32</v>
      </c>
      <c r="K591" s="7" t="s">
        <v>746</v>
      </c>
      <c r="L591" s="7">
        <v>2</v>
      </c>
      <c r="M591" s="7" t="s">
        <v>745</v>
      </c>
      <c r="N591" s="7" t="s">
        <v>34</v>
      </c>
      <c r="O591" s="7" t="s">
        <v>190</v>
      </c>
      <c r="P591" s="7" t="s">
        <v>34</v>
      </c>
      <c r="Q591" s="7" t="s">
        <v>34</v>
      </c>
      <c r="R591" s="7" t="s">
        <v>34</v>
      </c>
      <c r="S591" s="7" t="s">
        <v>34</v>
      </c>
      <c r="T591" s="7" t="s">
        <v>34</v>
      </c>
      <c r="U591" s="7" t="s">
        <v>32</v>
      </c>
      <c r="V591" s="7">
        <v>1</v>
      </c>
      <c r="W591" s="7" t="s">
        <v>34</v>
      </c>
      <c r="X591" s="7" t="s">
        <v>32</v>
      </c>
      <c r="Y591" s="7" t="s">
        <v>32</v>
      </c>
      <c r="Z591" s="7" t="s">
        <v>32</v>
      </c>
      <c r="AA591" s="7">
        <v>16458266</v>
      </c>
      <c r="AB591" s="7">
        <v>1</v>
      </c>
      <c r="AD591" s="7">
        <v>4</v>
      </c>
      <c r="AE591" s="24">
        <v>27</v>
      </c>
      <c r="AF591" s="7">
        <v>14</v>
      </c>
      <c r="AG591" s="7">
        <v>13</v>
      </c>
      <c r="AH591" s="7" t="s">
        <v>1642</v>
      </c>
      <c r="AI591" s="7" t="s">
        <v>1642</v>
      </c>
      <c r="AK591" s="7">
        <v>175</v>
      </c>
      <c r="AN591" s="7">
        <v>175</v>
      </c>
      <c r="AR591" s="7" t="s">
        <v>1675</v>
      </c>
      <c r="AS591" s="7" t="s">
        <v>1667</v>
      </c>
      <c r="AT591" s="7" t="s">
        <v>1996</v>
      </c>
      <c r="AU591" s="7" t="s">
        <v>178</v>
      </c>
      <c r="AV591" s="7" t="s">
        <v>1641</v>
      </c>
      <c r="AW591" s="7" t="s">
        <v>1687</v>
      </c>
      <c r="AX591" s="7" t="s">
        <v>2717</v>
      </c>
      <c r="AY591" s="7" t="s">
        <v>1695</v>
      </c>
      <c r="AZ591" s="7" t="s">
        <v>1650</v>
      </c>
      <c r="BA591" s="7">
        <v>353</v>
      </c>
      <c r="BB591" s="7">
        <v>345</v>
      </c>
      <c r="BC591" s="7" t="s">
        <v>2721</v>
      </c>
      <c r="BD591" s="9">
        <v>17.254539999999999</v>
      </c>
      <c r="BF591" s="55">
        <v>6.8144049999999998</v>
      </c>
      <c r="BG591" s="7" t="s">
        <v>2738</v>
      </c>
      <c r="BH591" s="7">
        <v>30.717234000000001</v>
      </c>
      <c r="BJ591">
        <v>9.972391</v>
      </c>
      <c r="BK591" s="7"/>
    </row>
    <row r="592" spans="1:63" x14ac:dyDescent="0.2">
      <c r="A592" s="7">
        <v>129</v>
      </c>
      <c r="B592" s="7" t="s">
        <v>749</v>
      </c>
      <c r="C592" s="7" t="s">
        <v>748</v>
      </c>
      <c r="D592" s="7" t="s">
        <v>747</v>
      </c>
      <c r="E592" s="7" t="s">
        <v>729</v>
      </c>
      <c r="F592" s="7" t="s">
        <v>468</v>
      </c>
      <c r="G592" s="7">
        <v>2006</v>
      </c>
      <c r="H592" s="7">
        <v>38755</v>
      </c>
      <c r="I592" s="7" t="s">
        <v>32</v>
      </c>
      <c r="J592" s="7" t="s">
        <v>32</v>
      </c>
      <c r="K592" s="7" t="s">
        <v>746</v>
      </c>
      <c r="L592" s="7">
        <v>2</v>
      </c>
      <c r="M592" s="7" t="s">
        <v>745</v>
      </c>
      <c r="N592" s="7" t="s">
        <v>34</v>
      </c>
      <c r="O592" s="7" t="s">
        <v>190</v>
      </c>
      <c r="P592" s="7" t="s">
        <v>34</v>
      </c>
      <c r="Q592" s="7" t="s">
        <v>34</v>
      </c>
      <c r="R592" s="7" t="s">
        <v>34</v>
      </c>
      <c r="S592" s="7" t="s">
        <v>34</v>
      </c>
      <c r="T592" s="7" t="s">
        <v>34</v>
      </c>
      <c r="U592" s="7" t="s">
        <v>32</v>
      </c>
      <c r="V592" s="7">
        <v>1</v>
      </c>
      <c r="W592" s="7" t="s">
        <v>34</v>
      </c>
      <c r="X592" s="7" t="s">
        <v>32</v>
      </c>
      <c r="Y592" s="7" t="s">
        <v>32</v>
      </c>
      <c r="Z592" s="7" t="s">
        <v>32</v>
      </c>
      <c r="AA592" s="7">
        <v>16458266</v>
      </c>
      <c r="AB592" s="7">
        <v>1</v>
      </c>
      <c r="AD592" s="7">
        <v>4</v>
      </c>
      <c r="AE592" s="24">
        <v>27</v>
      </c>
      <c r="AF592" s="7">
        <v>14</v>
      </c>
      <c r="AG592" s="7">
        <v>13</v>
      </c>
      <c r="AH592" s="7" t="s">
        <v>1642</v>
      </c>
      <c r="AI592" s="7" t="s">
        <v>1642</v>
      </c>
      <c r="AK592" s="7">
        <v>175</v>
      </c>
      <c r="AN592" s="7">
        <v>175</v>
      </c>
      <c r="AR592" s="7" t="s">
        <v>1675</v>
      </c>
      <c r="AS592" s="7" t="s">
        <v>1667</v>
      </c>
      <c r="AT592" s="7" t="s">
        <v>1996</v>
      </c>
      <c r="AU592" s="7" t="s">
        <v>178</v>
      </c>
      <c r="AV592" s="7" t="s">
        <v>1653</v>
      </c>
      <c r="AW592" s="7" t="s">
        <v>1687</v>
      </c>
      <c r="AX592" s="7" t="s">
        <v>2717</v>
      </c>
      <c r="AY592" s="7" t="s">
        <v>1695</v>
      </c>
      <c r="AZ592" s="7" t="s">
        <v>1650</v>
      </c>
      <c r="BA592" s="7">
        <v>353</v>
      </c>
      <c r="BB592" s="7">
        <v>345</v>
      </c>
      <c r="BC592" s="7" t="s">
        <v>2722</v>
      </c>
      <c r="BD592" s="9">
        <v>39.009922000000003</v>
      </c>
      <c r="BF592" s="55">
        <v>8.1441350000000003</v>
      </c>
      <c r="BG592" s="7" t="s">
        <v>2739</v>
      </c>
      <c r="BH592" s="7">
        <v>26.544637999999999</v>
      </c>
      <c r="BJ592">
        <v>6.9806990000000004</v>
      </c>
      <c r="BK592" s="7"/>
    </row>
    <row r="593" spans="1:64" x14ac:dyDescent="0.2">
      <c r="A593" s="7">
        <v>129</v>
      </c>
      <c r="B593" s="7" t="s">
        <v>749</v>
      </c>
      <c r="C593" s="7" t="s">
        <v>748</v>
      </c>
      <c r="D593" s="7" t="s">
        <v>747</v>
      </c>
      <c r="E593" s="7" t="s">
        <v>729</v>
      </c>
      <c r="F593" s="7" t="s">
        <v>468</v>
      </c>
      <c r="G593" s="7">
        <v>2006</v>
      </c>
      <c r="H593" s="7">
        <v>38755</v>
      </c>
      <c r="I593" s="7" t="s">
        <v>32</v>
      </c>
      <c r="J593" s="7" t="s">
        <v>32</v>
      </c>
      <c r="K593" s="7" t="s">
        <v>746</v>
      </c>
      <c r="L593" s="7">
        <v>2</v>
      </c>
      <c r="M593" s="7" t="s">
        <v>745</v>
      </c>
      <c r="N593" s="7" t="s">
        <v>34</v>
      </c>
      <c r="O593" s="7" t="s">
        <v>190</v>
      </c>
      <c r="P593" s="7" t="s">
        <v>34</v>
      </c>
      <c r="Q593" s="7" t="s">
        <v>34</v>
      </c>
      <c r="R593" s="7" t="s">
        <v>34</v>
      </c>
      <c r="S593" s="7" t="s">
        <v>34</v>
      </c>
      <c r="T593" s="7" t="s">
        <v>34</v>
      </c>
      <c r="U593" s="7" t="s">
        <v>32</v>
      </c>
      <c r="V593" s="7">
        <v>1</v>
      </c>
      <c r="W593" s="7" t="s">
        <v>34</v>
      </c>
      <c r="X593" s="7" t="s">
        <v>32</v>
      </c>
      <c r="Y593" s="7" t="s">
        <v>32</v>
      </c>
      <c r="Z593" s="7" t="s">
        <v>32</v>
      </c>
      <c r="AA593" s="7">
        <v>16458266</v>
      </c>
      <c r="AB593" s="7">
        <v>1</v>
      </c>
      <c r="AD593" s="7">
        <v>4</v>
      </c>
      <c r="AE593" s="24">
        <v>27</v>
      </c>
      <c r="AF593" s="7">
        <v>14</v>
      </c>
      <c r="AG593" s="7">
        <v>13</v>
      </c>
      <c r="AH593" s="7" t="s">
        <v>1642</v>
      </c>
      <c r="AI593" s="7" t="s">
        <v>1642</v>
      </c>
      <c r="AK593" s="7">
        <v>175</v>
      </c>
      <c r="AN593" s="7">
        <v>175</v>
      </c>
      <c r="AR593" s="7" t="s">
        <v>1675</v>
      </c>
      <c r="AS593" s="7" t="s">
        <v>1667</v>
      </c>
      <c r="AT593" s="7" t="s">
        <v>1996</v>
      </c>
      <c r="AU593" s="7" t="s">
        <v>178</v>
      </c>
      <c r="AV593" s="7" t="s">
        <v>1653</v>
      </c>
      <c r="AW593" s="7" t="s">
        <v>1687</v>
      </c>
      <c r="AX593" s="7" t="s">
        <v>2717</v>
      </c>
      <c r="AY593" s="7" t="s">
        <v>1695</v>
      </c>
      <c r="AZ593" s="7" t="s">
        <v>1650</v>
      </c>
      <c r="BA593" s="7">
        <v>353</v>
      </c>
      <c r="BB593" s="7">
        <v>345</v>
      </c>
      <c r="BC593" s="7" t="s">
        <v>2723</v>
      </c>
      <c r="BD593" s="9">
        <v>35.344540000000002</v>
      </c>
      <c r="BF593" s="55">
        <v>12.29926</v>
      </c>
      <c r="BG593" s="7" t="s">
        <v>2740</v>
      </c>
      <c r="BH593" s="7">
        <v>17.394583000000001</v>
      </c>
      <c r="BJ593">
        <v>5.152355</v>
      </c>
      <c r="BK593" s="7"/>
    </row>
    <row r="594" spans="1:64" x14ac:dyDescent="0.2">
      <c r="A594" s="7">
        <v>129</v>
      </c>
      <c r="B594" s="7" t="s">
        <v>749</v>
      </c>
      <c r="C594" s="7" t="s">
        <v>748</v>
      </c>
      <c r="D594" s="7" t="s">
        <v>747</v>
      </c>
      <c r="E594" s="7" t="s">
        <v>729</v>
      </c>
      <c r="F594" s="7" t="s">
        <v>468</v>
      </c>
      <c r="G594" s="7">
        <v>2006</v>
      </c>
      <c r="H594" s="7">
        <v>38755</v>
      </c>
      <c r="I594" s="7" t="s">
        <v>32</v>
      </c>
      <c r="J594" s="7" t="s">
        <v>32</v>
      </c>
      <c r="K594" s="7" t="s">
        <v>746</v>
      </c>
      <c r="L594" s="7">
        <v>2</v>
      </c>
      <c r="M594" s="7" t="s">
        <v>745</v>
      </c>
      <c r="N594" s="7" t="s">
        <v>34</v>
      </c>
      <c r="O594" s="7" t="s">
        <v>190</v>
      </c>
      <c r="P594" s="7" t="s">
        <v>34</v>
      </c>
      <c r="Q594" s="7" t="s">
        <v>34</v>
      </c>
      <c r="R594" s="7" t="s">
        <v>34</v>
      </c>
      <c r="S594" s="7" t="s">
        <v>34</v>
      </c>
      <c r="T594" s="7" t="s">
        <v>34</v>
      </c>
      <c r="U594" s="7" t="s">
        <v>32</v>
      </c>
      <c r="V594" s="7">
        <v>1</v>
      </c>
      <c r="W594" s="7" t="s">
        <v>34</v>
      </c>
      <c r="X594" s="7" t="s">
        <v>32</v>
      </c>
      <c r="Y594" s="7" t="s">
        <v>32</v>
      </c>
      <c r="Z594" s="7" t="s">
        <v>32</v>
      </c>
      <c r="AA594" s="7">
        <v>16458266</v>
      </c>
      <c r="AB594" s="7">
        <v>1</v>
      </c>
      <c r="AD594" s="7">
        <v>4</v>
      </c>
      <c r="AE594" s="24">
        <v>27</v>
      </c>
      <c r="AF594" s="7">
        <v>14</v>
      </c>
      <c r="AG594" s="7">
        <v>13</v>
      </c>
      <c r="AH594" s="7" t="s">
        <v>1642</v>
      </c>
      <c r="AI594" s="7" t="s">
        <v>1642</v>
      </c>
      <c r="AK594" s="7">
        <v>175</v>
      </c>
      <c r="AN594" s="7">
        <v>175</v>
      </c>
      <c r="AR594" s="7" t="s">
        <v>1675</v>
      </c>
      <c r="AS594" s="7" t="s">
        <v>1667</v>
      </c>
      <c r="AT594" s="7" t="s">
        <v>1996</v>
      </c>
      <c r="AU594" s="7" t="s">
        <v>178</v>
      </c>
      <c r="AV594" s="7" t="s">
        <v>1653</v>
      </c>
      <c r="AW594" s="7" t="s">
        <v>1687</v>
      </c>
      <c r="AX594" s="7" t="s">
        <v>2717</v>
      </c>
      <c r="AY594" s="7" t="s">
        <v>1695</v>
      </c>
      <c r="AZ594" s="7" t="s">
        <v>1650</v>
      </c>
      <c r="BA594" s="7">
        <v>353</v>
      </c>
      <c r="BB594" s="7">
        <v>345</v>
      </c>
      <c r="BC594" s="7" t="s">
        <v>2724</v>
      </c>
      <c r="BD594" s="9">
        <v>16.554506</v>
      </c>
      <c r="BF594" s="55">
        <v>8.808954</v>
      </c>
      <c r="BG594" s="7" t="s">
        <v>2741</v>
      </c>
      <c r="BH594" s="7">
        <v>9.5740770000000008</v>
      </c>
      <c r="BJ594">
        <v>2.9917799999999999</v>
      </c>
      <c r="BK594" s="7"/>
    </row>
    <row r="595" spans="1:64" x14ac:dyDescent="0.2">
      <c r="A595" s="7">
        <v>129</v>
      </c>
      <c r="B595" s="7" t="s">
        <v>749</v>
      </c>
      <c r="C595" s="7" t="s">
        <v>748</v>
      </c>
      <c r="D595" s="7" t="s">
        <v>747</v>
      </c>
      <c r="E595" s="7" t="s">
        <v>729</v>
      </c>
      <c r="F595" s="7" t="s">
        <v>468</v>
      </c>
      <c r="G595" s="7">
        <v>2006</v>
      </c>
      <c r="H595" s="7">
        <v>38755</v>
      </c>
      <c r="I595" s="7" t="s">
        <v>32</v>
      </c>
      <c r="J595" s="7" t="s">
        <v>32</v>
      </c>
      <c r="K595" s="7" t="s">
        <v>746</v>
      </c>
      <c r="L595" s="7">
        <v>2</v>
      </c>
      <c r="M595" s="7" t="s">
        <v>745</v>
      </c>
      <c r="N595" s="7" t="s">
        <v>34</v>
      </c>
      <c r="O595" s="7" t="s">
        <v>190</v>
      </c>
      <c r="P595" s="7" t="s">
        <v>34</v>
      </c>
      <c r="Q595" s="7" t="s">
        <v>34</v>
      </c>
      <c r="R595" s="7" t="s">
        <v>34</v>
      </c>
      <c r="S595" s="7" t="s">
        <v>34</v>
      </c>
      <c r="T595" s="7" t="s">
        <v>34</v>
      </c>
      <c r="U595" s="7" t="s">
        <v>32</v>
      </c>
      <c r="V595" s="7">
        <v>1</v>
      </c>
      <c r="W595" s="7" t="s">
        <v>34</v>
      </c>
      <c r="X595" s="7" t="s">
        <v>32</v>
      </c>
      <c r="Y595" s="7" t="s">
        <v>32</v>
      </c>
      <c r="Z595" s="7" t="s">
        <v>32</v>
      </c>
      <c r="AA595" s="7">
        <v>16458266</v>
      </c>
      <c r="AB595" s="7">
        <v>1</v>
      </c>
      <c r="AD595" s="7">
        <v>4</v>
      </c>
      <c r="AE595" s="24">
        <v>27</v>
      </c>
      <c r="AF595" s="7">
        <v>14</v>
      </c>
      <c r="AG595" s="7">
        <v>13</v>
      </c>
      <c r="AH595" s="7" t="s">
        <v>1642</v>
      </c>
      <c r="AI595" s="7" t="s">
        <v>1642</v>
      </c>
      <c r="AK595" s="7">
        <v>175</v>
      </c>
      <c r="AN595" s="7">
        <v>175</v>
      </c>
      <c r="AR595" s="7" t="s">
        <v>1675</v>
      </c>
      <c r="AS595" s="7" t="s">
        <v>1667</v>
      </c>
      <c r="AT595" s="7" t="s">
        <v>1996</v>
      </c>
      <c r="AU595" s="7" t="s">
        <v>178</v>
      </c>
      <c r="AV595" s="7" t="s">
        <v>1653</v>
      </c>
      <c r="AW595" s="7" t="s">
        <v>1687</v>
      </c>
      <c r="AX595" s="7" t="s">
        <v>2717</v>
      </c>
      <c r="AY595" s="7" t="s">
        <v>1695</v>
      </c>
      <c r="AZ595" s="7" t="s">
        <v>1650</v>
      </c>
      <c r="BA595" s="7">
        <v>353</v>
      </c>
      <c r="BB595" s="7">
        <v>345</v>
      </c>
      <c r="BC595" s="7" t="s">
        <v>2725</v>
      </c>
      <c r="BD595" s="9">
        <v>9.7315909999999999</v>
      </c>
      <c r="BF595" s="55">
        <v>5.8174469999999996</v>
      </c>
      <c r="BG595" s="7" t="s">
        <v>2742</v>
      </c>
      <c r="BH595" s="7">
        <v>18.041841999999999</v>
      </c>
      <c r="BJ595">
        <v>5.8170830000000002</v>
      </c>
      <c r="BK595" s="7"/>
    </row>
    <row r="596" spans="1:64" x14ac:dyDescent="0.2">
      <c r="A596" s="7">
        <v>129</v>
      </c>
      <c r="B596" s="7" t="s">
        <v>749</v>
      </c>
      <c r="C596" s="7" t="s">
        <v>748</v>
      </c>
      <c r="D596" s="7" t="s">
        <v>747</v>
      </c>
      <c r="E596" s="7" t="s">
        <v>729</v>
      </c>
      <c r="F596" s="7" t="s">
        <v>468</v>
      </c>
      <c r="G596" s="7">
        <v>2006</v>
      </c>
      <c r="H596" s="7">
        <v>38755</v>
      </c>
      <c r="I596" s="7" t="s">
        <v>32</v>
      </c>
      <c r="J596" s="7" t="s">
        <v>32</v>
      </c>
      <c r="K596" s="7" t="s">
        <v>746</v>
      </c>
      <c r="L596" s="7">
        <v>2</v>
      </c>
      <c r="M596" s="7" t="s">
        <v>745</v>
      </c>
      <c r="N596" s="7" t="s">
        <v>34</v>
      </c>
      <c r="O596" s="7" t="s">
        <v>190</v>
      </c>
      <c r="P596" s="7" t="s">
        <v>34</v>
      </c>
      <c r="Q596" s="7" t="s">
        <v>34</v>
      </c>
      <c r="R596" s="7" t="s">
        <v>34</v>
      </c>
      <c r="S596" s="7" t="s">
        <v>34</v>
      </c>
      <c r="T596" s="7" t="s">
        <v>34</v>
      </c>
      <c r="U596" s="7" t="s">
        <v>32</v>
      </c>
      <c r="V596" s="7">
        <v>1</v>
      </c>
      <c r="W596" s="7" t="s">
        <v>34</v>
      </c>
      <c r="X596" s="7" t="s">
        <v>32</v>
      </c>
      <c r="Y596" s="7" t="s">
        <v>32</v>
      </c>
      <c r="Z596" s="7" t="s">
        <v>32</v>
      </c>
      <c r="AA596" s="7">
        <v>16458266</v>
      </c>
      <c r="AB596" s="7">
        <v>1</v>
      </c>
      <c r="AD596" s="7">
        <v>4</v>
      </c>
      <c r="AE596" s="24">
        <v>27</v>
      </c>
      <c r="AF596" s="7">
        <v>14</v>
      </c>
      <c r="AG596" s="7">
        <v>13</v>
      </c>
      <c r="AH596" s="7" t="s">
        <v>1642</v>
      </c>
      <c r="AI596" s="7" t="s">
        <v>1642</v>
      </c>
      <c r="AK596" s="7">
        <v>175</v>
      </c>
      <c r="AN596" s="7">
        <v>175</v>
      </c>
      <c r="AR596" s="7" t="s">
        <v>1675</v>
      </c>
      <c r="AS596" s="7" t="s">
        <v>1667</v>
      </c>
      <c r="AT596" s="7" t="s">
        <v>1996</v>
      </c>
      <c r="AU596" s="7" t="s">
        <v>178</v>
      </c>
      <c r="AV596" s="7" t="s">
        <v>2095</v>
      </c>
      <c r="AW596" s="7" t="s">
        <v>1687</v>
      </c>
      <c r="AX596" s="7" t="s">
        <v>2717</v>
      </c>
      <c r="AY596" s="7" t="s">
        <v>1695</v>
      </c>
      <c r="AZ596" s="7" t="s">
        <v>1650</v>
      </c>
      <c r="BA596" s="7">
        <v>353</v>
      </c>
      <c r="BB596" s="7">
        <v>345</v>
      </c>
      <c r="BC596" s="7" t="s">
        <v>2726</v>
      </c>
      <c r="BD596" s="9">
        <v>9.8801439999999996</v>
      </c>
      <c r="BF596" s="55">
        <v>5.3183790000000002</v>
      </c>
      <c r="BG596" s="7" t="s">
        <v>2743</v>
      </c>
      <c r="BH596" s="7">
        <v>22.179314000000002</v>
      </c>
      <c r="BJ596">
        <v>5.4850349999999999</v>
      </c>
      <c r="BK596" s="7"/>
    </row>
    <row r="597" spans="1:64" x14ac:dyDescent="0.2">
      <c r="A597" s="7">
        <v>129</v>
      </c>
      <c r="B597" s="7" t="s">
        <v>749</v>
      </c>
      <c r="C597" s="7" t="s">
        <v>748</v>
      </c>
      <c r="D597" s="7" t="s">
        <v>747</v>
      </c>
      <c r="E597" s="7" t="s">
        <v>729</v>
      </c>
      <c r="F597" s="7" t="s">
        <v>468</v>
      </c>
      <c r="G597" s="7">
        <v>2006</v>
      </c>
      <c r="H597" s="7">
        <v>38755</v>
      </c>
      <c r="I597" s="7" t="s">
        <v>32</v>
      </c>
      <c r="J597" s="7" t="s">
        <v>32</v>
      </c>
      <c r="K597" s="7" t="s">
        <v>746</v>
      </c>
      <c r="L597" s="7">
        <v>2</v>
      </c>
      <c r="M597" s="7" t="s">
        <v>745</v>
      </c>
      <c r="N597" s="7" t="s">
        <v>34</v>
      </c>
      <c r="O597" s="7" t="s">
        <v>190</v>
      </c>
      <c r="P597" s="7" t="s">
        <v>34</v>
      </c>
      <c r="Q597" s="7" t="s">
        <v>34</v>
      </c>
      <c r="R597" s="7" t="s">
        <v>34</v>
      </c>
      <c r="S597" s="7" t="s">
        <v>34</v>
      </c>
      <c r="T597" s="7" t="s">
        <v>34</v>
      </c>
      <c r="U597" s="7" t="s">
        <v>32</v>
      </c>
      <c r="V597" s="7">
        <v>1</v>
      </c>
      <c r="W597" s="7" t="s">
        <v>34</v>
      </c>
      <c r="X597" s="7" t="s">
        <v>32</v>
      </c>
      <c r="Y597" s="7" t="s">
        <v>32</v>
      </c>
      <c r="Z597" s="7" t="s">
        <v>32</v>
      </c>
      <c r="AA597" s="7">
        <v>16458266</v>
      </c>
      <c r="AB597" s="7">
        <v>1</v>
      </c>
      <c r="AD597" s="7">
        <v>4</v>
      </c>
      <c r="AE597" s="24">
        <v>27</v>
      </c>
      <c r="AF597" s="7">
        <v>14</v>
      </c>
      <c r="AG597" s="7">
        <v>13</v>
      </c>
      <c r="AH597" s="7" t="s">
        <v>1642</v>
      </c>
      <c r="AI597" s="7" t="s">
        <v>1642</v>
      </c>
      <c r="AK597" s="7">
        <v>175</v>
      </c>
      <c r="AN597" s="7">
        <v>175</v>
      </c>
      <c r="AR597" s="7" t="s">
        <v>1675</v>
      </c>
      <c r="AS597" s="7" t="s">
        <v>1667</v>
      </c>
      <c r="AT597" s="7" t="s">
        <v>1996</v>
      </c>
      <c r="AU597" s="7" t="s">
        <v>178</v>
      </c>
      <c r="AV597" s="7" t="s">
        <v>2095</v>
      </c>
      <c r="AW597" s="7" t="s">
        <v>1687</v>
      </c>
      <c r="AX597" s="7" t="s">
        <v>2717</v>
      </c>
      <c r="AY597" s="7" t="s">
        <v>1695</v>
      </c>
      <c r="AZ597" s="7" t="s">
        <v>1650</v>
      </c>
      <c r="BA597" s="7">
        <v>353</v>
      </c>
      <c r="BB597" s="7">
        <v>345</v>
      </c>
      <c r="BC597" s="7" t="s">
        <v>2727</v>
      </c>
      <c r="BD597" s="9">
        <v>12.6969385</v>
      </c>
      <c r="BF597" s="55">
        <v>6.1495844999999996</v>
      </c>
      <c r="BG597" s="7" t="s">
        <v>2744</v>
      </c>
      <c r="BH597" s="7">
        <v>14.192783</v>
      </c>
      <c r="BJ597">
        <v>4.8203069999999997</v>
      </c>
      <c r="BK597" s="7"/>
    </row>
    <row r="598" spans="1:64" x14ac:dyDescent="0.2">
      <c r="A598" s="7">
        <v>129</v>
      </c>
      <c r="B598" s="7" t="s">
        <v>749</v>
      </c>
      <c r="C598" s="7" t="s">
        <v>748</v>
      </c>
      <c r="D598" s="7" t="s">
        <v>747</v>
      </c>
      <c r="E598" s="7" t="s">
        <v>729</v>
      </c>
      <c r="F598" s="7" t="s">
        <v>468</v>
      </c>
      <c r="G598" s="7">
        <v>2006</v>
      </c>
      <c r="H598" s="7">
        <v>38755</v>
      </c>
      <c r="I598" s="7" t="s">
        <v>32</v>
      </c>
      <c r="J598" s="7" t="s">
        <v>32</v>
      </c>
      <c r="K598" s="7" t="s">
        <v>746</v>
      </c>
      <c r="L598" s="7">
        <v>2</v>
      </c>
      <c r="M598" s="7" t="s">
        <v>745</v>
      </c>
      <c r="N598" s="7" t="s">
        <v>34</v>
      </c>
      <c r="O598" s="7" t="s">
        <v>190</v>
      </c>
      <c r="P598" s="7" t="s">
        <v>34</v>
      </c>
      <c r="Q598" s="7" t="s">
        <v>34</v>
      </c>
      <c r="R598" s="7" t="s">
        <v>34</v>
      </c>
      <c r="S598" s="7" t="s">
        <v>34</v>
      </c>
      <c r="T598" s="7" t="s">
        <v>34</v>
      </c>
      <c r="U598" s="7" t="s">
        <v>32</v>
      </c>
      <c r="V598" s="7">
        <v>1</v>
      </c>
      <c r="W598" s="7" t="s">
        <v>34</v>
      </c>
      <c r="X598" s="7" t="s">
        <v>32</v>
      </c>
      <c r="Y598" s="7" t="s">
        <v>32</v>
      </c>
      <c r="Z598" s="7" t="s">
        <v>32</v>
      </c>
      <c r="AA598" s="7">
        <v>16458266</v>
      </c>
      <c r="AB598" s="7">
        <v>1</v>
      </c>
      <c r="AD598" s="7">
        <v>4</v>
      </c>
      <c r="AE598" s="24">
        <v>27</v>
      </c>
      <c r="AF598" s="7">
        <v>14</v>
      </c>
      <c r="AG598" s="7">
        <v>13</v>
      </c>
      <c r="AH598" s="7" t="s">
        <v>1642</v>
      </c>
      <c r="AI598" s="7" t="s">
        <v>1642</v>
      </c>
      <c r="AK598" s="7">
        <v>175</v>
      </c>
      <c r="AN598" s="7">
        <v>175</v>
      </c>
      <c r="AR598" s="7" t="s">
        <v>1675</v>
      </c>
      <c r="AS598" s="7" t="s">
        <v>1667</v>
      </c>
      <c r="AT598" s="7" t="s">
        <v>1996</v>
      </c>
      <c r="AU598" s="7" t="s">
        <v>178</v>
      </c>
      <c r="AV598" s="7" t="s">
        <v>2095</v>
      </c>
      <c r="AW598" s="7" t="s">
        <v>1687</v>
      </c>
      <c r="AX598" s="7" t="s">
        <v>2717</v>
      </c>
      <c r="AY598" s="7" t="s">
        <v>1695</v>
      </c>
      <c r="AZ598" s="7" t="s">
        <v>1650</v>
      </c>
      <c r="BA598" s="7">
        <v>353</v>
      </c>
      <c r="BB598" s="7">
        <v>345</v>
      </c>
      <c r="BC598" s="7" t="s">
        <v>2728</v>
      </c>
      <c r="BD598" s="9">
        <v>14.848641000000001</v>
      </c>
      <c r="BF598" s="55">
        <v>3.6565110000000001</v>
      </c>
      <c r="BG598" s="7" t="s">
        <v>2745</v>
      </c>
      <c r="BH598" s="7">
        <v>12.854362500000001</v>
      </c>
      <c r="BJ598">
        <v>5.6512415000000003</v>
      </c>
      <c r="BK598" s="7"/>
    </row>
    <row r="599" spans="1:64" x14ac:dyDescent="0.2">
      <c r="A599" s="7">
        <v>129</v>
      </c>
      <c r="B599" s="7" t="s">
        <v>749</v>
      </c>
      <c r="C599" s="7" t="s">
        <v>748</v>
      </c>
      <c r="D599" s="7" t="s">
        <v>747</v>
      </c>
      <c r="E599" s="7" t="s">
        <v>729</v>
      </c>
      <c r="F599" s="7" t="s">
        <v>468</v>
      </c>
      <c r="G599" s="7">
        <v>2006</v>
      </c>
      <c r="H599" s="7">
        <v>38755</v>
      </c>
      <c r="I599" s="7" t="s">
        <v>32</v>
      </c>
      <c r="J599" s="7" t="s">
        <v>32</v>
      </c>
      <c r="K599" s="7" t="s">
        <v>746</v>
      </c>
      <c r="L599" s="7">
        <v>2</v>
      </c>
      <c r="M599" s="7" t="s">
        <v>745</v>
      </c>
      <c r="N599" s="7" t="s">
        <v>34</v>
      </c>
      <c r="O599" s="7" t="s">
        <v>190</v>
      </c>
      <c r="P599" s="7" t="s">
        <v>34</v>
      </c>
      <c r="Q599" s="7" t="s">
        <v>34</v>
      </c>
      <c r="R599" s="7" t="s">
        <v>34</v>
      </c>
      <c r="S599" s="7" t="s">
        <v>34</v>
      </c>
      <c r="T599" s="7" t="s">
        <v>34</v>
      </c>
      <c r="U599" s="7" t="s">
        <v>32</v>
      </c>
      <c r="V599" s="7">
        <v>1</v>
      </c>
      <c r="W599" s="7" t="s">
        <v>34</v>
      </c>
      <c r="X599" s="7" t="s">
        <v>32</v>
      </c>
      <c r="Y599" s="7" t="s">
        <v>32</v>
      </c>
      <c r="Z599" s="7" t="s">
        <v>32</v>
      </c>
      <c r="AA599" s="7">
        <v>16458266</v>
      </c>
      <c r="AB599" s="7">
        <v>1</v>
      </c>
      <c r="AD599" s="7">
        <v>4</v>
      </c>
      <c r="AE599" s="24">
        <v>27</v>
      </c>
      <c r="AF599" s="7">
        <v>14</v>
      </c>
      <c r="AG599" s="7">
        <v>13</v>
      </c>
      <c r="AH599" s="7" t="s">
        <v>1642</v>
      </c>
      <c r="AI599" s="7" t="s">
        <v>1642</v>
      </c>
      <c r="AK599" s="7">
        <v>175</v>
      </c>
      <c r="AN599" s="7">
        <v>175</v>
      </c>
      <c r="AR599" s="7" t="s">
        <v>1675</v>
      </c>
      <c r="AS599" s="7" t="s">
        <v>1667</v>
      </c>
      <c r="AT599" s="7" t="s">
        <v>1996</v>
      </c>
      <c r="AU599" s="7" t="s">
        <v>178</v>
      </c>
      <c r="AV599" s="7" t="s">
        <v>2095</v>
      </c>
      <c r="AW599" s="7" t="s">
        <v>1687</v>
      </c>
      <c r="AX599" s="7" t="s">
        <v>2717</v>
      </c>
      <c r="AY599" s="7" t="s">
        <v>1695</v>
      </c>
      <c r="AZ599" s="7" t="s">
        <v>1650</v>
      </c>
      <c r="BA599" s="7">
        <v>353</v>
      </c>
      <c r="BB599" s="7">
        <v>345</v>
      </c>
      <c r="BC599" s="7" t="s">
        <v>2729</v>
      </c>
      <c r="BD599" s="9">
        <v>15.671066</v>
      </c>
      <c r="BF599" s="55">
        <v>5.1525369999999997</v>
      </c>
      <c r="BG599" s="7" t="s">
        <v>2746</v>
      </c>
      <c r="BH599" s="7">
        <v>7.8594317</v>
      </c>
      <c r="BJ599">
        <v>2.9917807999999999</v>
      </c>
      <c r="BK599" s="7"/>
    </row>
    <row r="600" spans="1:64" x14ac:dyDescent="0.2">
      <c r="A600" s="7">
        <v>129</v>
      </c>
      <c r="B600" s="7" t="s">
        <v>749</v>
      </c>
      <c r="C600" s="7" t="s">
        <v>748</v>
      </c>
      <c r="D600" s="7" t="s">
        <v>747</v>
      </c>
      <c r="E600" s="7" t="s">
        <v>729</v>
      </c>
      <c r="F600" s="7" t="s">
        <v>468</v>
      </c>
      <c r="G600" s="7">
        <v>2006</v>
      </c>
      <c r="H600" s="7">
        <v>38755</v>
      </c>
      <c r="I600" s="7" t="s">
        <v>32</v>
      </c>
      <c r="J600" s="7" t="s">
        <v>32</v>
      </c>
      <c r="K600" s="7" t="s">
        <v>746</v>
      </c>
      <c r="L600" s="7">
        <v>2</v>
      </c>
      <c r="M600" s="7" t="s">
        <v>745</v>
      </c>
      <c r="N600" s="7" t="s">
        <v>34</v>
      </c>
      <c r="O600" s="7" t="s">
        <v>190</v>
      </c>
      <c r="P600" s="7" t="s">
        <v>34</v>
      </c>
      <c r="Q600" s="7" t="s">
        <v>34</v>
      </c>
      <c r="R600" s="7" t="s">
        <v>34</v>
      </c>
      <c r="S600" s="7" t="s">
        <v>34</v>
      </c>
      <c r="T600" s="7" t="s">
        <v>34</v>
      </c>
      <c r="U600" s="7" t="s">
        <v>32</v>
      </c>
      <c r="V600" s="7">
        <v>1</v>
      </c>
      <c r="W600" s="7" t="s">
        <v>34</v>
      </c>
      <c r="X600" s="7" t="s">
        <v>32</v>
      </c>
      <c r="Y600" s="7" t="s">
        <v>32</v>
      </c>
      <c r="Z600" s="7" t="s">
        <v>32</v>
      </c>
      <c r="AA600" s="7">
        <v>16458266</v>
      </c>
      <c r="AB600" s="7">
        <v>1</v>
      </c>
      <c r="AD600" s="7">
        <v>4</v>
      </c>
      <c r="AE600" s="24">
        <v>27</v>
      </c>
      <c r="AF600" s="7">
        <v>14</v>
      </c>
      <c r="AG600" s="7">
        <v>13</v>
      </c>
      <c r="AH600" s="7" t="s">
        <v>1642</v>
      </c>
      <c r="AI600" s="7" t="s">
        <v>1642</v>
      </c>
      <c r="AK600" s="7">
        <v>175</v>
      </c>
      <c r="AN600" s="7">
        <v>175</v>
      </c>
      <c r="AR600" s="7" t="s">
        <v>1675</v>
      </c>
      <c r="AS600" s="7" t="s">
        <v>1667</v>
      </c>
      <c r="AT600" s="7" t="s">
        <v>1996</v>
      </c>
      <c r="AU600" s="7" t="s">
        <v>178</v>
      </c>
      <c r="AV600" s="7" t="s">
        <v>1718</v>
      </c>
      <c r="AW600" s="7" t="s">
        <v>1687</v>
      </c>
      <c r="AX600" s="7" t="s">
        <v>2717</v>
      </c>
      <c r="AY600" s="7" t="s">
        <v>1695</v>
      </c>
      <c r="AZ600" s="7" t="s">
        <v>1650</v>
      </c>
      <c r="BA600" s="7">
        <v>353</v>
      </c>
      <c r="BB600" s="7">
        <v>345</v>
      </c>
      <c r="BC600" s="7" t="s">
        <v>2730</v>
      </c>
      <c r="BD600" s="9">
        <v>15.1547985</v>
      </c>
      <c r="BF600" s="55">
        <v>3.8227155000000002</v>
      </c>
      <c r="BG600" s="7" t="s">
        <v>2747</v>
      </c>
      <c r="BH600" s="7">
        <v>6.5122299999999997</v>
      </c>
      <c r="BJ600">
        <v>4.65374</v>
      </c>
      <c r="BK600" s="7"/>
    </row>
    <row r="601" spans="1:64" x14ac:dyDescent="0.2">
      <c r="A601" s="7">
        <v>129</v>
      </c>
      <c r="B601" s="7" t="s">
        <v>749</v>
      </c>
      <c r="C601" s="7" t="s">
        <v>748</v>
      </c>
      <c r="D601" s="7" t="s">
        <v>747</v>
      </c>
      <c r="E601" s="7" t="s">
        <v>729</v>
      </c>
      <c r="F601" s="7" t="s">
        <v>468</v>
      </c>
      <c r="G601" s="7">
        <v>2006</v>
      </c>
      <c r="H601" s="7">
        <v>38755</v>
      </c>
      <c r="I601" s="7" t="s">
        <v>32</v>
      </c>
      <c r="J601" s="7" t="s">
        <v>32</v>
      </c>
      <c r="K601" s="7" t="s">
        <v>746</v>
      </c>
      <c r="L601" s="7">
        <v>2</v>
      </c>
      <c r="M601" s="7" t="s">
        <v>745</v>
      </c>
      <c r="N601" s="7" t="s">
        <v>34</v>
      </c>
      <c r="O601" s="7" t="s">
        <v>190</v>
      </c>
      <c r="P601" s="7" t="s">
        <v>34</v>
      </c>
      <c r="Q601" s="7" t="s">
        <v>34</v>
      </c>
      <c r="R601" s="7" t="s">
        <v>34</v>
      </c>
      <c r="S601" s="7" t="s">
        <v>34</v>
      </c>
      <c r="T601" s="7" t="s">
        <v>34</v>
      </c>
      <c r="U601" s="7" t="s">
        <v>32</v>
      </c>
      <c r="V601" s="7">
        <v>1</v>
      </c>
      <c r="W601" s="7" t="s">
        <v>34</v>
      </c>
      <c r="X601" s="7" t="s">
        <v>32</v>
      </c>
      <c r="Y601" s="7" t="s">
        <v>32</v>
      </c>
      <c r="Z601" s="7" t="s">
        <v>32</v>
      </c>
      <c r="AA601" s="7">
        <v>16458266</v>
      </c>
      <c r="AB601" s="7">
        <v>1</v>
      </c>
      <c r="AD601" s="7">
        <v>4</v>
      </c>
      <c r="AE601" s="24">
        <v>27</v>
      </c>
      <c r="AF601" s="7">
        <v>14</v>
      </c>
      <c r="AG601" s="7">
        <v>13</v>
      </c>
      <c r="AH601" s="7" t="s">
        <v>1642</v>
      </c>
      <c r="AI601" s="7" t="s">
        <v>1642</v>
      </c>
      <c r="AK601" s="7">
        <v>175</v>
      </c>
      <c r="AN601" s="7">
        <v>175</v>
      </c>
      <c r="AR601" s="7" t="s">
        <v>1675</v>
      </c>
      <c r="AS601" s="7" t="s">
        <v>1667</v>
      </c>
      <c r="AT601" s="7" t="s">
        <v>1996</v>
      </c>
      <c r="AU601" s="7" t="s">
        <v>178</v>
      </c>
      <c r="AV601" s="7" t="s">
        <v>1718</v>
      </c>
      <c r="AW601" s="7" t="s">
        <v>1687</v>
      </c>
      <c r="AX601" s="7" t="s">
        <v>2717</v>
      </c>
      <c r="AY601" s="7" t="s">
        <v>1695</v>
      </c>
      <c r="AZ601" s="7" t="s">
        <v>1650</v>
      </c>
      <c r="BA601" s="7">
        <v>353</v>
      </c>
      <c r="BB601" s="7">
        <v>345</v>
      </c>
      <c r="BC601" s="7" t="s">
        <v>2731</v>
      </c>
      <c r="BD601" s="9">
        <v>14.315174000000001</v>
      </c>
      <c r="BF601" s="55">
        <v>4.4878960000000001</v>
      </c>
      <c r="BG601" s="7" t="s">
        <v>2748</v>
      </c>
      <c r="BH601" s="7">
        <v>4.5089892999999996</v>
      </c>
      <c r="BJ601">
        <v>2.6592796999999999</v>
      </c>
      <c r="BK601" s="7"/>
    </row>
    <row r="602" spans="1:64" x14ac:dyDescent="0.2">
      <c r="A602" s="7">
        <v>129</v>
      </c>
      <c r="B602" s="7" t="s">
        <v>749</v>
      </c>
      <c r="C602" s="7" t="s">
        <v>748</v>
      </c>
      <c r="D602" s="7" t="s">
        <v>747</v>
      </c>
      <c r="E602" s="7" t="s">
        <v>729</v>
      </c>
      <c r="F602" s="7" t="s">
        <v>468</v>
      </c>
      <c r="G602" s="7">
        <v>2006</v>
      </c>
      <c r="H602" s="7">
        <v>38755</v>
      </c>
      <c r="I602" s="7" t="s">
        <v>32</v>
      </c>
      <c r="J602" s="7" t="s">
        <v>32</v>
      </c>
      <c r="K602" s="7" t="s">
        <v>746</v>
      </c>
      <c r="L602" s="7">
        <v>2</v>
      </c>
      <c r="M602" s="7" t="s">
        <v>745</v>
      </c>
      <c r="N602" s="7" t="s">
        <v>34</v>
      </c>
      <c r="O602" s="7" t="s">
        <v>190</v>
      </c>
      <c r="P602" s="7" t="s">
        <v>34</v>
      </c>
      <c r="Q602" s="7" t="s">
        <v>34</v>
      </c>
      <c r="R602" s="7" t="s">
        <v>34</v>
      </c>
      <c r="S602" s="7" t="s">
        <v>34</v>
      </c>
      <c r="T602" s="7" t="s">
        <v>34</v>
      </c>
      <c r="U602" s="7" t="s">
        <v>32</v>
      </c>
      <c r="V602" s="7">
        <v>1</v>
      </c>
      <c r="W602" s="7" t="s">
        <v>34</v>
      </c>
      <c r="X602" s="7" t="s">
        <v>32</v>
      </c>
      <c r="Y602" s="7" t="s">
        <v>32</v>
      </c>
      <c r="Z602" s="7" t="s">
        <v>32</v>
      </c>
      <c r="AA602" s="7">
        <v>16458266</v>
      </c>
      <c r="AB602" s="7">
        <v>1</v>
      </c>
      <c r="AD602" s="7">
        <v>4</v>
      </c>
      <c r="AE602" s="24">
        <v>27</v>
      </c>
      <c r="AF602" s="7">
        <v>14</v>
      </c>
      <c r="AG602" s="7">
        <v>13</v>
      </c>
      <c r="AH602" s="7" t="s">
        <v>1642</v>
      </c>
      <c r="AI602" s="7" t="s">
        <v>1642</v>
      </c>
      <c r="AK602" s="7">
        <v>175</v>
      </c>
      <c r="AN602" s="7">
        <v>175</v>
      </c>
      <c r="AR602" s="7" t="s">
        <v>1675</v>
      </c>
      <c r="AS602" s="7" t="s">
        <v>1667</v>
      </c>
      <c r="AT602" s="7" t="s">
        <v>1996</v>
      </c>
      <c r="AU602" s="7" t="s">
        <v>178</v>
      </c>
      <c r="AV602" s="7" t="s">
        <v>1718</v>
      </c>
      <c r="AW602" s="7" t="s">
        <v>1687</v>
      </c>
      <c r="AX602" s="7" t="s">
        <v>2717</v>
      </c>
      <c r="AY602" s="7" t="s">
        <v>1695</v>
      </c>
      <c r="AZ602" s="7" t="s">
        <v>1650</v>
      </c>
      <c r="BA602" s="7">
        <v>353</v>
      </c>
      <c r="BB602" s="7">
        <v>345</v>
      </c>
      <c r="BC602" s="7" t="s">
        <v>2732</v>
      </c>
      <c r="BD602" s="9">
        <v>12.976663</v>
      </c>
      <c r="BF602" s="55">
        <v>4.3214189999999997</v>
      </c>
      <c r="BG602" s="7" t="s">
        <v>2749</v>
      </c>
      <c r="BH602" s="7">
        <v>2.8380678000000001</v>
      </c>
      <c r="BJ602">
        <v>2.9917805</v>
      </c>
      <c r="BK602" s="7"/>
    </row>
    <row r="603" spans="1:64" x14ac:dyDescent="0.2">
      <c r="A603" s="7">
        <v>129</v>
      </c>
      <c r="B603" s="7" t="s">
        <v>749</v>
      </c>
      <c r="C603" s="7" t="s">
        <v>748</v>
      </c>
      <c r="D603" s="7" t="s">
        <v>747</v>
      </c>
      <c r="E603" s="7" t="s">
        <v>729</v>
      </c>
      <c r="F603" s="7" t="s">
        <v>468</v>
      </c>
      <c r="G603" s="7">
        <v>2006</v>
      </c>
      <c r="H603" s="7">
        <v>38755</v>
      </c>
      <c r="I603" s="7" t="s">
        <v>32</v>
      </c>
      <c r="J603" s="7" t="s">
        <v>32</v>
      </c>
      <c r="K603" s="7" t="s">
        <v>746</v>
      </c>
      <c r="L603" s="7">
        <v>2</v>
      </c>
      <c r="M603" s="7" t="s">
        <v>745</v>
      </c>
      <c r="N603" s="7" t="s">
        <v>34</v>
      </c>
      <c r="O603" s="7" t="s">
        <v>190</v>
      </c>
      <c r="P603" s="7" t="s">
        <v>34</v>
      </c>
      <c r="Q603" s="7" t="s">
        <v>34</v>
      </c>
      <c r="R603" s="7" t="s">
        <v>34</v>
      </c>
      <c r="S603" s="7" t="s">
        <v>34</v>
      </c>
      <c r="T603" s="7" t="s">
        <v>34</v>
      </c>
      <c r="U603" s="7" t="s">
        <v>32</v>
      </c>
      <c r="V603" s="7">
        <v>1</v>
      </c>
      <c r="W603" s="7" t="s">
        <v>34</v>
      </c>
      <c r="X603" s="7" t="s">
        <v>32</v>
      </c>
      <c r="Y603" s="7" t="s">
        <v>32</v>
      </c>
      <c r="Z603" s="7" t="s">
        <v>32</v>
      </c>
      <c r="AA603" s="7">
        <v>16458266</v>
      </c>
      <c r="AB603" s="7">
        <v>1</v>
      </c>
      <c r="AD603" s="7">
        <v>4</v>
      </c>
      <c r="AE603" s="24">
        <v>27</v>
      </c>
      <c r="AF603" s="7">
        <v>14</v>
      </c>
      <c r="AG603" s="7">
        <v>13</v>
      </c>
      <c r="AH603" s="7" t="s">
        <v>1642</v>
      </c>
      <c r="AI603" s="7" t="s">
        <v>1642</v>
      </c>
      <c r="AK603" s="7">
        <v>175</v>
      </c>
      <c r="AN603" s="7">
        <v>175</v>
      </c>
      <c r="AR603" s="7" t="s">
        <v>1675</v>
      </c>
      <c r="AS603" s="7" t="s">
        <v>1667</v>
      </c>
      <c r="AT603" s="7" t="s">
        <v>1996</v>
      </c>
      <c r="AU603" s="7" t="s">
        <v>178</v>
      </c>
      <c r="AV603" s="7" t="s">
        <v>1718</v>
      </c>
      <c r="AW603" s="7" t="s">
        <v>1687</v>
      </c>
      <c r="AX603" s="7" t="s">
        <v>2717</v>
      </c>
      <c r="AY603" s="7" t="s">
        <v>1695</v>
      </c>
      <c r="AZ603" s="7" t="s">
        <v>1650</v>
      </c>
      <c r="BA603" s="7">
        <v>353</v>
      </c>
      <c r="BB603" s="7">
        <v>345</v>
      </c>
      <c r="BC603" s="7" t="s">
        <v>2733</v>
      </c>
      <c r="BD603" s="9">
        <v>5.1562469999999996</v>
      </c>
      <c r="BF603" s="55">
        <v>2.6592799999999999</v>
      </c>
      <c r="BG603" s="7" t="s">
        <v>2750</v>
      </c>
      <c r="BH603" s="7">
        <v>1.6660330000000001</v>
      </c>
      <c r="BJ603">
        <v>1.6618687999999999</v>
      </c>
      <c r="BK603" s="7"/>
    </row>
    <row r="604" spans="1:64" x14ac:dyDescent="0.2">
      <c r="A604" s="7">
        <v>129</v>
      </c>
      <c r="B604" s="7" t="s">
        <v>749</v>
      </c>
      <c r="C604" s="7" t="s">
        <v>748</v>
      </c>
      <c r="D604" s="7" t="s">
        <v>747</v>
      </c>
      <c r="E604" s="7" t="s">
        <v>729</v>
      </c>
      <c r="F604" s="7" t="s">
        <v>468</v>
      </c>
      <c r="G604" s="7">
        <v>2006</v>
      </c>
      <c r="H604" s="7">
        <v>38755</v>
      </c>
      <c r="I604" s="7" t="s">
        <v>32</v>
      </c>
      <c r="J604" s="7" t="s">
        <v>32</v>
      </c>
      <c r="K604" s="7" t="s">
        <v>746</v>
      </c>
      <c r="L604" s="7">
        <v>2</v>
      </c>
      <c r="M604" s="7" t="s">
        <v>745</v>
      </c>
      <c r="N604" s="7" t="s">
        <v>34</v>
      </c>
      <c r="O604" s="7" t="s">
        <v>190</v>
      </c>
      <c r="P604" s="7" t="s">
        <v>34</v>
      </c>
      <c r="Q604" s="7" t="s">
        <v>34</v>
      </c>
      <c r="R604" s="7" t="s">
        <v>34</v>
      </c>
      <c r="S604" s="7" t="s">
        <v>34</v>
      </c>
      <c r="T604" s="7" t="s">
        <v>34</v>
      </c>
      <c r="U604" s="7" t="s">
        <v>32</v>
      </c>
      <c r="V604" s="7">
        <v>1</v>
      </c>
      <c r="W604" s="7" t="s">
        <v>34</v>
      </c>
      <c r="X604" s="7" t="s">
        <v>32</v>
      </c>
      <c r="Y604" s="7" t="s">
        <v>32</v>
      </c>
      <c r="Z604" s="7" t="s">
        <v>32</v>
      </c>
      <c r="AA604" s="7">
        <v>16458266</v>
      </c>
      <c r="AB604" s="7">
        <v>1</v>
      </c>
      <c r="AD604" s="7">
        <v>4</v>
      </c>
      <c r="AE604" s="24">
        <v>27</v>
      </c>
      <c r="AF604" s="7">
        <v>14</v>
      </c>
      <c r="AG604" s="7">
        <v>13</v>
      </c>
      <c r="AH604" s="7" t="s">
        <v>1642</v>
      </c>
      <c r="AI604" s="7" t="s">
        <v>1642</v>
      </c>
      <c r="AK604" s="7">
        <v>175</v>
      </c>
      <c r="AN604" s="7">
        <v>175</v>
      </c>
      <c r="AR604" s="7" t="s">
        <v>1675</v>
      </c>
      <c r="AS604" s="7" t="s">
        <v>1667</v>
      </c>
      <c r="AT604" s="7" t="s">
        <v>1996</v>
      </c>
      <c r="AU604" s="7" t="s">
        <v>178</v>
      </c>
      <c r="AV604" s="7" t="s">
        <v>1876</v>
      </c>
      <c r="AW604" s="7" t="s">
        <v>1687</v>
      </c>
      <c r="AX604" s="7" t="s">
        <v>2717</v>
      </c>
      <c r="AY604" s="7" t="s">
        <v>2010</v>
      </c>
      <c r="AZ604" s="7" t="s">
        <v>1650</v>
      </c>
      <c r="BA604" s="7">
        <v>353</v>
      </c>
      <c r="BB604" s="7">
        <v>345</v>
      </c>
      <c r="BC604" s="7" t="s">
        <v>2734</v>
      </c>
      <c r="BD604" s="7">
        <v>61.978400000000001</v>
      </c>
      <c r="BF604" s="7">
        <f>66.3268-BD604</f>
        <v>4.3484000000000052</v>
      </c>
      <c r="BG604" s="7" t="s">
        <v>2751</v>
      </c>
      <c r="BH604" s="7">
        <v>61.163499999999999</v>
      </c>
      <c r="BJ604" s="7">
        <f>65.2399-BH604</f>
        <v>4.0764000000000067</v>
      </c>
    </row>
    <row r="605" spans="1:64" s="20" customFormat="1" x14ac:dyDescent="0.2">
      <c r="A605" s="20">
        <v>130</v>
      </c>
      <c r="B605" s="20" t="s">
        <v>744</v>
      </c>
      <c r="C605" s="20" t="s">
        <v>743</v>
      </c>
      <c r="D605" s="20" t="s">
        <v>742</v>
      </c>
      <c r="E605" s="20" t="s">
        <v>741</v>
      </c>
      <c r="F605" s="20" t="s">
        <v>137</v>
      </c>
      <c r="G605" s="20">
        <v>2005</v>
      </c>
      <c r="H605" s="20">
        <v>38391</v>
      </c>
      <c r="I605" s="20" t="s">
        <v>32</v>
      </c>
      <c r="J605" s="20" t="s">
        <v>32</v>
      </c>
      <c r="K605" s="20" t="s">
        <v>740</v>
      </c>
      <c r="L605" s="20">
        <v>2</v>
      </c>
      <c r="M605" s="20" t="s">
        <v>32</v>
      </c>
      <c r="N605" s="20" t="s">
        <v>34</v>
      </c>
      <c r="O605" s="20" t="s">
        <v>190</v>
      </c>
      <c r="P605" s="20" t="s">
        <v>34</v>
      </c>
      <c r="Q605" s="20" t="s">
        <v>34</v>
      </c>
      <c r="R605" s="20" t="s">
        <v>739</v>
      </c>
      <c r="S605" s="20" t="s">
        <v>34</v>
      </c>
      <c r="T605" s="20" t="s">
        <v>34</v>
      </c>
      <c r="U605" s="20" t="s">
        <v>32</v>
      </c>
      <c r="V605" s="20">
        <v>1</v>
      </c>
      <c r="W605" s="20" t="s">
        <v>32</v>
      </c>
      <c r="X605" s="20" t="s">
        <v>32</v>
      </c>
      <c r="Y605" s="20" t="s">
        <v>32</v>
      </c>
      <c r="Z605" s="20" t="s">
        <v>32</v>
      </c>
      <c r="AA605" s="20">
        <v>15694111</v>
      </c>
      <c r="AB605" s="20">
        <v>0</v>
      </c>
      <c r="AC605" s="20" t="s">
        <v>2754</v>
      </c>
      <c r="AD605" s="20">
        <v>4</v>
      </c>
      <c r="AE605" s="26">
        <v>24</v>
      </c>
      <c r="AF605" s="20">
        <v>12</v>
      </c>
      <c r="AG605" s="20">
        <v>12</v>
      </c>
      <c r="AH605" s="20" t="s">
        <v>1769</v>
      </c>
      <c r="AI605" s="20" t="s">
        <v>1769</v>
      </c>
      <c r="AJ605" s="20" t="s">
        <v>2753</v>
      </c>
      <c r="AM605" s="20" t="s">
        <v>2753</v>
      </c>
      <c r="AP605" s="20">
        <v>1</v>
      </c>
      <c r="AQ605" s="20" t="s">
        <v>2330</v>
      </c>
      <c r="AR605" s="20" t="s">
        <v>1814</v>
      </c>
      <c r="AS605" s="20" t="s">
        <v>1667</v>
      </c>
      <c r="AT605" s="20" t="s">
        <v>1640</v>
      </c>
      <c r="AU605" s="20" t="s">
        <v>178</v>
      </c>
      <c r="AV605" s="20" t="s">
        <v>1641</v>
      </c>
      <c r="AW605" s="20" t="s">
        <v>1678</v>
      </c>
      <c r="AX605" s="20" t="s">
        <v>2752</v>
      </c>
      <c r="BK605" s="41"/>
      <c r="BL605" s="41"/>
    </row>
    <row r="606" spans="1:64" x14ac:dyDescent="0.2">
      <c r="A606" s="7">
        <v>131</v>
      </c>
      <c r="B606" s="7" t="s">
        <v>738</v>
      </c>
      <c r="C606" s="7" t="s">
        <v>737</v>
      </c>
      <c r="D606" s="7" t="s">
        <v>736</v>
      </c>
      <c r="E606" s="7" t="s">
        <v>735</v>
      </c>
      <c r="F606" s="7" t="s">
        <v>558</v>
      </c>
      <c r="G606" s="7">
        <v>2003</v>
      </c>
      <c r="H606" s="7">
        <v>37847</v>
      </c>
      <c r="I606" s="7" t="s">
        <v>32</v>
      </c>
      <c r="J606" s="7" t="s">
        <v>32</v>
      </c>
      <c r="K606" s="7" t="s">
        <v>734</v>
      </c>
      <c r="L606" s="7">
        <v>2</v>
      </c>
      <c r="M606" s="7" t="s">
        <v>32</v>
      </c>
      <c r="N606" s="7" t="s">
        <v>34</v>
      </c>
      <c r="O606" s="7" t="s">
        <v>190</v>
      </c>
      <c r="P606" s="7" t="s">
        <v>34</v>
      </c>
      <c r="Q606" s="7" t="s">
        <v>34</v>
      </c>
      <c r="R606" s="7" t="s">
        <v>34</v>
      </c>
      <c r="S606" s="7" t="s">
        <v>34</v>
      </c>
      <c r="T606" s="7" t="s">
        <v>34</v>
      </c>
      <c r="U606" s="7" t="s">
        <v>32</v>
      </c>
      <c r="V606" s="7">
        <v>1</v>
      </c>
      <c r="W606" s="7" t="s">
        <v>32</v>
      </c>
      <c r="X606" s="7" t="s">
        <v>32</v>
      </c>
      <c r="Y606" s="7" t="s">
        <v>733</v>
      </c>
      <c r="Z606" s="7" t="s">
        <v>32</v>
      </c>
      <c r="AA606" s="7">
        <v>12914970</v>
      </c>
      <c r="AB606" s="7">
        <v>1</v>
      </c>
      <c r="AD606" s="7">
        <v>4</v>
      </c>
      <c r="AE606" s="24">
        <v>20</v>
      </c>
      <c r="AF606" s="7">
        <v>10</v>
      </c>
      <c r="AG606" s="7">
        <v>10</v>
      </c>
      <c r="AH606" s="7" t="s">
        <v>1642</v>
      </c>
      <c r="AI606" s="7" t="s">
        <v>1642</v>
      </c>
      <c r="AK606" s="7">
        <v>165</v>
      </c>
      <c r="AN606" s="7">
        <v>165</v>
      </c>
      <c r="AR606" s="7" t="s">
        <v>2756</v>
      </c>
      <c r="AS606" s="7" t="s">
        <v>2757</v>
      </c>
      <c r="AT606" s="7" t="s">
        <v>1640</v>
      </c>
      <c r="AU606" s="7" t="s">
        <v>178</v>
      </c>
      <c r="AV606" s="7" t="s">
        <v>1641</v>
      </c>
      <c r="AW606" s="7" t="s">
        <v>1687</v>
      </c>
      <c r="AX606" s="7" t="s">
        <v>2755</v>
      </c>
      <c r="AY606" s="7" t="s">
        <v>1695</v>
      </c>
      <c r="AZ606" s="7" t="s">
        <v>1650</v>
      </c>
      <c r="BA606" s="7">
        <v>354</v>
      </c>
      <c r="BB606" s="7">
        <v>346</v>
      </c>
      <c r="BC606" s="7" t="s">
        <v>2758</v>
      </c>
      <c r="BD606" s="7">
        <v>55.836599999999997</v>
      </c>
      <c r="BF606" s="7">
        <f>57.0623-BD606</f>
        <v>1.2257000000000033</v>
      </c>
      <c r="BG606" s="7" t="s">
        <v>2762</v>
      </c>
      <c r="BH606" s="7">
        <v>59.922199999999997</v>
      </c>
      <c r="BJ606" s="7">
        <f>61.284-BH606</f>
        <v>1.3618000000000023</v>
      </c>
      <c r="BL606" s="9"/>
    </row>
    <row r="607" spans="1:64" x14ac:dyDescent="0.2">
      <c r="A607" s="7">
        <v>131</v>
      </c>
      <c r="B607" s="7" t="s">
        <v>738</v>
      </c>
      <c r="C607" s="7" t="s">
        <v>737</v>
      </c>
      <c r="D607" s="7" t="s">
        <v>736</v>
      </c>
      <c r="E607" s="7" t="s">
        <v>735</v>
      </c>
      <c r="F607" s="7" t="s">
        <v>558</v>
      </c>
      <c r="G607" s="7">
        <v>2003</v>
      </c>
      <c r="H607" s="7">
        <v>37847</v>
      </c>
      <c r="I607" s="7" t="s">
        <v>32</v>
      </c>
      <c r="J607" s="7" t="s">
        <v>32</v>
      </c>
      <c r="K607" s="7" t="s">
        <v>734</v>
      </c>
      <c r="L607" s="7">
        <v>2</v>
      </c>
      <c r="M607" s="7" t="s">
        <v>32</v>
      </c>
      <c r="N607" s="7" t="s">
        <v>34</v>
      </c>
      <c r="O607" s="7" t="s">
        <v>190</v>
      </c>
      <c r="P607" s="7" t="s">
        <v>34</v>
      </c>
      <c r="Q607" s="7" t="s">
        <v>34</v>
      </c>
      <c r="R607" s="7" t="s">
        <v>34</v>
      </c>
      <c r="S607" s="7" t="s">
        <v>34</v>
      </c>
      <c r="T607" s="7" t="s">
        <v>34</v>
      </c>
      <c r="U607" s="7" t="s">
        <v>32</v>
      </c>
      <c r="V607" s="7">
        <v>1</v>
      </c>
      <c r="W607" s="7" t="s">
        <v>32</v>
      </c>
      <c r="X607" s="7" t="s">
        <v>32</v>
      </c>
      <c r="Y607" s="7" t="s">
        <v>733</v>
      </c>
      <c r="Z607" s="7" t="s">
        <v>32</v>
      </c>
      <c r="AA607" s="7">
        <v>12914970</v>
      </c>
      <c r="AB607" s="7">
        <v>1</v>
      </c>
      <c r="AD607" s="7">
        <v>4</v>
      </c>
      <c r="AE607" s="24">
        <v>20</v>
      </c>
      <c r="AF607" s="7">
        <v>10</v>
      </c>
      <c r="AG607" s="7">
        <v>10</v>
      </c>
      <c r="AH607" s="7" t="s">
        <v>1642</v>
      </c>
      <c r="AI607" s="7" t="s">
        <v>1642</v>
      </c>
      <c r="AK607" s="7">
        <v>165</v>
      </c>
      <c r="AN607" s="7">
        <v>165</v>
      </c>
      <c r="AR607" s="7" t="s">
        <v>2756</v>
      </c>
      <c r="AS607" s="7" t="s">
        <v>2757</v>
      </c>
      <c r="AT607" s="7" t="s">
        <v>1640</v>
      </c>
      <c r="AU607" s="7" t="s">
        <v>178</v>
      </c>
      <c r="AV607" s="7" t="s">
        <v>1641</v>
      </c>
      <c r="AW607" s="7" t="s">
        <v>1687</v>
      </c>
      <c r="AX607" s="7" t="s">
        <v>2755</v>
      </c>
      <c r="AY607" s="7" t="s">
        <v>1695</v>
      </c>
      <c r="AZ607" s="7" t="s">
        <v>1650</v>
      </c>
      <c r="BA607" s="7">
        <v>354</v>
      </c>
      <c r="BB607" s="7">
        <v>346</v>
      </c>
      <c r="BC607" s="7" t="s">
        <v>2759</v>
      </c>
      <c r="BD607" s="7">
        <v>36.498100000000001</v>
      </c>
      <c r="BF607" s="7">
        <f>40.7198-BD607</f>
        <v>4.2216999999999985</v>
      </c>
      <c r="BG607" s="7" t="s">
        <v>2763</v>
      </c>
      <c r="BH607" s="7">
        <v>23.424099999999999</v>
      </c>
      <c r="BJ607" s="7">
        <f>29.5525-BH607</f>
        <v>6.1283999999999992</v>
      </c>
      <c r="BL607" s="9"/>
    </row>
    <row r="608" spans="1:64" x14ac:dyDescent="0.2">
      <c r="A608" s="7">
        <v>131</v>
      </c>
      <c r="B608" s="7" t="s">
        <v>738</v>
      </c>
      <c r="C608" s="7" t="s">
        <v>737</v>
      </c>
      <c r="D608" s="7" t="s">
        <v>736</v>
      </c>
      <c r="E608" s="7" t="s">
        <v>735</v>
      </c>
      <c r="F608" s="7" t="s">
        <v>558</v>
      </c>
      <c r="G608" s="7">
        <v>2003</v>
      </c>
      <c r="H608" s="7">
        <v>37847</v>
      </c>
      <c r="I608" s="7" t="s">
        <v>32</v>
      </c>
      <c r="J608" s="7" t="s">
        <v>32</v>
      </c>
      <c r="K608" s="7" t="s">
        <v>734</v>
      </c>
      <c r="L608" s="7">
        <v>2</v>
      </c>
      <c r="M608" s="7" t="s">
        <v>32</v>
      </c>
      <c r="N608" s="7" t="s">
        <v>34</v>
      </c>
      <c r="O608" s="7" t="s">
        <v>190</v>
      </c>
      <c r="P608" s="7" t="s">
        <v>34</v>
      </c>
      <c r="Q608" s="7" t="s">
        <v>34</v>
      </c>
      <c r="R608" s="7" t="s">
        <v>34</v>
      </c>
      <c r="S608" s="7" t="s">
        <v>34</v>
      </c>
      <c r="T608" s="7" t="s">
        <v>34</v>
      </c>
      <c r="U608" s="7" t="s">
        <v>32</v>
      </c>
      <c r="V608" s="7">
        <v>1</v>
      </c>
      <c r="W608" s="7" t="s">
        <v>32</v>
      </c>
      <c r="X608" s="7" t="s">
        <v>32</v>
      </c>
      <c r="Y608" s="7" t="s">
        <v>733</v>
      </c>
      <c r="Z608" s="7" t="s">
        <v>32</v>
      </c>
      <c r="AA608" s="7">
        <v>12914970</v>
      </c>
      <c r="AB608" s="7">
        <v>1</v>
      </c>
      <c r="AD608" s="7">
        <v>4</v>
      </c>
      <c r="AE608" s="24">
        <v>20</v>
      </c>
      <c r="AF608" s="7">
        <v>10</v>
      </c>
      <c r="AG608" s="7">
        <v>10</v>
      </c>
      <c r="AH608" s="7" t="s">
        <v>1642</v>
      </c>
      <c r="AI608" s="7" t="s">
        <v>1642</v>
      </c>
      <c r="AK608" s="7">
        <v>165</v>
      </c>
      <c r="AN608" s="7">
        <v>165</v>
      </c>
      <c r="AR608" s="7" t="s">
        <v>2756</v>
      </c>
      <c r="AS608" s="7" t="s">
        <v>2757</v>
      </c>
      <c r="AT608" s="7" t="s">
        <v>1640</v>
      </c>
      <c r="AU608" s="7" t="s">
        <v>178</v>
      </c>
      <c r="AV608" s="7" t="s">
        <v>1641</v>
      </c>
      <c r="AW608" s="7" t="s">
        <v>1687</v>
      </c>
      <c r="AX608" s="7" t="s">
        <v>2755</v>
      </c>
      <c r="AY608" s="7" t="s">
        <v>1695</v>
      </c>
      <c r="AZ608" s="7" t="s">
        <v>1650</v>
      </c>
      <c r="BA608" s="7">
        <v>354</v>
      </c>
      <c r="BB608" s="7">
        <v>346</v>
      </c>
      <c r="BC608" s="7" t="s">
        <v>2760</v>
      </c>
      <c r="BD608" s="7">
        <v>11.167299999999999</v>
      </c>
      <c r="BF608" s="7">
        <f>13.3463-BD608</f>
        <v>2.1790000000000003</v>
      </c>
      <c r="BG608" s="7" t="s">
        <v>2764</v>
      </c>
      <c r="BH608" s="7">
        <v>5.1750999999999996</v>
      </c>
      <c r="BJ608" s="7">
        <f>6.80934-BH608</f>
        <v>1.6342400000000001</v>
      </c>
      <c r="BL608" s="9"/>
    </row>
    <row r="609" spans="1:64" x14ac:dyDescent="0.2">
      <c r="A609" s="7">
        <v>131</v>
      </c>
      <c r="B609" s="7" t="s">
        <v>738</v>
      </c>
      <c r="C609" s="7" t="s">
        <v>737</v>
      </c>
      <c r="D609" s="7" t="s">
        <v>736</v>
      </c>
      <c r="E609" s="7" t="s">
        <v>735</v>
      </c>
      <c r="F609" s="7" t="s">
        <v>558</v>
      </c>
      <c r="G609" s="7">
        <v>2003</v>
      </c>
      <c r="H609" s="7">
        <v>37847</v>
      </c>
      <c r="I609" s="7" t="s">
        <v>32</v>
      </c>
      <c r="J609" s="7" t="s">
        <v>32</v>
      </c>
      <c r="K609" s="7" t="s">
        <v>734</v>
      </c>
      <c r="L609" s="7">
        <v>2</v>
      </c>
      <c r="M609" s="7" t="s">
        <v>32</v>
      </c>
      <c r="N609" s="7" t="s">
        <v>34</v>
      </c>
      <c r="O609" s="7" t="s">
        <v>190</v>
      </c>
      <c r="P609" s="7" t="s">
        <v>34</v>
      </c>
      <c r="Q609" s="7" t="s">
        <v>34</v>
      </c>
      <c r="R609" s="7" t="s">
        <v>34</v>
      </c>
      <c r="S609" s="7" t="s">
        <v>34</v>
      </c>
      <c r="T609" s="7" t="s">
        <v>34</v>
      </c>
      <c r="U609" s="7" t="s">
        <v>32</v>
      </c>
      <c r="V609" s="7">
        <v>1</v>
      </c>
      <c r="W609" s="7" t="s">
        <v>32</v>
      </c>
      <c r="X609" s="7" t="s">
        <v>32</v>
      </c>
      <c r="Y609" s="7" t="s">
        <v>733</v>
      </c>
      <c r="Z609" s="7" t="s">
        <v>32</v>
      </c>
      <c r="AA609" s="7">
        <v>12914970</v>
      </c>
      <c r="AB609" s="7">
        <v>1</v>
      </c>
      <c r="AD609" s="7">
        <v>4</v>
      </c>
      <c r="AE609" s="24">
        <v>20</v>
      </c>
      <c r="AF609" s="7">
        <v>10</v>
      </c>
      <c r="AG609" s="7">
        <v>10</v>
      </c>
      <c r="AH609" s="7" t="s">
        <v>1642</v>
      </c>
      <c r="AI609" s="7" t="s">
        <v>1642</v>
      </c>
      <c r="AK609" s="7">
        <v>165</v>
      </c>
      <c r="AN609" s="7">
        <v>165</v>
      </c>
      <c r="AR609" s="7" t="s">
        <v>2756</v>
      </c>
      <c r="AS609" s="7" t="s">
        <v>2757</v>
      </c>
      <c r="AT609" s="7" t="s">
        <v>1640</v>
      </c>
      <c r="AU609" s="7" t="s">
        <v>178</v>
      </c>
      <c r="AV609" s="7" t="s">
        <v>1641</v>
      </c>
      <c r="AW609" s="7" t="s">
        <v>1687</v>
      </c>
      <c r="AX609" s="7" t="s">
        <v>2755</v>
      </c>
      <c r="AY609" s="7" t="s">
        <v>2010</v>
      </c>
      <c r="AZ609" s="7" t="s">
        <v>1650</v>
      </c>
      <c r="BA609" s="7">
        <v>354</v>
      </c>
      <c r="BB609" s="7">
        <v>346</v>
      </c>
      <c r="BC609" s="7" t="s">
        <v>2761</v>
      </c>
      <c r="BD609" s="7">
        <v>34.9818</v>
      </c>
      <c r="BF609" s="7">
        <f>37.7042-BD609</f>
        <v>2.7224000000000004</v>
      </c>
      <c r="BG609" s="7" t="s">
        <v>2765</v>
      </c>
      <c r="BH609" s="7">
        <v>59.755000000000003</v>
      </c>
      <c r="BJ609" s="7">
        <f>61.9328-BH609</f>
        <v>2.1777999999999977</v>
      </c>
      <c r="BL609" s="9"/>
    </row>
    <row r="610" spans="1:64" x14ac:dyDescent="0.2">
      <c r="A610" s="7">
        <v>132</v>
      </c>
      <c r="B610" s="7" t="s">
        <v>732</v>
      </c>
      <c r="C610" s="7" t="s">
        <v>731</v>
      </c>
      <c r="D610" s="7" t="s">
        <v>730</v>
      </c>
      <c r="E610" s="7" t="s">
        <v>729</v>
      </c>
      <c r="F610" s="7" t="s">
        <v>468</v>
      </c>
      <c r="G610" s="7">
        <v>2003</v>
      </c>
      <c r="H610" s="7">
        <v>37700</v>
      </c>
      <c r="I610" s="7" t="s">
        <v>32</v>
      </c>
      <c r="J610" s="7" t="s">
        <v>32</v>
      </c>
      <c r="K610" s="7" t="s">
        <v>728</v>
      </c>
      <c r="L610" s="7">
        <v>2</v>
      </c>
      <c r="M610" s="7" t="s">
        <v>727</v>
      </c>
      <c r="N610" s="7" t="s">
        <v>34</v>
      </c>
      <c r="O610" s="7" t="s">
        <v>190</v>
      </c>
      <c r="P610" s="7" t="s">
        <v>34</v>
      </c>
      <c r="Q610" s="7" t="s">
        <v>34</v>
      </c>
      <c r="R610" s="7" t="s">
        <v>34</v>
      </c>
      <c r="S610" s="7" t="s">
        <v>34</v>
      </c>
      <c r="T610" s="7" t="s">
        <v>34</v>
      </c>
      <c r="U610" s="7" t="s">
        <v>32</v>
      </c>
      <c r="V610" s="7">
        <v>1</v>
      </c>
      <c r="W610" s="7" t="s">
        <v>34</v>
      </c>
      <c r="X610" s="7">
        <v>1</v>
      </c>
      <c r="Y610" s="7" t="s">
        <v>726</v>
      </c>
      <c r="Z610" s="7" t="s">
        <v>32</v>
      </c>
      <c r="AA610" s="7">
        <v>12644351</v>
      </c>
      <c r="AB610" s="7">
        <v>1</v>
      </c>
      <c r="AD610" s="7">
        <v>4</v>
      </c>
      <c r="AE610" s="24">
        <v>75</v>
      </c>
      <c r="AF610" s="7">
        <v>38</v>
      </c>
      <c r="AG610" s="7">
        <v>37</v>
      </c>
      <c r="AH610" s="7" t="s">
        <v>1642</v>
      </c>
      <c r="AI610" s="7" t="s">
        <v>1642</v>
      </c>
      <c r="AK610" s="7">
        <v>175</v>
      </c>
      <c r="AN610" s="7">
        <v>175</v>
      </c>
      <c r="AR610" s="7" t="s">
        <v>1675</v>
      </c>
      <c r="AS610" s="7" t="s">
        <v>1667</v>
      </c>
      <c r="AT610" s="7" t="s">
        <v>1640</v>
      </c>
      <c r="AU610" s="7" t="s">
        <v>178</v>
      </c>
      <c r="AV610" s="7" t="s">
        <v>1641</v>
      </c>
      <c r="AW610" s="7" t="s">
        <v>1687</v>
      </c>
      <c r="AX610" s="7" t="s">
        <v>2712</v>
      </c>
      <c r="AY610" s="7" t="s">
        <v>1695</v>
      </c>
      <c r="AZ610" s="7" t="s">
        <v>1769</v>
      </c>
      <c r="BA610" s="7">
        <v>355</v>
      </c>
      <c r="BB610" s="7">
        <v>347</v>
      </c>
      <c r="BC610" s="7" t="s">
        <v>2718</v>
      </c>
      <c r="BD610" s="7">
        <v>114.2</v>
      </c>
      <c r="BF610" s="7">
        <v>3</v>
      </c>
      <c r="BG610" s="7" t="s">
        <v>2735</v>
      </c>
      <c r="BH610" s="7">
        <v>108.4</v>
      </c>
      <c r="BJ610" s="7">
        <v>3.5</v>
      </c>
      <c r="BK610" s="9" t="s">
        <v>2766</v>
      </c>
      <c r="BL610" s="9"/>
    </row>
    <row r="611" spans="1:64" x14ac:dyDescent="0.2">
      <c r="A611" s="7">
        <v>132</v>
      </c>
      <c r="B611" s="7" t="s">
        <v>732</v>
      </c>
      <c r="C611" s="7" t="s">
        <v>731</v>
      </c>
      <c r="D611" s="7" t="s">
        <v>730</v>
      </c>
      <c r="E611" s="7" t="s">
        <v>729</v>
      </c>
      <c r="F611" s="7" t="s">
        <v>468</v>
      </c>
      <c r="G611" s="7">
        <v>2003</v>
      </c>
      <c r="H611" s="7">
        <v>37700</v>
      </c>
      <c r="I611" s="7" t="s">
        <v>32</v>
      </c>
      <c r="J611" s="7" t="s">
        <v>32</v>
      </c>
      <c r="K611" s="7" t="s">
        <v>728</v>
      </c>
      <c r="L611" s="7">
        <v>2</v>
      </c>
      <c r="M611" s="7" t="s">
        <v>727</v>
      </c>
      <c r="N611" s="7" t="s">
        <v>34</v>
      </c>
      <c r="O611" s="7" t="s">
        <v>190</v>
      </c>
      <c r="P611" s="7" t="s">
        <v>34</v>
      </c>
      <c r="Q611" s="7" t="s">
        <v>34</v>
      </c>
      <c r="R611" s="7" t="s">
        <v>34</v>
      </c>
      <c r="S611" s="7" t="s">
        <v>34</v>
      </c>
      <c r="T611" s="7" t="s">
        <v>34</v>
      </c>
      <c r="U611" s="7" t="s">
        <v>32</v>
      </c>
      <c r="V611" s="7">
        <v>1</v>
      </c>
      <c r="W611" s="7" t="s">
        <v>34</v>
      </c>
      <c r="X611" s="7">
        <v>1</v>
      </c>
      <c r="Y611" s="7" t="s">
        <v>726</v>
      </c>
      <c r="Z611" s="7" t="s">
        <v>32</v>
      </c>
      <c r="AA611" s="7">
        <v>12644351</v>
      </c>
      <c r="AB611" s="7">
        <v>1</v>
      </c>
      <c r="AD611" s="7">
        <v>4</v>
      </c>
      <c r="AE611" s="24">
        <v>75</v>
      </c>
      <c r="AF611" s="7">
        <v>38</v>
      </c>
      <c r="AG611" s="7">
        <v>37</v>
      </c>
      <c r="AH611" s="7" t="s">
        <v>1642</v>
      </c>
      <c r="AI611" s="7" t="s">
        <v>1642</v>
      </c>
      <c r="AK611" s="7">
        <v>175</v>
      </c>
      <c r="AN611" s="7">
        <v>175</v>
      </c>
      <c r="AR611" s="7" t="s">
        <v>1675</v>
      </c>
      <c r="AS611" s="7" t="s">
        <v>1667</v>
      </c>
      <c r="AT611" s="7" t="s">
        <v>1640</v>
      </c>
      <c r="AU611" s="7" t="s">
        <v>178</v>
      </c>
      <c r="AV611" s="7" t="s">
        <v>1641</v>
      </c>
      <c r="AW611" s="7" t="s">
        <v>1687</v>
      </c>
      <c r="AX611" s="7" t="s">
        <v>2712</v>
      </c>
      <c r="AY611" s="7" t="s">
        <v>1695</v>
      </c>
      <c r="AZ611" s="7" t="s">
        <v>1769</v>
      </c>
      <c r="BA611" s="7">
        <v>355</v>
      </c>
      <c r="BB611" s="7">
        <v>347</v>
      </c>
      <c r="BC611" s="7" t="s">
        <v>2719</v>
      </c>
      <c r="BD611" s="7">
        <v>94.2</v>
      </c>
      <c r="BF611" s="7">
        <v>5.2</v>
      </c>
      <c r="BG611" s="7" t="s">
        <v>2736</v>
      </c>
      <c r="BH611" s="7">
        <v>87.4</v>
      </c>
      <c r="BJ611" s="7">
        <v>6.3</v>
      </c>
      <c r="BL611" s="9"/>
    </row>
    <row r="612" spans="1:64" x14ac:dyDescent="0.2">
      <c r="A612" s="7">
        <v>132</v>
      </c>
      <c r="B612" s="7" t="s">
        <v>732</v>
      </c>
      <c r="C612" s="7" t="s">
        <v>731</v>
      </c>
      <c r="D612" s="7" t="s">
        <v>730</v>
      </c>
      <c r="E612" s="7" t="s">
        <v>729</v>
      </c>
      <c r="F612" s="7" t="s">
        <v>468</v>
      </c>
      <c r="G612" s="7">
        <v>2003</v>
      </c>
      <c r="H612" s="7">
        <v>37700</v>
      </c>
      <c r="I612" s="7" t="s">
        <v>32</v>
      </c>
      <c r="J612" s="7" t="s">
        <v>32</v>
      </c>
      <c r="K612" s="7" t="s">
        <v>728</v>
      </c>
      <c r="L612" s="7">
        <v>2</v>
      </c>
      <c r="M612" s="7" t="s">
        <v>727</v>
      </c>
      <c r="N612" s="7" t="s">
        <v>34</v>
      </c>
      <c r="O612" s="7" t="s">
        <v>190</v>
      </c>
      <c r="P612" s="7" t="s">
        <v>34</v>
      </c>
      <c r="Q612" s="7" t="s">
        <v>34</v>
      </c>
      <c r="R612" s="7" t="s">
        <v>34</v>
      </c>
      <c r="S612" s="7" t="s">
        <v>34</v>
      </c>
      <c r="T612" s="7" t="s">
        <v>34</v>
      </c>
      <c r="U612" s="7" t="s">
        <v>32</v>
      </c>
      <c r="V612" s="7">
        <v>1</v>
      </c>
      <c r="W612" s="7" t="s">
        <v>34</v>
      </c>
      <c r="X612" s="7">
        <v>1</v>
      </c>
      <c r="Y612" s="7" t="s">
        <v>726</v>
      </c>
      <c r="Z612" s="7" t="s">
        <v>32</v>
      </c>
      <c r="AA612" s="7">
        <v>12644351</v>
      </c>
      <c r="AB612" s="7">
        <v>1</v>
      </c>
      <c r="AD612" s="7">
        <v>4</v>
      </c>
      <c r="AE612" s="24">
        <v>75</v>
      </c>
      <c r="AF612" s="7">
        <v>38</v>
      </c>
      <c r="AG612" s="7">
        <v>37</v>
      </c>
      <c r="AH612" s="7" t="s">
        <v>1642</v>
      </c>
      <c r="AI612" s="7" t="s">
        <v>1642</v>
      </c>
      <c r="AK612" s="7">
        <v>175</v>
      </c>
      <c r="AN612" s="7">
        <v>175</v>
      </c>
      <c r="AR612" s="7" t="s">
        <v>1675</v>
      </c>
      <c r="AS612" s="7" t="s">
        <v>1667</v>
      </c>
      <c r="AT612" s="7" t="s">
        <v>1640</v>
      </c>
      <c r="AU612" s="7" t="s">
        <v>178</v>
      </c>
      <c r="AV612" s="7" t="s">
        <v>1641</v>
      </c>
      <c r="AW612" s="7" t="s">
        <v>1687</v>
      </c>
      <c r="AX612" s="7" t="s">
        <v>2712</v>
      </c>
      <c r="AY612" s="7" t="s">
        <v>1695</v>
      </c>
      <c r="AZ612" s="7" t="s">
        <v>1769</v>
      </c>
      <c r="BA612" s="7">
        <v>355</v>
      </c>
      <c r="BB612" s="7">
        <v>347</v>
      </c>
      <c r="BC612" s="7" t="s">
        <v>2720</v>
      </c>
      <c r="BD612" s="7">
        <v>81.2</v>
      </c>
      <c r="BF612" s="7">
        <v>6.2</v>
      </c>
      <c r="BG612" s="7" t="s">
        <v>2737</v>
      </c>
      <c r="BH612" s="7">
        <v>70.7</v>
      </c>
      <c r="BJ612" s="7">
        <v>6.1</v>
      </c>
      <c r="BL612" s="9"/>
    </row>
    <row r="613" spans="1:64" x14ac:dyDescent="0.2">
      <c r="A613" s="7">
        <v>132</v>
      </c>
      <c r="B613" s="7" t="s">
        <v>732</v>
      </c>
      <c r="C613" s="7" t="s">
        <v>731</v>
      </c>
      <c r="D613" s="7" t="s">
        <v>730</v>
      </c>
      <c r="E613" s="7" t="s">
        <v>729</v>
      </c>
      <c r="F613" s="7" t="s">
        <v>468</v>
      </c>
      <c r="G613" s="7">
        <v>2003</v>
      </c>
      <c r="H613" s="7">
        <v>37700</v>
      </c>
      <c r="I613" s="7" t="s">
        <v>32</v>
      </c>
      <c r="J613" s="7" t="s">
        <v>32</v>
      </c>
      <c r="K613" s="7" t="s">
        <v>728</v>
      </c>
      <c r="L613" s="7">
        <v>2</v>
      </c>
      <c r="M613" s="7" t="s">
        <v>727</v>
      </c>
      <c r="N613" s="7" t="s">
        <v>34</v>
      </c>
      <c r="O613" s="7" t="s">
        <v>190</v>
      </c>
      <c r="P613" s="7" t="s">
        <v>34</v>
      </c>
      <c r="Q613" s="7" t="s">
        <v>34</v>
      </c>
      <c r="R613" s="7" t="s">
        <v>34</v>
      </c>
      <c r="S613" s="7" t="s">
        <v>34</v>
      </c>
      <c r="T613" s="7" t="s">
        <v>34</v>
      </c>
      <c r="U613" s="7" t="s">
        <v>32</v>
      </c>
      <c r="V613" s="7">
        <v>1</v>
      </c>
      <c r="W613" s="7" t="s">
        <v>34</v>
      </c>
      <c r="X613" s="7">
        <v>1</v>
      </c>
      <c r="Y613" s="7" t="s">
        <v>726</v>
      </c>
      <c r="Z613" s="7" t="s">
        <v>32</v>
      </c>
      <c r="AA613" s="7">
        <v>12644351</v>
      </c>
      <c r="AB613" s="7">
        <v>1</v>
      </c>
      <c r="AD613" s="7">
        <v>4</v>
      </c>
      <c r="AE613" s="24">
        <v>75</v>
      </c>
      <c r="AF613" s="7">
        <v>38</v>
      </c>
      <c r="AG613" s="7">
        <v>37</v>
      </c>
      <c r="AH613" s="7" t="s">
        <v>1642</v>
      </c>
      <c r="AI613" s="7" t="s">
        <v>1642</v>
      </c>
      <c r="AK613" s="7">
        <v>175</v>
      </c>
      <c r="AN613" s="7">
        <v>175</v>
      </c>
      <c r="AR613" s="7" t="s">
        <v>1675</v>
      </c>
      <c r="AS613" s="7" t="s">
        <v>1667</v>
      </c>
      <c r="AT613" s="7" t="s">
        <v>1640</v>
      </c>
      <c r="AU613" s="7" t="s">
        <v>178</v>
      </c>
      <c r="AV613" s="7" t="s">
        <v>1641</v>
      </c>
      <c r="AW613" s="7" t="s">
        <v>1687</v>
      </c>
      <c r="AX613" s="7" t="s">
        <v>2712</v>
      </c>
      <c r="AY613" s="7" t="s">
        <v>1695</v>
      </c>
      <c r="AZ613" s="7" t="s">
        <v>1769</v>
      </c>
      <c r="BA613" s="7">
        <v>355</v>
      </c>
      <c r="BB613" s="7">
        <v>347</v>
      </c>
      <c r="BC613" s="7" t="s">
        <v>2721</v>
      </c>
      <c r="BD613" s="7">
        <v>72.2</v>
      </c>
      <c r="BF613" s="7">
        <v>6.3</v>
      </c>
      <c r="BG613" s="7" t="s">
        <v>2738</v>
      </c>
      <c r="BH613" s="7">
        <v>62.7</v>
      </c>
      <c r="BJ613" s="7">
        <v>6.4</v>
      </c>
      <c r="BL613" s="9"/>
    </row>
    <row r="614" spans="1:64" x14ac:dyDescent="0.2">
      <c r="A614" s="7">
        <v>132</v>
      </c>
      <c r="B614" s="7" t="s">
        <v>732</v>
      </c>
      <c r="C614" s="7" t="s">
        <v>731</v>
      </c>
      <c r="D614" s="7" t="s">
        <v>730</v>
      </c>
      <c r="E614" s="7" t="s">
        <v>729</v>
      </c>
      <c r="F614" s="7" t="s">
        <v>468</v>
      </c>
      <c r="G614" s="7">
        <v>2003</v>
      </c>
      <c r="H614" s="7">
        <v>37700</v>
      </c>
      <c r="I614" s="7" t="s">
        <v>32</v>
      </c>
      <c r="J614" s="7" t="s">
        <v>32</v>
      </c>
      <c r="K614" s="7" t="s">
        <v>728</v>
      </c>
      <c r="L614" s="7">
        <v>2</v>
      </c>
      <c r="M614" s="7" t="s">
        <v>727</v>
      </c>
      <c r="N614" s="7" t="s">
        <v>34</v>
      </c>
      <c r="O614" s="7" t="s">
        <v>190</v>
      </c>
      <c r="P614" s="7" t="s">
        <v>34</v>
      </c>
      <c r="Q614" s="7" t="s">
        <v>34</v>
      </c>
      <c r="R614" s="7" t="s">
        <v>34</v>
      </c>
      <c r="S614" s="7" t="s">
        <v>34</v>
      </c>
      <c r="T614" s="7" t="s">
        <v>34</v>
      </c>
      <c r="U614" s="7" t="s">
        <v>32</v>
      </c>
      <c r="V614" s="7">
        <v>1</v>
      </c>
      <c r="W614" s="7" t="s">
        <v>34</v>
      </c>
      <c r="X614" s="7">
        <v>1</v>
      </c>
      <c r="Y614" s="7" t="s">
        <v>726</v>
      </c>
      <c r="Z614" s="7" t="s">
        <v>32</v>
      </c>
      <c r="AA614" s="7">
        <v>12644351</v>
      </c>
      <c r="AB614" s="7">
        <v>1</v>
      </c>
      <c r="AD614" s="7">
        <v>4</v>
      </c>
      <c r="AE614" s="24">
        <v>75</v>
      </c>
      <c r="AF614" s="7">
        <v>38</v>
      </c>
      <c r="AG614" s="7">
        <v>37</v>
      </c>
      <c r="AH614" s="7" t="s">
        <v>1642</v>
      </c>
      <c r="AI614" s="7" t="s">
        <v>1642</v>
      </c>
      <c r="AK614" s="7">
        <v>175</v>
      </c>
      <c r="AN614" s="7">
        <v>175</v>
      </c>
      <c r="AR614" s="7" t="s">
        <v>1675</v>
      </c>
      <c r="AS614" s="7" t="s">
        <v>1667</v>
      </c>
      <c r="AT614" s="7" t="s">
        <v>1640</v>
      </c>
      <c r="AU614" s="7" t="s">
        <v>178</v>
      </c>
      <c r="AV614" s="7" t="s">
        <v>1653</v>
      </c>
      <c r="AW614" s="7" t="s">
        <v>1687</v>
      </c>
      <c r="AX614" s="7" t="s">
        <v>2712</v>
      </c>
      <c r="AY614" s="7" t="s">
        <v>1695</v>
      </c>
      <c r="AZ614" s="7" t="s">
        <v>1769</v>
      </c>
      <c r="BA614" s="7">
        <v>355</v>
      </c>
      <c r="BB614" s="7">
        <v>347</v>
      </c>
      <c r="BC614" s="7" t="s">
        <v>2722</v>
      </c>
      <c r="BD614" s="7">
        <v>74.3</v>
      </c>
      <c r="BF614" s="7">
        <v>5</v>
      </c>
      <c r="BG614" s="7" t="s">
        <v>2739</v>
      </c>
      <c r="BH614" s="7">
        <v>65.599999999999994</v>
      </c>
      <c r="BJ614" s="7">
        <v>6</v>
      </c>
      <c r="BL614" s="9"/>
    </row>
    <row r="615" spans="1:64" x14ac:dyDescent="0.2">
      <c r="A615" s="7">
        <v>132</v>
      </c>
      <c r="B615" s="7" t="s">
        <v>732</v>
      </c>
      <c r="C615" s="7" t="s">
        <v>731</v>
      </c>
      <c r="D615" s="7" t="s">
        <v>730</v>
      </c>
      <c r="E615" s="7" t="s">
        <v>729</v>
      </c>
      <c r="F615" s="7" t="s">
        <v>468</v>
      </c>
      <c r="G615" s="7">
        <v>2003</v>
      </c>
      <c r="H615" s="7">
        <v>37700</v>
      </c>
      <c r="I615" s="7" t="s">
        <v>32</v>
      </c>
      <c r="J615" s="7" t="s">
        <v>32</v>
      </c>
      <c r="K615" s="7" t="s">
        <v>728</v>
      </c>
      <c r="L615" s="7">
        <v>2</v>
      </c>
      <c r="M615" s="7" t="s">
        <v>727</v>
      </c>
      <c r="N615" s="7" t="s">
        <v>34</v>
      </c>
      <c r="O615" s="7" t="s">
        <v>190</v>
      </c>
      <c r="P615" s="7" t="s">
        <v>34</v>
      </c>
      <c r="Q615" s="7" t="s">
        <v>34</v>
      </c>
      <c r="R615" s="7" t="s">
        <v>34</v>
      </c>
      <c r="S615" s="7" t="s">
        <v>34</v>
      </c>
      <c r="T615" s="7" t="s">
        <v>34</v>
      </c>
      <c r="U615" s="7" t="s">
        <v>32</v>
      </c>
      <c r="V615" s="7">
        <v>1</v>
      </c>
      <c r="W615" s="7" t="s">
        <v>34</v>
      </c>
      <c r="X615" s="7">
        <v>1</v>
      </c>
      <c r="Y615" s="7" t="s">
        <v>726</v>
      </c>
      <c r="Z615" s="7" t="s">
        <v>32</v>
      </c>
      <c r="AA615" s="7">
        <v>12644351</v>
      </c>
      <c r="AB615" s="7">
        <v>1</v>
      </c>
      <c r="AD615" s="7">
        <v>4</v>
      </c>
      <c r="AE615" s="24">
        <v>75</v>
      </c>
      <c r="AF615" s="7">
        <v>38</v>
      </c>
      <c r="AG615" s="7">
        <v>37</v>
      </c>
      <c r="AH615" s="7" t="s">
        <v>1642</v>
      </c>
      <c r="AI615" s="7" t="s">
        <v>1642</v>
      </c>
      <c r="AK615" s="7">
        <v>175</v>
      </c>
      <c r="AN615" s="7">
        <v>175</v>
      </c>
      <c r="AR615" s="7" t="s">
        <v>1675</v>
      </c>
      <c r="AS615" s="7" t="s">
        <v>1667</v>
      </c>
      <c r="AT615" s="7" t="s">
        <v>1640</v>
      </c>
      <c r="AU615" s="7" t="s">
        <v>178</v>
      </c>
      <c r="AV615" s="7" t="s">
        <v>1653</v>
      </c>
      <c r="AW615" s="7" t="s">
        <v>1687</v>
      </c>
      <c r="AX615" s="7" t="s">
        <v>2712</v>
      </c>
      <c r="AY615" s="7" t="s">
        <v>1695</v>
      </c>
      <c r="AZ615" s="7" t="s">
        <v>1769</v>
      </c>
      <c r="BA615" s="7">
        <v>355</v>
      </c>
      <c r="BB615" s="7">
        <v>347</v>
      </c>
      <c r="BC615" s="7" t="s">
        <v>2723</v>
      </c>
      <c r="BD615" s="7">
        <v>57.2</v>
      </c>
      <c r="BF615" s="7">
        <v>5</v>
      </c>
      <c r="BG615" s="7" t="s">
        <v>2740</v>
      </c>
      <c r="BH615" s="7">
        <v>54.1</v>
      </c>
      <c r="BJ615" s="7">
        <v>5.0999999999999996</v>
      </c>
      <c r="BL615" s="9"/>
    </row>
    <row r="616" spans="1:64" x14ac:dyDescent="0.2">
      <c r="A616" s="7">
        <v>132</v>
      </c>
      <c r="B616" s="7" t="s">
        <v>732</v>
      </c>
      <c r="C616" s="7" t="s">
        <v>731</v>
      </c>
      <c r="D616" s="7" t="s">
        <v>730</v>
      </c>
      <c r="E616" s="7" t="s">
        <v>729</v>
      </c>
      <c r="F616" s="7" t="s">
        <v>468</v>
      </c>
      <c r="G616" s="7">
        <v>2003</v>
      </c>
      <c r="H616" s="7">
        <v>37700</v>
      </c>
      <c r="I616" s="7" t="s">
        <v>32</v>
      </c>
      <c r="J616" s="7" t="s">
        <v>32</v>
      </c>
      <c r="K616" s="7" t="s">
        <v>728</v>
      </c>
      <c r="L616" s="7">
        <v>2</v>
      </c>
      <c r="M616" s="7" t="s">
        <v>727</v>
      </c>
      <c r="N616" s="7" t="s">
        <v>34</v>
      </c>
      <c r="O616" s="7" t="s">
        <v>190</v>
      </c>
      <c r="P616" s="7" t="s">
        <v>34</v>
      </c>
      <c r="Q616" s="7" t="s">
        <v>34</v>
      </c>
      <c r="R616" s="7" t="s">
        <v>34</v>
      </c>
      <c r="S616" s="7" t="s">
        <v>34</v>
      </c>
      <c r="T616" s="7" t="s">
        <v>34</v>
      </c>
      <c r="U616" s="7" t="s">
        <v>32</v>
      </c>
      <c r="V616" s="7">
        <v>1</v>
      </c>
      <c r="W616" s="7" t="s">
        <v>34</v>
      </c>
      <c r="X616" s="7">
        <v>1</v>
      </c>
      <c r="Y616" s="7" t="s">
        <v>726</v>
      </c>
      <c r="Z616" s="7" t="s">
        <v>32</v>
      </c>
      <c r="AA616" s="7">
        <v>12644351</v>
      </c>
      <c r="AB616" s="7">
        <v>1</v>
      </c>
      <c r="AD616" s="7">
        <v>4</v>
      </c>
      <c r="AE616" s="24">
        <v>75</v>
      </c>
      <c r="AF616" s="7">
        <v>38</v>
      </c>
      <c r="AG616" s="7">
        <v>37</v>
      </c>
      <c r="AH616" s="7" t="s">
        <v>1642</v>
      </c>
      <c r="AI616" s="7" t="s">
        <v>1642</v>
      </c>
      <c r="AK616" s="7">
        <v>175</v>
      </c>
      <c r="AN616" s="7">
        <v>175</v>
      </c>
      <c r="AR616" s="7" t="s">
        <v>1675</v>
      </c>
      <c r="AS616" s="7" t="s">
        <v>1667</v>
      </c>
      <c r="AT616" s="7" t="s">
        <v>1640</v>
      </c>
      <c r="AU616" s="7" t="s">
        <v>178</v>
      </c>
      <c r="AV616" s="7" t="s">
        <v>1653</v>
      </c>
      <c r="AW616" s="7" t="s">
        <v>1687</v>
      </c>
      <c r="AX616" s="7" t="s">
        <v>2712</v>
      </c>
      <c r="AY616" s="7" t="s">
        <v>1695</v>
      </c>
      <c r="AZ616" s="7" t="s">
        <v>1769</v>
      </c>
      <c r="BA616" s="7">
        <v>355</v>
      </c>
      <c r="BB616" s="7">
        <v>347</v>
      </c>
      <c r="BC616" s="7" t="s">
        <v>2724</v>
      </c>
      <c r="BD616" s="7">
        <v>50.1</v>
      </c>
      <c r="BF616" s="7">
        <v>5.4</v>
      </c>
      <c r="BG616" s="7" t="s">
        <v>2741</v>
      </c>
      <c r="BH616" s="7">
        <v>36.200000000000003</v>
      </c>
      <c r="BJ616" s="7">
        <v>5.4</v>
      </c>
      <c r="BL616" s="9"/>
    </row>
    <row r="617" spans="1:64" x14ac:dyDescent="0.2">
      <c r="A617" s="7">
        <v>132</v>
      </c>
      <c r="B617" s="7" t="s">
        <v>732</v>
      </c>
      <c r="C617" s="7" t="s">
        <v>731</v>
      </c>
      <c r="D617" s="7" t="s">
        <v>730</v>
      </c>
      <c r="E617" s="7" t="s">
        <v>729</v>
      </c>
      <c r="F617" s="7" t="s">
        <v>468</v>
      </c>
      <c r="G617" s="7">
        <v>2003</v>
      </c>
      <c r="H617" s="7">
        <v>37700</v>
      </c>
      <c r="I617" s="7" t="s">
        <v>32</v>
      </c>
      <c r="J617" s="7" t="s">
        <v>32</v>
      </c>
      <c r="K617" s="7" t="s">
        <v>728</v>
      </c>
      <c r="L617" s="7">
        <v>2</v>
      </c>
      <c r="M617" s="7" t="s">
        <v>727</v>
      </c>
      <c r="N617" s="7" t="s">
        <v>34</v>
      </c>
      <c r="O617" s="7" t="s">
        <v>190</v>
      </c>
      <c r="P617" s="7" t="s">
        <v>34</v>
      </c>
      <c r="Q617" s="7" t="s">
        <v>34</v>
      </c>
      <c r="R617" s="7" t="s">
        <v>34</v>
      </c>
      <c r="S617" s="7" t="s">
        <v>34</v>
      </c>
      <c r="T617" s="7" t="s">
        <v>34</v>
      </c>
      <c r="U617" s="7" t="s">
        <v>32</v>
      </c>
      <c r="V617" s="7">
        <v>1</v>
      </c>
      <c r="W617" s="7" t="s">
        <v>34</v>
      </c>
      <c r="X617" s="7">
        <v>1</v>
      </c>
      <c r="Y617" s="7" t="s">
        <v>726</v>
      </c>
      <c r="Z617" s="7" t="s">
        <v>32</v>
      </c>
      <c r="AA617" s="7">
        <v>12644351</v>
      </c>
      <c r="AB617" s="7">
        <v>1</v>
      </c>
      <c r="AD617" s="7">
        <v>4</v>
      </c>
      <c r="AE617" s="24">
        <v>75</v>
      </c>
      <c r="AF617" s="7">
        <v>38</v>
      </c>
      <c r="AG617" s="7">
        <v>37</v>
      </c>
      <c r="AH617" s="7" t="s">
        <v>1642</v>
      </c>
      <c r="AI617" s="7" t="s">
        <v>1642</v>
      </c>
      <c r="AK617" s="7">
        <v>175</v>
      </c>
      <c r="AN617" s="7">
        <v>175</v>
      </c>
      <c r="AR617" s="7" t="s">
        <v>1675</v>
      </c>
      <c r="AS617" s="7" t="s">
        <v>1667</v>
      </c>
      <c r="AT617" s="7" t="s">
        <v>1640</v>
      </c>
      <c r="AU617" s="7" t="s">
        <v>178</v>
      </c>
      <c r="AV617" s="7" t="s">
        <v>1653</v>
      </c>
      <c r="AW617" s="7" t="s">
        <v>1687</v>
      </c>
      <c r="AX617" s="7" t="s">
        <v>2712</v>
      </c>
      <c r="AY617" s="7" t="s">
        <v>1695</v>
      </c>
      <c r="AZ617" s="7" t="s">
        <v>1769</v>
      </c>
      <c r="BA617" s="7">
        <v>355</v>
      </c>
      <c r="BB617" s="7">
        <v>347</v>
      </c>
      <c r="BC617" s="7" t="s">
        <v>2725</v>
      </c>
      <c r="BD617" s="7">
        <v>44.2</v>
      </c>
      <c r="BF617" s="7">
        <v>4.3</v>
      </c>
      <c r="BG617" s="7" t="s">
        <v>2742</v>
      </c>
      <c r="BH617" s="7">
        <v>39.299999999999997</v>
      </c>
      <c r="BJ617" s="7">
        <v>5.2</v>
      </c>
      <c r="BL617" s="9"/>
    </row>
    <row r="618" spans="1:64" x14ac:dyDescent="0.2">
      <c r="A618" s="7">
        <v>132</v>
      </c>
      <c r="B618" s="7" t="s">
        <v>732</v>
      </c>
      <c r="C618" s="7" t="s">
        <v>731</v>
      </c>
      <c r="D618" s="7" t="s">
        <v>730</v>
      </c>
      <c r="E618" s="7" t="s">
        <v>729</v>
      </c>
      <c r="F618" s="7" t="s">
        <v>468</v>
      </c>
      <c r="G618" s="7">
        <v>2003</v>
      </c>
      <c r="H618" s="7">
        <v>37700</v>
      </c>
      <c r="I618" s="7" t="s">
        <v>32</v>
      </c>
      <c r="J618" s="7" t="s">
        <v>32</v>
      </c>
      <c r="K618" s="7" t="s">
        <v>728</v>
      </c>
      <c r="L618" s="7">
        <v>2</v>
      </c>
      <c r="M618" s="7" t="s">
        <v>727</v>
      </c>
      <c r="N618" s="7" t="s">
        <v>34</v>
      </c>
      <c r="O618" s="7" t="s">
        <v>190</v>
      </c>
      <c r="P618" s="7" t="s">
        <v>34</v>
      </c>
      <c r="Q618" s="7" t="s">
        <v>34</v>
      </c>
      <c r="R618" s="7" t="s">
        <v>34</v>
      </c>
      <c r="S618" s="7" t="s">
        <v>34</v>
      </c>
      <c r="T618" s="7" t="s">
        <v>34</v>
      </c>
      <c r="U618" s="7" t="s">
        <v>32</v>
      </c>
      <c r="V618" s="7">
        <v>1</v>
      </c>
      <c r="W618" s="7" t="s">
        <v>34</v>
      </c>
      <c r="X618" s="7">
        <v>1</v>
      </c>
      <c r="Y618" s="7" t="s">
        <v>726</v>
      </c>
      <c r="Z618" s="7" t="s">
        <v>32</v>
      </c>
      <c r="AA618" s="7">
        <v>12644351</v>
      </c>
      <c r="AB618" s="7">
        <v>1</v>
      </c>
      <c r="AD618" s="7">
        <v>4</v>
      </c>
      <c r="AE618" s="24">
        <v>75</v>
      </c>
      <c r="AF618" s="7">
        <v>38</v>
      </c>
      <c r="AG618" s="7">
        <v>37</v>
      </c>
      <c r="AH618" s="7" t="s">
        <v>1642</v>
      </c>
      <c r="AI618" s="7" t="s">
        <v>1642</v>
      </c>
      <c r="AK618" s="7">
        <v>175</v>
      </c>
      <c r="AN618" s="7">
        <v>175</v>
      </c>
      <c r="AR618" s="7" t="s">
        <v>1675</v>
      </c>
      <c r="AS618" s="7" t="s">
        <v>1667</v>
      </c>
      <c r="AT618" s="7" t="s">
        <v>1640</v>
      </c>
      <c r="AU618" s="7" t="s">
        <v>178</v>
      </c>
      <c r="AV618" s="7" t="s">
        <v>2095</v>
      </c>
      <c r="AW618" s="7" t="s">
        <v>1687</v>
      </c>
      <c r="AX618" s="7" t="s">
        <v>2712</v>
      </c>
      <c r="AY618" s="7" t="s">
        <v>1695</v>
      </c>
      <c r="AZ618" s="7" t="s">
        <v>1769</v>
      </c>
      <c r="BA618" s="7">
        <v>355</v>
      </c>
      <c r="BB618" s="7">
        <v>347</v>
      </c>
      <c r="BC618" s="7" t="s">
        <v>2726</v>
      </c>
      <c r="BD618" s="7">
        <v>55.9</v>
      </c>
      <c r="BF618" s="7">
        <v>5.6</v>
      </c>
      <c r="BG618" s="7" t="s">
        <v>2743</v>
      </c>
      <c r="BH618" s="7">
        <v>49.2</v>
      </c>
      <c r="BJ618" s="19">
        <v>4.8</v>
      </c>
      <c r="BL618" s="9"/>
    </row>
    <row r="619" spans="1:64" x14ac:dyDescent="0.2">
      <c r="A619" s="7">
        <v>132</v>
      </c>
      <c r="B619" s="7" t="s">
        <v>732</v>
      </c>
      <c r="C619" s="7" t="s">
        <v>731</v>
      </c>
      <c r="D619" s="7" t="s">
        <v>730</v>
      </c>
      <c r="E619" s="7" t="s">
        <v>729</v>
      </c>
      <c r="F619" s="7" t="s">
        <v>468</v>
      </c>
      <c r="G619" s="7">
        <v>2003</v>
      </c>
      <c r="H619" s="7">
        <v>37700</v>
      </c>
      <c r="I619" s="7" t="s">
        <v>32</v>
      </c>
      <c r="J619" s="7" t="s">
        <v>32</v>
      </c>
      <c r="K619" s="7" t="s">
        <v>728</v>
      </c>
      <c r="L619" s="7">
        <v>2</v>
      </c>
      <c r="M619" s="7" t="s">
        <v>727</v>
      </c>
      <c r="N619" s="7" t="s">
        <v>34</v>
      </c>
      <c r="O619" s="7" t="s">
        <v>190</v>
      </c>
      <c r="P619" s="7" t="s">
        <v>34</v>
      </c>
      <c r="Q619" s="7" t="s">
        <v>34</v>
      </c>
      <c r="R619" s="7" t="s">
        <v>34</v>
      </c>
      <c r="S619" s="7" t="s">
        <v>34</v>
      </c>
      <c r="T619" s="7" t="s">
        <v>34</v>
      </c>
      <c r="U619" s="7" t="s">
        <v>32</v>
      </c>
      <c r="V619" s="7">
        <v>1</v>
      </c>
      <c r="W619" s="7" t="s">
        <v>34</v>
      </c>
      <c r="X619" s="7">
        <v>1</v>
      </c>
      <c r="Y619" s="7" t="s">
        <v>726</v>
      </c>
      <c r="Z619" s="7" t="s">
        <v>32</v>
      </c>
      <c r="AA619" s="7">
        <v>12644351</v>
      </c>
      <c r="AB619" s="7">
        <v>1</v>
      </c>
      <c r="AD619" s="7">
        <v>4</v>
      </c>
      <c r="AE619" s="24">
        <v>75</v>
      </c>
      <c r="AF619" s="7">
        <v>38</v>
      </c>
      <c r="AG619" s="7">
        <v>37</v>
      </c>
      <c r="AH619" s="7" t="s">
        <v>1642</v>
      </c>
      <c r="AI619" s="7" t="s">
        <v>1642</v>
      </c>
      <c r="AK619" s="7">
        <v>175</v>
      </c>
      <c r="AN619" s="7">
        <v>175</v>
      </c>
      <c r="AR619" s="7" t="s">
        <v>1675</v>
      </c>
      <c r="AS619" s="7" t="s">
        <v>1667</v>
      </c>
      <c r="AT619" s="7" t="s">
        <v>1640</v>
      </c>
      <c r="AU619" s="7" t="s">
        <v>178</v>
      </c>
      <c r="AV619" s="7" t="s">
        <v>2095</v>
      </c>
      <c r="AW619" s="7" t="s">
        <v>1687</v>
      </c>
      <c r="AX619" s="7" t="s">
        <v>2712</v>
      </c>
      <c r="AY619" s="7" t="s">
        <v>1695</v>
      </c>
      <c r="AZ619" s="7" t="s">
        <v>1769</v>
      </c>
      <c r="BA619" s="7">
        <v>355</v>
      </c>
      <c r="BB619" s="7">
        <v>347</v>
      </c>
      <c r="BC619" s="7" t="s">
        <v>2727</v>
      </c>
      <c r="BD619" s="7">
        <v>45.6</v>
      </c>
      <c r="BF619" s="7">
        <v>4.9000000000000004</v>
      </c>
      <c r="BG619" s="7" t="s">
        <v>2744</v>
      </c>
      <c r="BH619" s="7">
        <v>39.200000000000003</v>
      </c>
      <c r="BJ619" s="7">
        <v>4.7</v>
      </c>
    </row>
    <row r="620" spans="1:64" x14ac:dyDescent="0.2">
      <c r="A620" s="7">
        <v>132</v>
      </c>
      <c r="B620" s="7" t="s">
        <v>732</v>
      </c>
      <c r="C620" s="7" t="s">
        <v>731</v>
      </c>
      <c r="D620" s="7" t="s">
        <v>730</v>
      </c>
      <c r="E620" s="7" t="s">
        <v>729</v>
      </c>
      <c r="F620" s="7" t="s">
        <v>468</v>
      </c>
      <c r="G620" s="7">
        <v>2003</v>
      </c>
      <c r="H620" s="7">
        <v>37700</v>
      </c>
      <c r="I620" s="7" t="s">
        <v>32</v>
      </c>
      <c r="J620" s="7" t="s">
        <v>32</v>
      </c>
      <c r="K620" s="7" t="s">
        <v>728</v>
      </c>
      <c r="L620" s="7">
        <v>2</v>
      </c>
      <c r="M620" s="7" t="s">
        <v>727</v>
      </c>
      <c r="N620" s="7" t="s">
        <v>34</v>
      </c>
      <c r="O620" s="7" t="s">
        <v>190</v>
      </c>
      <c r="P620" s="7" t="s">
        <v>34</v>
      </c>
      <c r="Q620" s="7" t="s">
        <v>34</v>
      </c>
      <c r="R620" s="7" t="s">
        <v>34</v>
      </c>
      <c r="S620" s="7" t="s">
        <v>34</v>
      </c>
      <c r="T620" s="7" t="s">
        <v>34</v>
      </c>
      <c r="U620" s="7" t="s">
        <v>32</v>
      </c>
      <c r="V620" s="7">
        <v>1</v>
      </c>
      <c r="W620" s="7" t="s">
        <v>34</v>
      </c>
      <c r="X620" s="7">
        <v>1</v>
      </c>
      <c r="Y620" s="7" t="s">
        <v>726</v>
      </c>
      <c r="Z620" s="7" t="s">
        <v>32</v>
      </c>
      <c r="AA620" s="7">
        <v>12644351</v>
      </c>
      <c r="AB620" s="7">
        <v>1</v>
      </c>
      <c r="AD620" s="7">
        <v>4</v>
      </c>
      <c r="AE620" s="24">
        <v>75</v>
      </c>
      <c r="AF620" s="7">
        <v>38</v>
      </c>
      <c r="AG620" s="7">
        <v>37</v>
      </c>
      <c r="AH620" s="7" t="s">
        <v>1642</v>
      </c>
      <c r="AI620" s="7" t="s">
        <v>1642</v>
      </c>
      <c r="AK620" s="7">
        <v>175</v>
      </c>
      <c r="AN620" s="7">
        <v>175</v>
      </c>
      <c r="AR620" s="7" t="s">
        <v>1675</v>
      </c>
      <c r="AS620" s="7" t="s">
        <v>1667</v>
      </c>
      <c r="AT620" s="7" t="s">
        <v>1640</v>
      </c>
      <c r="AU620" s="7" t="s">
        <v>178</v>
      </c>
      <c r="AV620" s="7" t="s">
        <v>2095</v>
      </c>
      <c r="AW620" s="7" t="s">
        <v>1687</v>
      </c>
      <c r="AX620" s="7" t="s">
        <v>2712</v>
      </c>
      <c r="AY620" s="7" t="s">
        <v>1695</v>
      </c>
      <c r="AZ620" s="7" t="s">
        <v>1769</v>
      </c>
      <c r="BA620" s="7">
        <v>355</v>
      </c>
      <c r="BB620" s="7">
        <v>347</v>
      </c>
      <c r="BC620" s="7" t="s">
        <v>2728</v>
      </c>
      <c r="BD620" s="7">
        <v>32.299999999999997</v>
      </c>
      <c r="BF620" s="7">
        <v>4</v>
      </c>
      <c r="BG620" s="7" t="s">
        <v>2745</v>
      </c>
      <c r="BH620" s="7">
        <v>38.700000000000003</v>
      </c>
      <c r="BJ620" s="7">
        <v>3.9</v>
      </c>
    </row>
    <row r="621" spans="1:64" x14ac:dyDescent="0.2">
      <c r="A621" s="7">
        <v>132</v>
      </c>
      <c r="B621" s="7" t="s">
        <v>732</v>
      </c>
      <c r="C621" s="7" t="s">
        <v>731</v>
      </c>
      <c r="D621" s="7" t="s">
        <v>730</v>
      </c>
      <c r="E621" s="7" t="s">
        <v>729</v>
      </c>
      <c r="F621" s="7" t="s">
        <v>468</v>
      </c>
      <c r="G621" s="7">
        <v>2003</v>
      </c>
      <c r="H621" s="7">
        <v>37700</v>
      </c>
      <c r="I621" s="7" t="s">
        <v>32</v>
      </c>
      <c r="J621" s="7" t="s">
        <v>32</v>
      </c>
      <c r="K621" s="7" t="s">
        <v>728</v>
      </c>
      <c r="L621" s="7">
        <v>2</v>
      </c>
      <c r="M621" s="7" t="s">
        <v>727</v>
      </c>
      <c r="N621" s="7" t="s">
        <v>34</v>
      </c>
      <c r="O621" s="7" t="s">
        <v>190</v>
      </c>
      <c r="P621" s="7" t="s">
        <v>34</v>
      </c>
      <c r="Q621" s="7" t="s">
        <v>34</v>
      </c>
      <c r="R621" s="7" t="s">
        <v>34</v>
      </c>
      <c r="S621" s="7" t="s">
        <v>34</v>
      </c>
      <c r="T621" s="7" t="s">
        <v>34</v>
      </c>
      <c r="U621" s="7" t="s">
        <v>32</v>
      </c>
      <c r="V621" s="7">
        <v>1</v>
      </c>
      <c r="W621" s="7" t="s">
        <v>34</v>
      </c>
      <c r="X621" s="7">
        <v>1</v>
      </c>
      <c r="Y621" s="7" t="s">
        <v>726</v>
      </c>
      <c r="Z621" s="7" t="s">
        <v>32</v>
      </c>
      <c r="AA621" s="7">
        <v>12644351</v>
      </c>
      <c r="AB621" s="7">
        <v>1</v>
      </c>
      <c r="AD621" s="7">
        <v>4</v>
      </c>
      <c r="AE621" s="24">
        <v>75</v>
      </c>
      <c r="AF621" s="7">
        <v>38</v>
      </c>
      <c r="AG621" s="7">
        <v>37</v>
      </c>
      <c r="AH621" s="7" t="s">
        <v>1642</v>
      </c>
      <c r="AI621" s="7" t="s">
        <v>1642</v>
      </c>
      <c r="AK621" s="7">
        <v>175</v>
      </c>
      <c r="AN621" s="7">
        <v>175</v>
      </c>
      <c r="AR621" s="7" t="s">
        <v>1675</v>
      </c>
      <c r="AS621" s="7" t="s">
        <v>1667</v>
      </c>
      <c r="AT621" s="7" t="s">
        <v>1640</v>
      </c>
      <c r="AU621" s="7" t="s">
        <v>178</v>
      </c>
      <c r="AV621" s="7" t="s">
        <v>2095</v>
      </c>
      <c r="AW621" s="7" t="s">
        <v>1687</v>
      </c>
      <c r="AX621" s="7" t="s">
        <v>2712</v>
      </c>
      <c r="AY621" s="7" t="s">
        <v>1695</v>
      </c>
      <c r="AZ621" s="7" t="s">
        <v>1769</v>
      </c>
      <c r="BA621" s="7">
        <v>355</v>
      </c>
      <c r="BB621" s="7">
        <v>347</v>
      </c>
      <c r="BC621" s="7" t="s">
        <v>2729</v>
      </c>
      <c r="BD621" s="7">
        <v>33.1</v>
      </c>
      <c r="BF621" s="7">
        <v>4.3</v>
      </c>
      <c r="BG621" s="7" t="s">
        <v>2746</v>
      </c>
      <c r="BH621" s="7">
        <v>33.6</v>
      </c>
      <c r="BJ621" s="7">
        <v>3.7</v>
      </c>
    </row>
    <row r="622" spans="1:64" x14ac:dyDescent="0.2">
      <c r="A622" s="7">
        <v>132</v>
      </c>
      <c r="B622" s="7" t="s">
        <v>732</v>
      </c>
      <c r="C622" s="7" t="s">
        <v>731</v>
      </c>
      <c r="D622" s="7" t="s">
        <v>730</v>
      </c>
      <c r="E622" s="7" t="s">
        <v>729</v>
      </c>
      <c r="F622" s="7" t="s">
        <v>468</v>
      </c>
      <c r="G622" s="7">
        <v>2003</v>
      </c>
      <c r="H622" s="7">
        <v>37700</v>
      </c>
      <c r="I622" s="7" t="s">
        <v>32</v>
      </c>
      <c r="J622" s="7" t="s">
        <v>32</v>
      </c>
      <c r="K622" s="7" t="s">
        <v>728</v>
      </c>
      <c r="L622" s="7">
        <v>2</v>
      </c>
      <c r="M622" s="7" t="s">
        <v>727</v>
      </c>
      <c r="N622" s="7" t="s">
        <v>34</v>
      </c>
      <c r="O622" s="7" t="s">
        <v>190</v>
      </c>
      <c r="P622" s="7" t="s">
        <v>34</v>
      </c>
      <c r="Q622" s="7" t="s">
        <v>34</v>
      </c>
      <c r="R622" s="7" t="s">
        <v>34</v>
      </c>
      <c r="S622" s="7" t="s">
        <v>34</v>
      </c>
      <c r="T622" s="7" t="s">
        <v>34</v>
      </c>
      <c r="U622" s="7" t="s">
        <v>32</v>
      </c>
      <c r="V622" s="7">
        <v>1</v>
      </c>
      <c r="W622" s="7" t="s">
        <v>34</v>
      </c>
      <c r="X622" s="7">
        <v>1</v>
      </c>
      <c r="Y622" s="7" t="s">
        <v>726</v>
      </c>
      <c r="Z622" s="7" t="s">
        <v>32</v>
      </c>
      <c r="AA622" s="7">
        <v>12644351</v>
      </c>
      <c r="AB622" s="7">
        <v>1</v>
      </c>
      <c r="AD622" s="7">
        <v>4</v>
      </c>
      <c r="AE622" s="24">
        <v>75</v>
      </c>
      <c r="AF622" s="7">
        <v>38</v>
      </c>
      <c r="AG622" s="7">
        <v>37</v>
      </c>
      <c r="AH622" s="7" t="s">
        <v>1642</v>
      </c>
      <c r="AI622" s="7" t="s">
        <v>1642</v>
      </c>
      <c r="AK622" s="7">
        <v>175</v>
      </c>
      <c r="AN622" s="7">
        <v>175</v>
      </c>
      <c r="AR622" s="7" t="s">
        <v>1675</v>
      </c>
      <c r="AS622" s="7" t="s">
        <v>1667</v>
      </c>
      <c r="AT622" s="7" t="s">
        <v>1640</v>
      </c>
      <c r="AU622" s="7" t="s">
        <v>178</v>
      </c>
      <c r="AV622" s="7" t="s">
        <v>1718</v>
      </c>
      <c r="AW622" s="7" t="s">
        <v>1687</v>
      </c>
      <c r="AX622" s="7" t="s">
        <v>2712</v>
      </c>
      <c r="AY622" s="7" t="s">
        <v>1695</v>
      </c>
      <c r="AZ622" s="7" t="s">
        <v>1769</v>
      </c>
      <c r="BA622" s="7">
        <v>355</v>
      </c>
      <c r="BB622" s="7">
        <v>347</v>
      </c>
      <c r="BC622" s="7" t="s">
        <v>2730</v>
      </c>
      <c r="BD622" s="7">
        <v>33.700000000000003</v>
      </c>
      <c r="BF622" s="7">
        <v>3.7</v>
      </c>
      <c r="BG622" s="7" t="s">
        <v>2747</v>
      </c>
      <c r="BH622" s="7">
        <v>30.8</v>
      </c>
      <c r="BJ622" s="7">
        <v>4.4000000000000004</v>
      </c>
    </row>
    <row r="623" spans="1:64" x14ac:dyDescent="0.2">
      <c r="A623" s="7">
        <v>132</v>
      </c>
      <c r="B623" s="7" t="s">
        <v>732</v>
      </c>
      <c r="C623" s="7" t="s">
        <v>731</v>
      </c>
      <c r="D623" s="7" t="s">
        <v>730</v>
      </c>
      <c r="E623" s="7" t="s">
        <v>729</v>
      </c>
      <c r="F623" s="7" t="s">
        <v>468</v>
      </c>
      <c r="G623" s="7">
        <v>2003</v>
      </c>
      <c r="H623" s="7">
        <v>37700</v>
      </c>
      <c r="I623" s="7" t="s">
        <v>32</v>
      </c>
      <c r="J623" s="7" t="s">
        <v>32</v>
      </c>
      <c r="K623" s="7" t="s">
        <v>728</v>
      </c>
      <c r="L623" s="7">
        <v>2</v>
      </c>
      <c r="M623" s="7" t="s">
        <v>727</v>
      </c>
      <c r="N623" s="7" t="s">
        <v>34</v>
      </c>
      <c r="O623" s="7" t="s">
        <v>190</v>
      </c>
      <c r="P623" s="7" t="s">
        <v>34</v>
      </c>
      <c r="Q623" s="7" t="s">
        <v>34</v>
      </c>
      <c r="R623" s="7" t="s">
        <v>34</v>
      </c>
      <c r="S623" s="7" t="s">
        <v>34</v>
      </c>
      <c r="T623" s="7" t="s">
        <v>34</v>
      </c>
      <c r="U623" s="7" t="s">
        <v>32</v>
      </c>
      <c r="V623" s="7">
        <v>1</v>
      </c>
      <c r="W623" s="7" t="s">
        <v>34</v>
      </c>
      <c r="X623" s="7">
        <v>1</v>
      </c>
      <c r="Y623" s="7" t="s">
        <v>726</v>
      </c>
      <c r="Z623" s="7" t="s">
        <v>32</v>
      </c>
      <c r="AA623" s="7">
        <v>12644351</v>
      </c>
      <c r="AB623" s="7">
        <v>1</v>
      </c>
      <c r="AD623" s="7">
        <v>4</v>
      </c>
      <c r="AE623" s="24">
        <v>75</v>
      </c>
      <c r="AF623" s="7">
        <v>38</v>
      </c>
      <c r="AG623" s="7">
        <v>37</v>
      </c>
      <c r="AH623" s="7" t="s">
        <v>1642</v>
      </c>
      <c r="AI623" s="7" t="s">
        <v>1642</v>
      </c>
      <c r="AK623" s="7">
        <v>175</v>
      </c>
      <c r="AN623" s="7">
        <v>175</v>
      </c>
      <c r="AR623" s="7" t="s">
        <v>1675</v>
      </c>
      <c r="AS623" s="7" t="s">
        <v>1667</v>
      </c>
      <c r="AT623" s="7" t="s">
        <v>1640</v>
      </c>
      <c r="AU623" s="7" t="s">
        <v>178</v>
      </c>
      <c r="AV623" s="7" t="s">
        <v>1718</v>
      </c>
      <c r="AW623" s="7" t="s">
        <v>1687</v>
      </c>
      <c r="AX623" s="7" t="s">
        <v>2712</v>
      </c>
      <c r="AY623" s="7" t="s">
        <v>1695</v>
      </c>
      <c r="AZ623" s="7" t="s">
        <v>1769</v>
      </c>
      <c r="BA623" s="7">
        <v>355</v>
      </c>
      <c r="BB623" s="7">
        <v>347</v>
      </c>
      <c r="BC623" s="7" t="s">
        <v>2731</v>
      </c>
      <c r="BD623" s="7">
        <v>30.9</v>
      </c>
      <c r="BF623" s="7">
        <v>3.6</v>
      </c>
      <c r="BG623" s="7" t="s">
        <v>2748</v>
      </c>
      <c r="BH623" s="7">
        <v>26.7</v>
      </c>
      <c r="BJ623" s="7">
        <v>3.7</v>
      </c>
    </row>
    <row r="624" spans="1:64" x14ac:dyDescent="0.2">
      <c r="A624" s="7">
        <v>132</v>
      </c>
      <c r="B624" s="7" t="s">
        <v>732</v>
      </c>
      <c r="C624" s="7" t="s">
        <v>731</v>
      </c>
      <c r="D624" s="7" t="s">
        <v>730</v>
      </c>
      <c r="E624" s="7" t="s">
        <v>729</v>
      </c>
      <c r="F624" s="7" t="s">
        <v>468</v>
      </c>
      <c r="G624" s="7">
        <v>2003</v>
      </c>
      <c r="H624" s="7">
        <v>37700</v>
      </c>
      <c r="I624" s="7" t="s">
        <v>32</v>
      </c>
      <c r="J624" s="7" t="s">
        <v>32</v>
      </c>
      <c r="K624" s="7" t="s">
        <v>728</v>
      </c>
      <c r="L624" s="7">
        <v>2</v>
      </c>
      <c r="M624" s="7" t="s">
        <v>727</v>
      </c>
      <c r="N624" s="7" t="s">
        <v>34</v>
      </c>
      <c r="O624" s="7" t="s">
        <v>190</v>
      </c>
      <c r="P624" s="7" t="s">
        <v>34</v>
      </c>
      <c r="Q624" s="7" t="s">
        <v>34</v>
      </c>
      <c r="R624" s="7" t="s">
        <v>34</v>
      </c>
      <c r="S624" s="7" t="s">
        <v>34</v>
      </c>
      <c r="T624" s="7" t="s">
        <v>34</v>
      </c>
      <c r="U624" s="7" t="s">
        <v>32</v>
      </c>
      <c r="V624" s="7">
        <v>1</v>
      </c>
      <c r="W624" s="7" t="s">
        <v>34</v>
      </c>
      <c r="X624" s="7">
        <v>1</v>
      </c>
      <c r="Y624" s="7" t="s">
        <v>726</v>
      </c>
      <c r="Z624" s="7" t="s">
        <v>32</v>
      </c>
      <c r="AA624" s="7">
        <v>12644351</v>
      </c>
      <c r="AB624" s="7">
        <v>1</v>
      </c>
      <c r="AD624" s="7">
        <v>4</v>
      </c>
      <c r="AE624" s="24">
        <v>75</v>
      </c>
      <c r="AF624" s="7">
        <v>38</v>
      </c>
      <c r="AG624" s="7">
        <v>37</v>
      </c>
      <c r="AH624" s="7" t="s">
        <v>1642</v>
      </c>
      <c r="AI624" s="7" t="s">
        <v>1642</v>
      </c>
      <c r="AK624" s="7">
        <v>175</v>
      </c>
      <c r="AN624" s="7">
        <v>175</v>
      </c>
      <c r="AR624" s="7" t="s">
        <v>1675</v>
      </c>
      <c r="AS624" s="7" t="s">
        <v>1667</v>
      </c>
      <c r="AT624" s="7" t="s">
        <v>1640</v>
      </c>
      <c r="AU624" s="7" t="s">
        <v>178</v>
      </c>
      <c r="AV624" s="7" t="s">
        <v>1718</v>
      </c>
      <c r="AW624" s="7" t="s">
        <v>1687</v>
      </c>
      <c r="AX624" s="7" t="s">
        <v>2712</v>
      </c>
      <c r="AY624" s="7" t="s">
        <v>1695</v>
      </c>
      <c r="AZ624" s="7" t="s">
        <v>1769</v>
      </c>
      <c r="BA624" s="7">
        <v>355</v>
      </c>
      <c r="BB624" s="7">
        <v>347</v>
      </c>
      <c r="BC624" s="7" t="s">
        <v>2732</v>
      </c>
      <c r="BD624" s="7">
        <v>23.5</v>
      </c>
      <c r="BF624" s="7">
        <v>3.3</v>
      </c>
      <c r="BG624" s="7" t="s">
        <v>2749</v>
      </c>
      <c r="BH624" s="7">
        <v>19.5</v>
      </c>
      <c r="BJ624" s="7">
        <v>3.7</v>
      </c>
    </row>
    <row r="625" spans="1:62" x14ac:dyDescent="0.2">
      <c r="A625" s="7">
        <v>132</v>
      </c>
      <c r="B625" s="7" t="s">
        <v>732</v>
      </c>
      <c r="C625" s="7" t="s">
        <v>731</v>
      </c>
      <c r="D625" s="7" t="s">
        <v>730</v>
      </c>
      <c r="E625" s="7" t="s">
        <v>729</v>
      </c>
      <c r="F625" s="7" t="s">
        <v>468</v>
      </c>
      <c r="G625" s="7">
        <v>2003</v>
      </c>
      <c r="H625" s="7">
        <v>37700</v>
      </c>
      <c r="I625" s="7" t="s">
        <v>32</v>
      </c>
      <c r="J625" s="7" t="s">
        <v>32</v>
      </c>
      <c r="K625" s="7" t="s">
        <v>728</v>
      </c>
      <c r="L625" s="7">
        <v>2</v>
      </c>
      <c r="M625" s="7" t="s">
        <v>727</v>
      </c>
      <c r="N625" s="7" t="s">
        <v>34</v>
      </c>
      <c r="O625" s="7" t="s">
        <v>190</v>
      </c>
      <c r="P625" s="7" t="s">
        <v>34</v>
      </c>
      <c r="Q625" s="7" t="s">
        <v>34</v>
      </c>
      <c r="R625" s="7" t="s">
        <v>34</v>
      </c>
      <c r="S625" s="7" t="s">
        <v>34</v>
      </c>
      <c r="T625" s="7" t="s">
        <v>34</v>
      </c>
      <c r="U625" s="7" t="s">
        <v>32</v>
      </c>
      <c r="V625" s="7">
        <v>1</v>
      </c>
      <c r="W625" s="7" t="s">
        <v>34</v>
      </c>
      <c r="X625" s="7">
        <v>1</v>
      </c>
      <c r="Y625" s="7" t="s">
        <v>726</v>
      </c>
      <c r="Z625" s="7" t="s">
        <v>32</v>
      </c>
      <c r="AA625" s="7">
        <v>12644351</v>
      </c>
      <c r="AB625" s="7">
        <v>1</v>
      </c>
      <c r="AD625" s="7">
        <v>4</v>
      </c>
      <c r="AE625" s="24">
        <v>75</v>
      </c>
      <c r="AF625" s="7">
        <v>38</v>
      </c>
      <c r="AG625" s="7">
        <v>37</v>
      </c>
      <c r="AH625" s="7" t="s">
        <v>1642</v>
      </c>
      <c r="AI625" s="7" t="s">
        <v>1642</v>
      </c>
      <c r="AK625" s="7">
        <v>175</v>
      </c>
      <c r="AN625" s="7">
        <v>175</v>
      </c>
      <c r="AR625" s="7" t="s">
        <v>1675</v>
      </c>
      <c r="AS625" s="7" t="s">
        <v>1667</v>
      </c>
      <c r="AT625" s="7" t="s">
        <v>1640</v>
      </c>
      <c r="AU625" s="7" t="s">
        <v>178</v>
      </c>
      <c r="AV625" s="7" t="s">
        <v>1718</v>
      </c>
      <c r="AW625" s="7" t="s">
        <v>1687</v>
      </c>
      <c r="AX625" s="7" t="s">
        <v>2712</v>
      </c>
      <c r="AY625" s="7" t="s">
        <v>1695</v>
      </c>
      <c r="AZ625" s="7" t="s">
        <v>1769</v>
      </c>
      <c r="BA625" s="7">
        <v>355</v>
      </c>
      <c r="BB625" s="7">
        <v>347</v>
      </c>
      <c r="BC625" s="7" t="s">
        <v>2733</v>
      </c>
      <c r="BD625" s="7">
        <v>19.2</v>
      </c>
      <c r="BF625" s="7">
        <v>2.9</v>
      </c>
      <c r="BG625" s="7" t="s">
        <v>2750</v>
      </c>
      <c r="BH625" s="7">
        <v>16.2</v>
      </c>
      <c r="BJ625" s="7">
        <v>3</v>
      </c>
    </row>
    <row r="626" spans="1:62" x14ac:dyDescent="0.2">
      <c r="A626" s="7">
        <v>132</v>
      </c>
      <c r="B626" s="7" t="s">
        <v>732</v>
      </c>
      <c r="C626" s="7" t="s">
        <v>731</v>
      </c>
      <c r="D626" s="7" t="s">
        <v>730</v>
      </c>
      <c r="E626" s="7" t="s">
        <v>729</v>
      </c>
      <c r="F626" s="7" t="s">
        <v>468</v>
      </c>
      <c r="G626" s="7">
        <v>2003</v>
      </c>
      <c r="H626" s="7">
        <v>37700</v>
      </c>
      <c r="I626" s="7" t="s">
        <v>32</v>
      </c>
      <c r="J626" s="7" t="s">
        <v>32</v>
      </c>
      <c r="K626" s="7" t="s">
        <v>728</v>
      </c>
      <c r="L626" s="7">
        <v>2</v>
      </c>
      <c r="M626" s="7" t="s">
        <v>727</v>
      </c>
      <c r="N626" s="7" t="s">
        <v>34</v>
      </c>
      <c r="O626" s="7" t="s">
        <v>190</v>
      </c>
      <c r="P626" s="7" t="s">
        <v>34</v>
      </c>
      <c r="Q626" s="7" t="s">
        <v>34</v>
      </c>
      <c r="R626" s="7" t="s">
        <v>34</v>
      </c>
      <c r="S626" s="7" t="s">
        <v>34</v>
      </c>
      <c r="T626" s="7" t="s">
        <v>34</v>
      </c>
      <c r="U626" s="7" t="s">
        <v>32</v>
      </c>
      <c r="V626" s="7">
        <v>1</v>
      </c>
      <c r="W626" s="7" t="s">
        <v>34</v>
      </c>
      <c r="X626" s="7">
        <v>1</v>
      </c>
      <c r="Y626" s="7" t="s">
        <v>726</v>
      </c>
      <c r="Z626" s="7" t="s">
        <v>32</v>
      </c>
      <c r="AA626" s="7">
        <v>12644351</v>
      </c>
      <c r="AB626" s="7">
        <v>1</v>
      </c>
      <c r="AD626" s="7">
        <v>4</v>
      </c>
      <c r="AE626" s="24">
        <v>75</v>
      </c>
      <c r="AF626" s="7">
        <v>38</v>
      </c>
      <c r="AG626" s="7">
        <v>37</v>
      </c>
      <c r="AH626" s="7" t="s">
        <v>1642</v>
      </c>
      <c r="AI626" s="7" t="s">
        <v>1642</v>
      </c>
      <c r="AK626" s="7">
        <v>175</v>
      </c>
      <c r="AN626" s="7">
        <v>175</v>
      </c>
      <c r="AR626" s="7" t="s">
        <v>1675</v>
      </c>
      <c r="AS626" s="7" t="s">
        <v>1667</v>
      </c>
      <c r="AT626" s="7" t="s">
        <v>1640</v>
      </c>
      <c r="AU626" s="7" t="s">
        <v>178</v>
      </c>
      <c r="AV626" s="7" t="s">
        <v>1718</v>
      </c>
      <c r="AW626" s="7" t="s">
        <v>1687</v>
      </c>
      <c r="AX626" s="7" t="s">
        <v>2712</v>
      </c>
      <c r="AY626" s="7" t="s">
        <v>2767</v>
      </c>
      <c r="AZ626" s="7" t="s">
        <v>1769</v>
      </c>
      <c r="BA626" s="7">
        <v>355</v>
      </c>
      <c r="BB626" s="7">
        <v>347</v>
      </c>
      <c r="BC626" s="7" t="s">
        <v>2768</v>
      </c>
      <c r="BD626" s="7">
        <v>55</v>
      </c>
      <c r="BF626" s="7">
        <v>1.9</v>
      </c>
      <c r="BG626" s="7" t="s">
        <v>2772</v>
      </c>
      <c r="BH626" s="7">
        <v>50.9</v>
      </c>
      <c r="BJ626" s="7">
        <v>2</v>
      </c>
    </row>
    <row r="627" spans="1:62" x14ac:dyDescent="0.2">
      <c r="A627" s="7">
        <v>132</v>
      </c>
      <c r="B627" s="7" t="s">
        <v>732</v>
      </c>
      <c r="C627" s="7" t="s">
        <v>731</v>
      </c>
      <c r="D627" s="7" t="s">
        <v>730</v>
      </c>
      <c r="E627" s="7" t="s">
        <v>729</v>
      </c>
      <c r="F627" s="7" t="s">
        <v>468</v>
      </c>
      <c r="G627" s="7">
        <v>2003</v>
      </c>
      <c r="H627" s="7">
        <v>37700</v>
      </c>
      <c r="I627" s="7" t="s">
        <v>32</v>
      </c>
      <c r="J627" s="7" t="s">
        <v>32</v>
      </c>
      <c r="K627" s="7" t="s">
        <v>728</v>
      </c>
      <c r="L627" s="7">
        <v>2</v>
      </c>
      <c r="M627" s="7" t="s">
        <v>727</v>
      </c>
      <c r="N627" s="7" t="s">
        <v>34</v>
      </c>
      <c r="O627" s="7" t="s">
        <v>190</v>
      </c>
      <c r="P627" s="7" t="s">
        <v>34</v>
      </c>
      <c r="Q627" s="7" t="s">
        <v>34</v>
      </c>
      <c r="R627" s="7" t="s">
        <v>34</v>
      </c>
      <c r="S627" s="7" t="s">
        <v>34</v>
      </c>
      <c r="T627" s="7" t="s">
        <v>34</v>
      </c>
      <c r="U627" s="7" t="s">
        <v>32</v>
      </c>
      <c r="V627" s="7">
        <v>1</v>
      </c>
      <c r="W627" s="7" t="s">
        <v>34</v>
      </c>
      <c r="X627" s="7">
        <v>1</v>
      </c>
      <c r="Y627" s="7" t="s">
        <v>726</v>
      </c>
      <c r="Z627" s="7" t="s">
        <v>32</v>
      </c>
      <c r="AA627" s="7">
        <v>12644351</v>
      </c>
      <c r="AB627" s="7">
        <v>1</v>
      </c>
      <c r="AD627" s="7">
        <v>4</v>
      </c>
      <c r="AE627" s="24">
        <v>75</v>
      </c>
      <c r="AF627" s="7">
        <v>38</v>
      </c>
      <c r="AG627" s="7">
        <v>37</v>
      </c>
      <c r="AH627" s="7" t="s">
        <v>1642</v>
      </c>
      <c r="AI627" s="7" t="s">
        <v>1642</v>
      </c>
      <c r="AK627" s="7">
        <v>175</v>
      </c>
      <c r="AN627" s="7">
        <v>175</v>
      </c>
      <c r="AR627" s="7" t="s">
        <v>1675</v>
      </c>
      <c r="AS627" s="7" t="s">
        <v>1667</v>
      </c>
      <c r="AT627" s="7" t="s">
        <v>1640</v>
      </c>
      <c r="AU627" s="7" t="s">
        <v>178</v>
      </c>
      <c r="AV627" s="7" t="s">
        <v>1718</v>
      </c>
      <c r="AW627" s="7" t="s">
        <v>1687</v>
      </c>
      <c r="AX627" s="7" t="s">
        <v>2712</v>
      </c>
      <c r="AY627" s="7" t="s">
        <v>2767</v>
      </c>
      <c r="AZ627" s="7" t="s">
        <v>1769</v>
      </c>
      <c r="BA627" s="7">
        <v>355</v>
      </c>
      <c r="BB627" s="7">
        <v>347</v>
      </c>
      <c r="BC627" s="7" t="s">
        <v>2769</v>
      </c>
      <c r="BD627" s="7">
        <v>39.5</v>
      </c>
      <c r="BF627" s="7">
        <v>2.1</v>
      </c>
      <c r="BG627" s="7" t="s">
        <v>2773</v>
      </c>
      <c r="BH627" s="7">
        <v>39.200000000000003</v>
      </c>
      <c r="BJ627" s="7">
        <v>2</v>
      </c>
    </row>
    <row r="628" spans="1:62" x14ac:dyDescent="0.2">
      <c r="A628" s="7">
        <v>132</v>
      </c>
      <c r="B628" s="7" t="s">
        <v>732</v>
      </c>
      <c r="C628" s="7" t="s">
        <v>731</v>
      </c>
      <c r="D628" s="7" t="s">
        <v>730</v>
      </c>
      <c r="E628" s="7" t="s">
        <v>729</v>
      </c>
      <c r="F628" s="7" t="s">
        <v>468</v>
      </c>
      <c r="G628" s="7">
        <v>2003</v>
      </c>
      <c r="H628" s="7">
        <v>37700</v>
      </c>
      <c r="I628" s="7" t="s">
        <v>32</v>
      </c>
      <c r="J628" s="7" t="s">
        <v>32</v>
      </c>
      <c r="K628" s="7" t="s">
        <v>728</v>
      </c>
      <c r="L628" s="7">
        <v>2</v>
      </c>
      <c r="M628" s="7" t="s">
        <v>727</v>
      </c>
      <c r="N628" s="7" t="s">
        <v>34</v>
      </c>
      <c r="O628" s="7" t="s">
        <v>190</v>
      </c>
      <c r="P628" s="7" t="s">
        <v>34</v>
      </c>
      <c r="Q628" s="7" t="s">
        <v>34</v>
      </c>
      <c r="R628" s="7" t="s">
        <v>34</v>
      </c>
      <c r="S628" s="7" t="s">
        <v>34</v>
      </c>
      <c r="T628" s="7" t="s">
        <v>34</v>
      </c>
      <c r="U628" s="7" t="s">
        <v>32</v>
      </c>
      <c r="V628" s="7">
        <v>1</v>
      </c>
      <c r="W628" s="7" t="s">
        <v>34</v>
      </c>
      <c r="X628" s="7">
        <v>1</v>
      </c>
      <c r="Y628" s="7" t="s">
        <v>726</v>
      </c>
      <c r="Z628" s="7" t="s">
        <v>32</v>
      </c>
      <c r="AA628" s="7">
        <v>12644351</v>
      </c>
      <c r="AB628" s="7">
        <v>1</v>
      </c>
      <c r="AD628" s="7">
        <v>4</v>
      </c>
      <c r="AE628" s="24">
        <v>75</v>
      </c>
      <c r="AF628" s="7">
        <v>38</v>
      </c>
      <c r="AG628" s="7">
        <v>37</v>
      </c>
      <c r="AH628" s="7" t="s">
        <v>1642</v>
      </c>
      <c r="AI628" s="7" t="s">
        <v>1642</v>
      </c>
      <c r="AK628" s="7">
        <v>175</v>
      </c>
      <c r="AN628" s="7">
        <v>175</v>
      </c>
      <c r="AR628" s="7" t="s">
        <v>1675</v>
      </c>
      <c r="AS628" s="7" t="s">
        <v>1667</v>
      </c>
      <c r="AT628" s="7" t="s">
        <v>1640</v>
      </c>
      <c r="AU628" s="7" t="s">
        <v>178</v>
      </c>
      <c r="AV628" s="7" t="s">
        <v>1718</v>
      </c>
      <c r="AW628" s="7" t="s">
        <v>1687</v>
      </c>
      <c r="AX628" s="7" t="s">
        <v>2712</v>
      </c>
      <c r="AY628" s="7" t="s">
        <v>2767</v>
      </c>
      <c r="AZ628" s="7" t="s">
        <v>1769</v>
      </c>
      <c r="BA628" s="7">
        <v>355</v>
      </c>
      <c r="BB628" s="7">
        <v>347</v>
      </c>
      <c r="BC628" s="7" t="s">
        <v>2770</v>
      </c>
      <c r="BD628" s="7">
        <v>43.6</v>
      </c>
      <c r="BF628" s="7">
        <v>3</v>
      </c>
      <c r="BG628" s="7" t="s">
        <v>2774</v>
      </c>
      <c r="BH628" s="7">
        <v>42.2</v>
      </c>
      <c r="BJ628" s="7">
        <v>2.7</v>
      </c>
    </row>
    <row r="629" spans="1:62" x14ac:dyDescent="0.2">
      <c r="A629" s="7">
        <v>132</v>
      </c>
      <c r="B629" s="7" t="s">
        <v>732</v>
      </c>
      <c r="C629" s="7" t="s">
        <v>731</v>
      </c>
      <c r="D629" s="7" t="s">
        <v>730</v>
      </c>
      <c r="E629" s="7" t="s">
        <v>729</v>
      </c>
      <c r="F629" s="7" t="s">
        <v>468</v>
      </c>
      <c r="G629" s="7">
        <v>2003</v>
      </c>
      <c r="H629" s="7">
        <v>37700</v>
      </c>
      <c r="I629" s="7" t="s">
        <v>32</v>
      </c>
      <c r="J629" s="7" t="s">
        <v>32</v>
      </c>
      <c r="K629" s="7" t="s">
        <v>728</v>
      </c>
      <c r="L629" s="7">
        <v>2</v>
      </c>
      <c r="M629" s="7" t="s">
        <v>727</v>
      </c>
      <c r="N629" s="7" t="s">
        <v>34</v>
      </c>
      <c r="O629" s="7" t="s">
        <v>190</v>
      </c>
      <c r="P629" s="7" t="s">
        <v>34</v>
      </c>
      <c r="Q629" s="7" t="s">
        <v>34</v>
      </c>
      <c r="R629" s="7" t="s">
        <v>34</v>
      </c>
      <c r="S629" s="7" t="s">
        <v>34</v>
      </c>
      <c r="T629" s="7" t="s">
        <v>34</v>
      </c>
      <c r="U629" s="7" t="s">
        <v>32</v>
      </c>
      <c r="V629" s="7">
        <v>1</v>
      </c>
      <c r="W629" s="7" t="s">
        <v>34</v>
      </c>
      <c r="X629" s="7">
        <v>1</v>
      </c>
      <c r="Y629" s="7" t="s">
        <v>726</v>
      </c>
      <c r="Z629" s="7" t="s">
        <v>32</v>
      </c>
      <c r="AA629" s="7">
        <v>12644351</v>
      </c>
      <c r="AB629" s="7">
        <v>1</v>
      </c>
      <c r="AD629" s="7">
        <v>4</v>
      </c>
      <c r="AE629" s="24">
        <v>75</v>
      </c>
      <c r="AF629" s="7">
        <v>38</v>
      </c>
      <c r="AG629" s="7">
        <v>37</v>
      </c>
      <c r="AH629" s="7" t="s">
        <v>1642</v>
      </c>
      <c r="AI629" s="7" t="s">
        <v>1642</v>
      </c>
      <c r="AK629" s="7">
        <v>175</v>
      </c>
      <c r="AN629" s="7">
        <v>175</v>
      </c>
      <c r="AR629" s="7" t="s">
        <v>1675</v>
      </c>
      <c r="AS629" s="7" t="s">
        <v>1667</v>
      </c>
      <c r="AT629" s="7" t="s">
        <v>1640</v>
      </c>
      <c r="AU629" s="7" t="s">
        <v>178</v>
      </c>
      <c r="AV629" s="7" t="s">
        <v>1718</v>
      </c>
      <c r="AW629" s="7" t="s">
        <v>1687</v>
      </c>
      <c r="AX629" s="7" t="s">
        <v>2712</v>
      </c>
      <c r="AY629" s="7" t="s">
        <v>2767</v>
      </c>
      <c r="AZ629" s="7" t="s">
        <v>1769</v>
      </c>
      <c r="BA629" s="7">
        <v>355</v>
      </c>
      <c r="BB629" s="7">
        <v>347</v>
      </c>
      <c r="BC629" s="7" t="s">
        <v>2771</v>
      </c>
      <c r="BD629" s="7">
        <v>36.4</v>
      </c>
      <c r="BF629" s="7">
        <v>2.4</v>
      </c>
      <c r="BG629" s="7" t="s">
        <v>2775</v>
      </c>
      <c r="BH629" s="7">
        <v>34.5</v>
      </c>
      <c r="BJ629" s="7">
        <v>2.2000000000000002</v>
      </c>
    </row>
  </sheetData>
  <phoneticPr fontId="23" type="noConversion"/>
  <conditionalFormatting sqref="AB1">
    <cfRule type="cellIs" dxfId="5" priority="1" operator="equal">
      <formula>0</formula>
    </cfRule>
    <cfRule type="cellIs" dxfId="4" priority="2" operator="equal">
      <formula>2</formula>
    </cfRule>
    <cfRule type="cellIs" dxfId="3" priority="3" operator="equal">
      <formula>1</formula>
    </cfRule>
  </conditionalFormatting>
  <pageMargins left="0.75" right="0.75" top="1" bottom="1" header="0.5" footer="0.5"/>
  <pageSetup paperSize="9" orientation="portrait" horizontalDpi="0" verticalDpi="0"/>
  <ignoredErrors>
    <ignoredError sqref="BF473:BF474"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24"/>
  <sheetViews>
    <sheetView zoomScale="80" zoomScaleNormal="80" workbookViewId="0">
      <selection activeCell="BG124" sqref="BG124"/>
    </sheetView>
  </sheetViews>
  <sheetFormatPr baseColWidth="10" defaultRowHeight="16" x14ac:dyDescent="0.2"/>
  <cols>
    <col min="8" max="8" width="16.33203125" customWidth="1"/>
    <col min="12" max="12" width="6" customWidth="1"/>
    <col min="13" max="13" width="7.33203125" customWidth="1"/>
    <col min="15" max="15" width="6.5" customWidth="1"/>
    <col min="16" max="16" width="6.1640625" customWidth="1"/>
    <col min="17" max="17" width="6.33203125" customWidth="1"/>
    <col min="19" max="19" width="6.33203125" customWidth="1"/>
    <col min="20" max="20" width="6.5" customWidth="1"/>
    <col min="21" max="21" width="6.6640625" customWidth="1"/>
    <col min="22" max="22" width="5.83203125" customWidth="1"/>
    <col min="24" max="24" width="7" customWidth="1"/>
    <col min="27" max="27" width="8.83203125" customWidth="1"/>
    <col min="28" max="28" width="5.5" customWidth="1"/>
    <col min="29" max="29" width="7.6640625" customWidth="1"/>
    <col min="30" max="30" width="6" customWidth="1"/>
    <col min="31" max="31" width="5" customWidth="1"/>
    <col min="32" max="32" width="7" customWidth="1"/>
    <col min="33" max="33" width="7.33203125" customWidth="1"/>
    <col min="34" max="34" width="8" customWidth="1"/>
    <col min="35" max="35" width="7" customWidth="1"/>
    <col min="36" max="36" width="6.83203125" customWidth="1"/>
    <col min="37" max="37" width="6.6640625" customWidth="1"/>
    <col min="39" max="39" width="8.1640625" customWidth="1"/>
    <col min="40" max="40" width="12.33203125" customWidth="1"/>
    <col min="42" max="42" width="26.1640625" customWidth="1"/>
    <col min="43" max="43" width="10.83203125" customWidth="1"/>
    <col min="44" max="44" width="4.5" customWidth="1"/>
    <col min="45" max="45" width="10.83203125" customWidth="1"/>
    <col min="46" max="46" width="8.1640625" customWidth="1"/>
    <col min="47" max="47" width="15.6640625" customWidth="1"/>
    <col min="48" max="48" width="4.33203125" customWidth="1"/>
    <col min="49" max="49" width="5.6640625" customWidth="1"/>
    <col min="50" max="50" width="5.5" customWidth="1"/>
    <col min="51" max="51" width="40.1640625" customWidth="1"/>
    <col min="52" max="52" width="10.5" customWidth="1"/>
    <col min="54" max="54" width="8.6640625" customWidth="1"/>
    <col min="55" max="55" width="30.5" customWidth="1"/>
    <col min="56" max="56" width="11" customWidth="1"/>
    <col min="59" max="59" width="55" customWidth="1"/>
    <col min="60" max="60" width="36.83203125" customWidth="1"/>
  </cols>
  <sheetData>
    <row r="1" spans="1:59" s="2" customFormat="1" ht="161" x14ac:dyDescent="0.2">
      <c r="A1" s="5"/>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0</v>
      </c>
      <c r="AB1" s="6" t="s">
        <v>1602</v>
      </c>
      <c r="AC1" s="6" t="s">
        <v>1603</v>
      </c>
      <c r="AD1" s="6" t="s">
        <v>1604</v>
      </c>
      <c r="AE1" s="6" t="s">
        <v>1605</v>
      </c>
      <c r="AF1" s="6" t="s">
        <v>1606</v>
      </c>
      <c r="AG1" s="6" t="s">
        <v>1607</v>
      </c>
      <c r="AH1" s="6" t="s">
        <v>1608</v>
      </c>
      <c r="AI1" s="6" t="s">
        <v>1609</v>
      </c>
      <c r="AJ1" s="6" t="s">
        <v>1610</v>
      </c>
      <c r="AK1" s="6" t="s">
        <v>1612</v>
      </c>
      <c r="AL1" s="6" t="s">
        <v>1613</v>
      </c>
      <c r="AM1" s="6" t="s">
        <v>1615</v>
      </c>
      <c r="AN1" s="6" t="s">
        <v>1618</v>
      </c>
      <c r="AO1" s="6" t="s">
        <v>1619</v>
      </c>
      <c r="AP1" s="6" t="s">
        <v>1620</v>
      </c>
      <c r="AQ1" s="6" t="s">
        <v>1621</v>
      </c>
      <c r="AR1" s="6" t="s">
        <v>1622</v>
      </c>
      <c r="AS1" s="6" t="s">
        <v>1623</v>
      </c>
      <c r="AT1" s="6" t="s">
        <v>1624</v>
      </c>
      <c r="AU1" s="6" t="s">
        <v>1625</v>
      </c>
      <c r="AV1" s="6" t="s">
        <v>1626</v>
      </c>
      <c r="AW1" s="6" t="s">
        <v>1627</v>
      </c>
      <c r="AX1" s="6" t="s">
        <v>1628</v>
      </c>
      <c r="AY1" s="6" t="s">
        <v>1629</v>
      </c>
      <c r="AZ1" s="6" t="s">
        <v>1630</v>
      </c>
      <c r="BA1" s="6" t="s">
        <v>1631</v>
      </c>
      <c r="BB1" s="6" t="s">
        <v>1632</v>
      </c>
      <c r="BC1" s="6" t="s">
        <v>1633</v>
      </c>
      <c r="BD1" s="6" t="s">
        <v>1634</v>
      </c>
      <c r="BE1" s="6" t="s">
        <v>1635</v>
      </c>
      <c r="BF1" s="6" t="s">
        <v>1636</v>
      </c>
      <c r="BG1" s="1" t="s">
        <v>1722</v>
      </c>
    </row>
    <row r="2" spans="1:59" s="65" customFormat="1" x14ac:dyDescent="0.2">
      <c r="A2" s="20">
        <v>1</v>
      </c>
      <c r="B2" s="20" t="s">
        <v>26</v>
      </c>
      <c r="C2" s="20" t="s">
        <v>27</v>
      </c>
      <c r="D2" s="20" t="s">
        <v>28</v>
      </c>
      <c r="E2" s="20" t="s">
        <v>29</v>
      </c>
      <c r="F2" s="20" t="s">
        <v>30</v>
      </c>
      <c r="G2" s="20">
        <v>2020</v>
      </c>
      <c r="H2" s="64">
        <v>43971</v>
      </c>
      <c r="I2" s="20" t="s">
        <v>31</v>
      </c>
      <c r="J2" s="20" t="s">
        <v>32</v>
      </c>
      <c r="K2" s="20" t="s">
        <v>33</v>
      </c>
      <c r="L2" s="20">
        <v>1</v>
      </c>
      <c r="M2" s="20" t="s">
        <v>32</v>
      </c>
      <c r="N2" s="20" t="s">
        <v>34</v>
      </c>
      <c r="O2" s="20" t="s">
        <v>34</v>
      </c>
      <c r="P2" s="20" t="s">
        <v>34</v>
      </c>
      <c r="Q2" s="20" t="s">
        <v>34</v>
      </c>
      <c r="R2" s="20" t="s">
        <v>34</v>
      </c>
      <c r="S2" s="20" t="s">
        <v>34</v>
      </c>
      <c r="T2" s="20" t="s">
        <v>34</v>
      </c>
      <c r="U2" s="20" t="s">
        <v>32</v>
      </c>
      <c r="V2" s="20">
        <v>1</v>
      </c>
      <c r="W2" s="20" t="s">
        <v>32</v>
      </c>
      <c r="X2" s="20" t="s">
        <v>32</v>
      </c>
      <c r="Y2" s="20" t="s">
        <v>32</v>
      </c>
      <c r="Z2" s="20" t="s">
        <v>32</v>
      </c>
      <c r="AA2" s="20">
        <v>32425832</v>
      </c>
      <c r="AB2" s="20">
        <v>0</v>
      </c>
      <c r="AC2" s="69" t="s">
        <v>2844</v>
      </c>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65" t="s">
        <v>2844</v>
      </c>
    </row>
    <row r="3" spans="1:59" x14ac:dyDescent="0.2">
      <c r="A3" s="7">
        <v>2</v>
      </c>
      <c r="B3" s="7" t="s">
        <v>35</v>
      </c>
      <c r="C3" s="7" t="s">
        <v>36</v>
      </c>
      <c r="D3" s="7" t="s">
        <v>37</v>
      </c>
      <c r="E3" s="7" t="s">
        <v>38</v>
      </c>
      <c r="F3" s="7" t="s">
        <v>39</v>
      </c>
      <c r="G3" s="7">
        <v>2020</v>
      </c>
      <c r="H3" s="8">
        <v>43939</v>
      </c>
      <c r="I3" s="7" t="s">
        <v>32</v>
      </c>
      <c r="J3" s="7" t="s">
        <v>32</v>
      </c>
      <c r="K3" s="7" t="s">
        <v>40</v>
      </c>
      <c r="L3" s="7">
        <v>1</v>
      </c>
      <c r="M3" s="7" t="s">
        <v>32</v>
      </c>
      <c r="N3" s="7" t="s">
        <v>34</v>
      </c>
      <c r="O3" s="7" t="s">
        <v>34</v>
      </c>
      <c r="P3" s="7" t="s">
        <v>34</v>
      </c>
      <c r="Q3" s="7" t="s">
        <v>34</v>
      </c>
      <c r="R3" s="7" t="s">
        <v>34</v>
      </c>
      <c r="S3" s="7" t="s">
        <v>34</v>
      </c>
      <c r="T3" s="7" t="s">
        <v>34</v>
      </c>
      <c r="U3" s="7" t="s">
        <v>32</v>
      </c>
      <c r="V3" s="7">
        <v>1</v>
      </c>
      <c r="W3" s="7" t="s">
        <v>32</v>
      </c>
      <c r="X3" s="7" t="s">
        <v>32</v>
      </c>
      <c r="Y3" s="7" t="s">
        <v>32</v>
      </c>
      <c r="Z3" s="7" t="s">
        <v>32</v>
      </c>
      <c r="AA3" s="7">
        <v>32302820</v>
      </c>
      <c r="AB3" s="7">
        <v>1</v>
      </c>
      <c r="AC3" s="7"/>
      <c r="AD3" s="7">
        <v>3</v>
      </c>
      <c r="AE3" s="7">
        <f t="shared" ref="AE3:AE45" si="0">AF3+AG3</f>
        <v>56</v>
      </c>
      <c r="AF3" s="7">
        <v>21</v>
      </c>
      <c r="AG3" s="7">
        <v>35</v>
      </c>
      <c r="AH3" s="7" t="s">
        <v>2845</v>
      </c>
      <c r="AI3" s="7" t="s">
        <v>2845</v>
      </c>
      <c r="AJ3" s="7">
        <v>35.700000000000003</v>
      </c>
      <c r="AK3" s="7">
        <v>12.2</v>
      </c>
      <c r="AL3" s="7">
        <v>32.700000000000003</v>
      </c>
      <c r="AM3" s="7">
        <v>10.1</v>
      </c>
      <c r="AN3" s="21" t="s">
        <v>2947</v>
      </c>
      <c r="AO3" s="7" t="s">
        <v>1638</v>
      </c>
      <c r="AP3" s="7" t="s">
        <v>2846</v>
      </c>
      <c r="AQ3" s="7" t="s">
        <v>2847</v>
      </c>
      <c r="AR3" s="7" t="s">
        <v>1646</v>
      </c>
      <c r="AS3" s="7" t="s">
        <v>1639</v>
      </c>
      <c r="AT3" s="7" t="s">
        <v>1646</v>
      </c>
      <c r="AU3" s="56" t="s">
        <v>2899</v>
      </c>
      <c r="AV3" s="7" t="s">
        <v>2848</v>
      </c>
      <c r="AW3" s="7">
        <v>1</v>
      </c>
      <c r="AX3" s="7">
        <v>1</v>
      </c>
      <c r="AY3" s="7" t="s">
        <v>2873</v>
      </c>
      <c r="AZ3">
        <v>-3.8222899999999997E-2</v>
      </c>
      <c r="BB3">
        <v>9.6326529999999994E-2</v>
      </c>
      <c r="BC3" t="s">
        <v>2849</v>
      </c>
      <c r="BD3" s="7">
        <v>-0.12336999999999999</v>
      </c>
      <c r="BE3" s="7"/>
      <c r="BF3" s="7">
        <f>0.12337-0.0581522</f>
        <v>6.5217799999999992E-2</v>
      </c>
      <c r="BG3" t="s">
        <v>2897</v>
      </c>
    </row>
    <row r="4" spans="1:59" x14ac:dyDescent="0.2">
      <c r="A4" s="7">
        <v>2</v>
      </c>
      <c r="B4" s="7" t="s">
        <v>35</v>
      </c>
      <c r="C4" s="7" t="s">
        <v>36</v>
      </c>
      <c r="D4" s="7" t="s">
        <v>37</v>
      </c>
      <c r="E4" s="7" t="s">
        <v>38</v>
      </c>
      <c r="F4" s="7" t="s">
        <v>39</v>
      </c>
      <c r="G4" s="7">
        <v>2020</v>
      </c>
      <c r="H4" s="8">
        <v>43939</v>
      </c>
      <c r="I4" s="7" t="s">
        <v>32</v>
      </c>
      <c r="J4" s="7" t="s">
        <v>32</v>
      </c>
      <c r="K4" s="7" t="s">
        <v>40</v>
      </c>
      <c r="L4" s="7">
        <v>1</v>
      </c>
      <c r="M4" s="7" t="s">
        <v>32</v>
      </c>
      <c r="N4" s="7" t="s">
        <v>34</v>
      </c>
      <c r="O4" s="7" t="s">
        <v>34</v>
      </c>
      <c r="P4" s="7" t="s">
        <v>34</v>
      </c>
      <c r="Q4" s="7" t="s">
        <v>34</v>
      </c>
      <c r="R4" s="7" t="s">
        <v>34</v>
      </c>
      <c r="S4" s="7" t="s">
        <v>34</v>
      </c>
      <c r="T4" s="7" t="s">
        <v>34</v>
      </c>
      <c r="U4" s="7" t="s">
        <v>32</v>
      </c>
      <c r="V4" s="7">
        <v>1</v>
      </c>
      <c r="W4" s="7" t="s">
        <v>32</v>
      </c>
      <c r="X4" s="7" t="s">
        <v>32</v>
      </c>
      <c r="Y4" s="7" t="s">
        <v>32</v>
      </c>
      <c r="Z4" s="7" t="s">
        <v>32</v>
      </c>
      <c r="AA4" s="7">
        <v>32302820</v>
      </c>
      <c r="AB4" s="7">
        <v>1</v>
      </c>
      <c r="AC4" s="7"/>
      <c r="AD4" s="7">
        <v>3</v>
      </c>
      <c r="AE4" s="7">
        <f t="shared" si="0"/>
        <v>56</v>
      </c>
      <c r="AF4" s="7">
        <v>21</v>
      </c>
      <c r="AG4" s="7">
        <v>35</v>
      </c>
      <c r="AH4" s="7" t="s">
        <v>2845</v>
      </c>
      <c r="AI4" s="7" t="s">
        <v>2845</v>
      </c>
      <c r="AJ4" s="7">
        <v>35.700000000000003</v>
      </c>
      <c r="AK4" s="7">
        <v>12.2</v>
      </c>
      <c r="AL4" s="7">
        <v>32.700000000000003</v>
      </c>
      <c r="AM4" s="7">
        <v>10.1</v>
      </c>
      <c r="AN4" s="21" t="s">
        <v>2947</v>
      </c>
      <c r="AO4" s="7" t="s">
        <v>1638</v>
      </c>
      <c r="AP4" s="7" t="s">
        <v>2846</v>
      </c>
      <c r="AQ4" s="7" t="s">
        <v>2847</v>
      </c>
      <c r="AR4" s="7" t="s">
        <v>1646</v>
      </c>
      <c r="AS4" s="7" t="s">
        <v>1639</v>
      </c>
      <c r="AT4" s="7" t="s">
        <v>1646</v>
      </c>
      <c r="AU4" s="56" t="s">
        <v>2899</v>
      </c>
      <c r="AV4" s="7" t="s">
        <v>2848</v>
      </c>
      <c r="AW4" s="7">
        <v>1</v>
      </c>
      <c r="AX4" s="7">
        <v>1</v>
      </c>
      <c r="AY4" s="7" t="s">
        <v>2874</v>
      </c>
      <c r="AZ4">
        <v>-0.218277</v>
      </c>
      <c r="BB4">
        <v>3.5924789999999998E-2</v>
      </c>
      <c r="BC4" t="s">
        <v>2850</v>
      </c>
      <c r="BD4" s="7">
        <v>-0.12231</v>
      </c>
      <c r="BE4" s="7"/>
      <c r="BF4" s="62">
        <f>0.12231-0.05326087</f>
        <v>6.904913E-2</v>
      </c>
    </row>
    <row r="5" spans="1:59" x14ac:dyDescent="0.2">
      <c r="A5" s="7">
        <v>2</v>
      </c>
      <c r="B5" s="7" t="s">
        <v>35</v>
      </c>
      <c r="C5" s="7" t="s">
        <v>36</v>
      </c>
      <c r="D5" s="7" t="s">
        <v>37</v>
      </c>
      <c r="E5" s="7" t="s">
        <v>38</v>
      </c>
      <c r="F5" s="7" t="s">
        <v>39</v>
      </c>
      <c r="G5" s="7">
        <v>2020</v>
      </c>
      <c r="H5" s="8">
        <v>43939</v>
      </c>
      <c r="I5" s="7" t="s">
        <v>32</v>
      </c>
      <c r="J5" s="7" t="s">
        <v>32</v>
      </c>
      <c r="K5" s="7" t="s">
        <v>40</v>
      </c>
      <c r="L5" s="7">
        <v>1</v>
      </c>
      <c r="M5" s="7" t="s">
        <v>32</v>
      </c>
      <c r="N5" s="7" t="s">
        <v>34</v>
      </c>
      <c r="O5" s="7" t="s">
        <v>34</v>
      </c>
      <c r="P5" s="7" t="s">
        <v>34</v>
      </c>
      <c r="Q5" s="7" t="s">
        <v>34</v>
      </c>
      <c r="R5" s="7" t="s">
        <v>34</v>
      </c>
      <c r="S5" s="7" t="s">
        <v>34</v>
      </c>
      <c r="T5" s="7" t="s">
        <v>34</v>
      </c>
      <c r="U5" s="7" t="s">
        <v>32</v>
      </c>
      <c r="V5" s="7">
        <v>1</v>
      </c>
      <c r="W5" s="7" t="s">
        <v>32</v>
      </c>
      <c r="X5" s="7" t="s">
        <v>32</v>
      </c>
      <c r="Y5" s="7" t="s">
        <v>32</v>
      </c>
      <c r="Z5" s="7" t="s">
        <v>32</v>
      </c>
      <c r="AA5" s="7">
        <v>32302820</v>
      </c>
      <c r="AB5" s="7">
        <v>1</v>
      </c>
      <c r="AC5" s="7"/>
      <c r="AD5" s="7">
        <v>3</v>
      </c>
      <c r="AE5" s="7">
        <f t="shared" si="0"/>
        <v>56</v>
      </c>
      <c r="AF5" s="7">
        <v>21</v>
      </c>
      <c r="AG5" s="7">
        <v>35</v>
      </c>
      <c r="AH5" s="7" t="s">
        <v>2845</v>
      </c>
      <c r="AI5" s="7" t="s">
        <v>2845</v>
      </c>
      <c r="AJ5" s="7">
        <v>35.700000000000003</v>
      </c>
      <c r="AK5" s="7">
        <v>12.2</v>
      </c>
      <c r="AL5" s="7">
        <v>32.700000000000003</v>
      </c>
      <c r="AM5" s="7">
        <v>10.1</v>
      </c>
      <c r="AN5" s="21" t="s">
        <v>2947</v>
      </c>
      <c r="AO5" s="7" t="s">
        <v>1638</v>
      </c>
      <c r="AP5" s="7" t="s">
        <v>2846</v>
      </c>
      <c r="AQ5" s="7" t="s">
        <v>2847</v>
      </c>
      <c r="AR5" s="7" t="s">
        <v>1646</v>
      </c>
      <c r="AS5" s="7" t="s">
        <v>1639</v>
      </c>
      <c r="AT5" s="7" t="s">
        <v>1646</v>
      </c>
      <c r="AU5" s="21" t="s">
        <v>3042</v>
      </c>
      <c r="AV5" s="7" t="s">
        <v>2848</v>
      </c>
      <c r="AW5" s="7">
        <v>1</v>
      </c>
      <c r="AX5" s="7">
        <v>1</v>
      </c>
      <c r="AY5" s="7" t="s">
        <v>2875</v>
      </c>
      <c r="AZ5">
        <v>-0.16975100000000001</v>
      </c>
      <c r="BB5">
        <v>8.4897970000000003E-2</v>
      </c>
      <c r="BC5" t="s">
        <v>2851</v>
      </c>
      <c r="BD5" s="7">
        <v>-0.23587</v>
      </c>
      <c r="BE5" s="7"/>
      <c r="BF5" s="7">
        <f>0.23587-0.188587</f>
        <v>4.7282999999999992E-2</v>
      </c>
    </row>
    <row r="6" spans="1:59" x14ac:dyDescent="0.2">
      <c r="A6" s="7">
        <v>2</v>
      </c>
      <c r="B6" s="7" t="s">
        <v>35</v>
      </c>
      <c r="C6" s="7" t="s">
        <v>36</v>
      </c>
      <c r="D6" s="7" t="s">
        <v>37</v>
      </c>
      <c r="E6" s="7" t="s">
        <v>38</v>
      </c>
      <c r="F6" s="7" t="s">
        <v>39</v>
      </c>
      <c r="G6" s="7">
        <v>2020</v>
      </c>
      <c r="H6" s="8">
        <v>43939</v>
      </c>
      <c r="I6" s="7" t="s">
        <v>32</v>
      </c>
      <c r="J6" s="7" t="s">
        <v>32</v>
      </c>
      <c r="K6" s="7" t="s">
        <v>40</v>
      </c>
      <c r="L6" s="7">
        <v>1</v>
      </c>
      <c r="M6" s="7" t="s">
        <v>32</v>
      </c>
      <c r="N6" s="7" t="s">
        <v>34</v>
      </c>
      <c r="O6" s="7" t="s">
        <v>34</v>
      </c>
      <c r="P6" s="7" t="s">
        <v>34</v>
      </c>
      <c r="Q6" s="7" t="s">
        <v>34</v>
      </c>
      <c r="R6" s="7" t="s">
        <v>34</v>
      </c>
      <c r="S6" s="7" t="s">
        <v>34</v>
      </c>
      <c r="T6" s="7" t="s">
        <v>34</v>
      </c>
      <c r="U6" s="7" t="s">
        <v>32</v>
      </c>
      <c r="V6" s="7">
        <v>1</v>
      </c>
      <c r="W6" s="7" t="s">
        <v>32</v>
      </c>
      <c r="X6" s="7" t="s">
        <v>32</v>
      </c>
      <c r="Y6" s="7" t="s">
        <v>32</v>
      </c>
      <c r="Z6" s="7" t="s">
        <v>32</v>
      </c>
      <c r="AA6" s="7">
        <v>32302820</v>
      </c>
      <c r="AB6" s="7">
        <v>1</v>
      </c>
      <c r="AC6" s="7"/>
      <c r="AD6" s="7">
        <v>3</v>
      </c>
      <c r="AE6" s="7">
        <f t="shared" si="0"/>
        <v>56</v>
      </c>
      <c r="AF6" s="7">
        <v>21</v>
      </c>
      <c r="AG6" s="7">
        <v>35</v>
      </c>
      <c r="AH6" s="7" t="s">
        <v>2845</v>
      </c>
      <c r="AI6" s="7" t="s">
        <v>2845</v>
      </c>
      <c r="AJ6" s="7">
        <v>35.700000000000003</v>
      </c>
      <c r="AK6" s="7">
        <v>12.2</v>
      </c>
      <c r="AL6" s="7">
        <v>32.700000000000003</v>
      </c>
      <c r="AM6" s="7">
        <v>10.1</v>
      </c>
      <c r="AN6" s="21" t="s">
        <v>2947</v>
      </c>
      <c r="AO6" s="7" t="s">
        <v>1638</v>
      </c>
      <c r="AP6" s="7" t="s">
        <v>2846</v>
      </c>
      <c r="AQ6" s="7" t="s">
        <v>2847</v>
      </c>
      <c r="AR6" s="7" t="s">
        <v>1646</v>
      </c>
      <c r="AS6" s="7" t="s">
        <v>1639</v>
      </c>
      <c r="AT6" s="7" t="s">
        <v>1646</v>
      </c>
      <c r="AU6" s="21" t="s">
        <v>3042</v>
      </c>
      <c r="AV6" s="7" t="s">
        <v>2848</v>
      </c>
      <c r="AW6" s="7">
        <v>1</v>
      </c>
      <c r="AX6" s="7">
        <v>1</v>
      </c>
      <c r="AY6" s="7" t="s">
        <v>2876</v>
      </c>
      <c r="AZ6">
        <v>-0.122862</v>
      </c>
      <c r="BB6">
        <v>0.101226633</v>
      </c>
      <c r="BC6" t="s">
        <v>2852</v>
      </c>
      <c r="BD6" s="7">
        <v>-0.21956500000000001</v>
      </c>
      <c r="BE6" s="7"/>
      <c r="BF6" s="7">
        <f>0.219565-0.17884</f>
        <v>4.0725000000000011E-2</v>
      </c>
    </row>
    <row r="7" spans="1:59" x14ac:dyDescent="0.2">
      <c r="A7" s="7">
        <v>2</v>
      </c>
      <c r="B7" s="7" t="s">
        <v>35</v>
      </c>
      <c r="C7" s="7" t="s">
        <v>36</v>
      </c>
      <c r="D7" s="7" t="s">
        <v>37</v>
      </c>
      <c r="E7" s="7" t="s">
        <v>38</v>
      </c>
      <c r="F7" s="7" t="s">
        <v>39</v>
      </c>
      <c r="G7" s="7">
        <v>2020</v>
      </c>
      <c r="H7" s="8">
        <v>43939</v>
      </c>
      <c r="I7" s="7" t="s">
        <v>32</v>
      </c>
      <c r="J7" s="7" t="s">
        <v>32</v>
      </c>
      <c r="K7" s="7" t="s">
        <v>40</v>
      </c>
      <c r="L7" s="7">
        <v>1</v>
      </c>
      <c r="M7" s="7" t="s">
        <v>32</v>
      </c>
      <c r="N7" s="7" t="s">
        <v>34</v>
      </c>
      <c r="O7" s="7" t="s">
        <v>34</v>
      </c>
      <c r="P7" s="7" t="s">
        <v>34</v>
      </c>
      <c r="Q7" s="7" t="s">
        <v>34</v>
      </c>
      <c r="R7" s="7" t="s">
        <v>34</v>
      </c>
      <c r="S7" s="7" t="s">
        <v>34</v>
      </c>
      <c r="T7" s="7" t="s">
        <v>34</v>
      </c>
      <c r="U7" s="7" t="s">
        <v>32</v>
      </c>
      <c r="V7" s="7">
        <v>1</v>
      </c>
      <c r="W7" s="7" t="s">
        <v>32</v>
      </c>
      <c r="X7" s="7" t="s">
        <v>32</v>
      </c>
      <c r="Y7" s="7" t="s">
        <v>32</v>
      </c>
      <c r="Z7" s="7" t="s">
        <v>32</v>
      </c>
      <c r="AA7" s="7">
        <v>32302820</v>
      </c>
      <c r="AB7" s="7">
        <v>1</v>
      </c>
      <c r="AC7" s="7"/>
      <c r="AD7" s="7">
        <v>3</v>
      </c>
      <c r="AE7" s="7">
        <f t="shared" si="0"/>
        <v>56</v>
      </c>
      <c r="AF7" s="7">
        <v>21</v>
      </c>
      <c r="AG7" s="7">
        <v>35</v>
      </c>
      <c r="AH7" s="7" t="s">
        <v>2845</v>
      </c>
      <c r="AI7" s="7" t="s">
        <v>2845</v>
      </c>
      <c r="AJ7" s="7">
        <v>35.700000000000003</v>
      </c>
      <c r="AK7" s="7">
        <v>12.2</v>
      </c>
      <c r="AL7" s="7">
        <v>32.700000000000003</v>
      </c>
      <c r="AM7" s="7">
        <v>10.1</v>
      </c>
      <c r="AN7" s="21" t="s">
        <v>2947</v>
      </c>
      <c r="AO7" s="7" t="s">
        <v>1638</v>
      </c>
      <c r="AP7" s="7" t="s">
        <v>2846</v>
      </c>
      <c r="AQ7" s="7" t="s">
        <v>2847</v>
      </c>
      <c r="AR7" s="7" t="s">
        <v>1646</v>
      </c>
      <c r="AS7" s="7" t="s">
        <v>1639</v>
      </c>
      <c r="AT7" s="7" t="s">
        <v>1646</v>
      </c>
      <c r="AU7" s="21" t="s">
        <v>3042</v>
      </c>
      <c r="AV7" s="7" t="s">
        <v>2848</v>
      </c>
      <c r="AW7" s="7">
        <v>1</v>
      </c>
      <c r="AX7" s="7">
        <v>1</v>
      </c>
      <c r="AY7" s="7" t="s">
        <v>2877</v>
      </c>
      <c r="AZ7">
        <v>-6.9440199999999994E-2</v>
      </c>
      <c r="BB7">
        <v>9.4693877999999995E-2</v>
      </c>
      <c r="BC7" t="s">
        <v>2853</v>
      </c>
      <c r="BD7" s="7">
        <v>-2.22826E-2</v>
      </c>
      <c r="BE7" s="7"/>
      <c r="BF7" s="7">
        <f>0.0222826+0.0641304</f>
        <v>8.6413000000000004E-2</v>
      </c>
    </row>
    <row r="8" spans="1:59" x14ac:dyDescent="0.2">
      <c r="A8" s="7">
        <v>2</v>
      </c>
      <c r="B8" s="7" t="s">
        <v>35</v>
      </c>
      <c r="C8" s="7" t="s">
        <v>36</v>
      </c>
      <c r="D8" s="7" t="s">
        <v>37</v>
      </c>
      <c r="E8" s="7" t="s">
        <v>38</v>
      </c>
      <c r="F8" s="7" t="s">
        <v>39</v>
      </c>
      <c r="G8" s="7">
        <v>2020</v>
      </c>
      <c r="H8" s="8">
        <v>43939</v>
      </c>
      <c r="I8" s="7" t="s">
        <v>32</v>
      </c>
      <c r="J8" s="7" t="s">
        <v>32</v>
      </c>
      <c r="K8" s="7" t="s">
        <v>40</v>
      </c>
      <c r="L8" s="7">
        <v>1</v>
      </c>
      <c r="M8" s="7" t="s">
        <v>32</v>
      </c>
      <c r="N8" s="7" t="s">
        <v>34</v>
      </c>
      <c r="O8" s="7" t="s">
        <v>34</v>
      </c>
      <c r="P8" s="7" t="s">
        <v>34</v>
      </c>
      <c r="Q8" s="7" t="s">
        <v>34</v>
      </c>
      <c r="R8" s="7" t="s">
        <v>34</v>
      </c>
      <c r="S8" s="7" t="s">
        <v>34</v>
      </c>
      <c r="T8" s="7" t="s">
        <v>34</v>
      </c>
      <c r="U8" s="7" t="s">
        <v>32</v>
      </c>
      <c r="V8" s="7">
        <v>1</v>
      </c>
      <c r="W8" s="7" t="s">
        <v>32</v>
      </c>
      <c r="X8" s="7" t="s">
        <v>32</v>
      </c>
      <c r="Y8" s="7" t="s">
        <v>32</v>
      </c>
      <c r="Z8" s="7" t="s">
        <v>32</v>
      </c>
      <c r="AA8" s="7">
        <v>32302820</v>
      </c>
      <c r="AB8" s="7">
        <v>1</v>
      </c>
      <c r="AC8" s="7"/>
      <c r="AD8" s="7">
        <v>3</v>
      </c>
      <c r="AE8" s="7">
        <f t="shared" si="0"/>
        <v>56</v>
      </c>
      <c r="AF8" s="7">
        <v>21</v>
      </c>
      <c r="AG8" s="7">
        <v>35</v>
      </c>
      <c r="AH8" s="7" t="s">
        <v>2845</v>
      </c>
      <c r="AI8" s="7" t="s">
        <v>2845</v>
      </c>
      <c r="AJ8" s="7">
        <v>35.700000000000003</v>
      </c>
      <c r="AK8" s="7">
        <v>12.2</v>
      </c>
      <c r="AL8" s="7">
        <v>32.700000000000003</v>
      </c>
      <c r="AM8" s="7">
        <v>10.1</v>
      </c>
      <c r="AN8" s="21" t="s">
        <v>2947</v>
      </c>
      <c r="AO8" s="7" t="s">
        <v>1638</v>
      </c>
      <c r="AP8" s="7" t="s">
        <v>2846</v>
      </c>
      <c r="AQ8" s="7" t="s">
        <v>2847</v>
      </c>
      <c r="AR8" s="7" t="s">
        <v>1646</v>
      </c>
      <c r="AS8" s="7" t="s">
        <v>1639</v>
      </c>
      <c r="AT8" s="7" t="s">
        <v>1646</v>
      </c>
      <c r="AU8" s="21" t="s">
        <v>3042</v>
      </c>
      <c r="AV8" s="7" t="s">
        <v>2848</v>
      </c>
      <c r="AW8" s="7">
        <v>1</v>
      </c>
      <c r="AX8" s="7">
        <v>1</v>
      </c>
      <c r="AY8" s="7" t="s">
        <v>2878</v>
      </c>
      <c r="AZ8">
        <v>-6.4998E-2</v>
      </c>
      <c r="BB8">
        <v>7.9997856500000006E-2</v>
      </c>
      <c r="BC8" t="s">
        <v>2854</v>
      </c>
      <c r="BD8" s="7">
        <v>3.9673899999999998E-2</v>
      </c>
      <c r="BE8" s="7"/>
      <c r="BF8" s="7">
        <f>0.121196-BD8</f>
        <v>8.15221E-2</v>
      </c>
    </row>
    <row r="9" spans="1:59" x14ac:dyDescent="0.2">
      <c r="A9" s="7">
        <v>2</v>
      </c>
      <c r="B9" s="7" t="s">
        <v>35</v>
      </c>
      <c r="C9" s="7" t="s">
        <v>36</v>
      </c>
      <c r="D9" s="7" t="s">
        <v>37</v>
      </c>
      <c r="E9" s="7" t="s">
        <v>38</v>
      </c>
      <c r="F9" s="7" t="s">
        <v>39</v>
      </c>
      <c r="G9" s="7">
        <v>2020</v>
      </c>
      <c r="H9" s="8">
        <v>43939</v>
      </c>
      <c r="I9" s="7" t="s">
        <v>32</v>
      </c>
      <c r="J9" s="7" t="s">
        <v>32</v>
      </c>
      <c r="K9" s="7" t="s">
        <v>40</v>
      </c>
      <c r="L9" s="7">
        <v>1</v>
      </c>
      <c r="M9" s="7" t="s">
        <v>32</v>
      </c>
      <c r="N9" s="7" t="s">
        <v>34</v>
      </c>
      <c r="O9" s="7" t="s">
        <v>34</v>
      </c>
      <c r="P9" s="7" t="s">
        <v>34</v>
      </c>
      <c r="Q9" s="7" t="s">
        <v>34</v>
      </c>
      <c r="R9" s="7" t="s">
        <v>34</v>
      </c>
      <c r="S9" s="7" t="s">
        <v>34</v>
      </c>
      <c r="T9" s="7" t="s">
        <v>34</v>
      </c>
      <c r="U9" s="7" t="s">
        <v>32</v>
      </c>
      <c r="V9" s="7">
        <v>1</v>
      </c>
      <c r="W9" s="7" t="s">
        <v>32</v>
      </c>
      <c r="X9" s="7" t="s">
        <v>32</v>
      </c>
      <c r="Y9" s="7" t="s">
        <v>32</v>
      </c>
      <c r="Z9" s="7" t="s">
        <v>32</v>
      </c>
      <c r="AA9" s="7">
        <v>32302820</v>
      </c>
      <c r="AB9" s="7">
        <v>1</v>
      </c>
      <c r="AC9" s="7"/>
      <c r="AD9" s="7">
        <v>3</v>
      </c>
      <c r="AE9" s="7">
        <f t="shared" si="0"/>
        <v>56</v>
      </c>
      <c r="AF9" s="7">
        <v>21</v>
      </c>
      <c r="AG9" s="7">
        <v>35</v>
      </c>
      <c r="AH9" s="7" t="s">
        <v>2845</v>
      </c>
      <c r="AI9" s="7" t="s">
        <v>2845</v>
      </c>
      <c r="AJ9" s="7">
        <v>35.700000000000003</v>
      </c>
      <c r="AK9" s="7">
        <v>12.2</v>
      </c>
      <c r="AL9" s="7">
        <v>32.700000000000003</v>
      </c>
      <c r="AM9" s="7">
        <v>10.1</v>
      </c>
      <c r="AN9" s="21" t="s">
        <v>2947</v>
      </c>
      <c r="AO9" s="7" t="s">
        <v>1638</v>
      </c>
      <c r="AP9" s="7" t="s">
        <v>2846</v>
      </c>
      <c r="AQ9" s="7" t="s">
        <v>2847</v>
      </c>
      <c r="AR9" s="7" t="s">
        <v>1646</v>
      </c>
      <c r="AS9" s="7" t="s">
        <v>1639</v>
      </c>
      <c r="AT9" s="7" t="s">
        <v>1646</v>
      </c>
      <c r="AU9" s="56" t="s">
        <v>2898</v>
      </c>
      <c r="AV9" s="7" t="s">
        <v>2848</v>
      </c>
      <c r="AW9" s="7">
        <v>1</v>
      </c>
      <c r="AX9" s="7">
        <v>1</v>
      </c>
      <c r="AY9" s="7" t="s">
        <v>2879</v>
      </c>
      <c r="AZ9" s="7">
        <v>0.3714575</v>
      </c>
      <c r="BA9" s="7"/>
      <c r="BB9" s="7">
        <v>0.14204079</v>
      </c>
      <c r="BC9" s="7" t="s">
        <v>2855</v>
      </c>
      <c r="BD9" s="63">
        <v>0.1</v>
      </c>
      <c r="BE9" s="7"/>
      <c r="BF9">
        <v>7.0108699999999996E-2</v>
      </c>
    </row>
    <row r="10" spans="1:59" x14ac:dyDescent="0.2">
      <c r="A10" s="7">
        <v>2</v>
      </c>
      <c r="B10" s="7" t="s">
        <v>35</v>
      </c>
      <c r="C10" s="7" t="s">
        <v>36</v>
      </c>
      <c r="D10" s="7" t="s">
        <v>37</v>
      </c>
      <c r="E10" s="7" t="s">
        <v>38</v>
      </c>
      <c r="F10" s="7" t="s">
        <v>39</v>
      </c>
      <c r="G10" s="7">
        <v>2020</v>
      </c>
      <c r="H10" s="8">
        <v>43939</v>
      </c>
      <c r="I10" s="7" t="s">
        <v>32</v>
      </c>
      <c r="J10" s="7" t="s">
        <v>32</v>
      </c>
      <c r="K10" s="7" t="s">
        <v>40</v>
      </c>
      <c r="L10" s="7">
        <v>1</v>
      </c>
      <c r="M10" s="7" t="s">
        <v>32</v>
      </c>
      <c r="N10" s="7" t="s">
        <v>34</v>
      </c>
      <c r="O10" s="7" t="s">
        <v>34</v>
      </c>
      <c r="P10" s="7" t="s">
        <v>34</v>
      </c>
      <c r="Q10" s="7" t="s">
        <v>34</v>
      </c>
      <c r="R10" s="7" t="s">
        <v>34</v>
      </c>
      <c r="S10" s="7" t="s">
        <v>34</v>
      </c>
      <c r="T10" s="7" t="s">
        <v>34</v>
      </c>
      <c r="U10" s="7" t="s">
        <v>32</v>
      </c>
      <c r="V10" s="7">
        <v>1</v>
      </c>
      <c r="W10" s="7" t="s">
        <v>32</v>
      </c>
      <c r="X10" s="7" t="s">
        <v>32</v>
      </c>
      <c r="Y10" s="7" t="s">
        <v>32</v>
      </c>
      <c r="Z10" s="7" t="s">
        <v>32</v>
      </c>
      <c r="AA10" s="7">
        <v>32302820</v>
      </c>
      <c r="AB10" s="7">
        <v>1</v>
      </c>
      <c r="AC10" s="7"/>
      <c r="AD10" s="7">
        <v>3</v>
      </c>
      <c r="AE10" s="7">
        <f t="shared" si="0"/>
        <v>56</v>
      </c>
      <c r="AF10" s="7">
        <v>21</v>
      </c>
      <c r="AG10" s="7">
        <v>35</v>
      </c>
      <c r="AH10" s="7" t="s">
        <v>2845</v>
      </c>
      <c r="AI10" s="7" t="s">
        <v>2845</v>
      </c>
      <c r="AJ10" s="7">
        <v>35.700000000000003</v>
      </c>
      <c r="AK10" s="7">
        <v>12.2</v>
      </c>
      <c r="AL10" s="7">
        <v>32.700000000000003</v>
      </c>
      <c r="AM10" s="7">
        <v>10.1</v>
      </c>
      <c r="AN10" s="21" t="s">
        <v>2947</v>
      </c>
      <c r="AO10" s="7" t="s">
        <v>1638</v>
      </c>
      <c r="AP10" s="7" t="s">
        <v>2846</v>
      </c>
      <c r="AQ10" s="7" t="s">
        <v>2847</v>
      </c>
      <c r="AR10" s="7" t="s">
        <v>1646</v>
      </c>
      <c r="AS10" s="7" t="s">
        <v>1639</v>
      </c>
      <c r="AT10" s="7" t="s">
        <v>1646</v>
      </c>
      <c r="AU10" s="56" t="s">
        <v>2898</v>
      </c>
      <c r="AV10" s="7" t="s">
        <v>2848</v>
      </c>
      <c r="AW10" s="7">
        <v>1</v>
      </c>
      <c r="AX10" s="7">
        <v>1</v>
      </c>
      <c r="AY10" s="7" t="s">
        <v>2880</v>
      </c>
      <c r="AZ10" s="7">
        <v>0.152224</v>
      </c>
      <c r="BA10" s="7"/>
      <c r="BB10" s="7">
        <v>0.11428571</v>
      </c>
      <c r="BC10" s="7" t="s">
        <v>2856</v>
      </c>
      <c r="BD10" s="63">
        <v>-4.5108694999999997E-2</v>
      </c>
      <c r="BE10" s="7"/>
      <c r="BF10">
        <v>6.0326100000000001E-2</v>
      </c>
    </row>
    <row r="11" spans="1:59" x14ac:dyDescent="0.2">
      <c r="A11" s="7">
        <v>2</v>
      </c>
      <c r="B11" s="7" t="s">
        <v>35</v>
      </c>
      <c r="C11" s="7" t="s">
        <v>36</v>
      </c>
      <c r="D11" s="7" t="s">
        <v>37</v>
      </c>
      <c r="E11" s="7" t="s">
        <v>38</v>
      </c>
      <c r="F11" s="7" t="s">
        <v>39</v>
      </c>
      <c r="G11" s="7">
        <v>2020</v>
      </c>
      <c r="H11" s="8">
        <v>43939</v>
      </c>
      <c r="I11" s="7" t="s">
        <v>32</v>
      </c>
      <c r="J11" s="7" t="s">
        <v>32</v>
      </c>
      <c r="K11" s="7" t="s">
        <v>40</v>
      </c>
      <c r="L11" s="7">
        <v>1</v>
      </c>
      <c r="M11" s="7" t="s">
        <v>32</v>
      </c>
      <c r="N11" s="7" t="s">
        <v>34</v>
      </c>
      <c r="O11" s="7" t="s">
        <v>34</v>
      </c>
      <c r="P11" s="7" t="s">
        <v>34</v>
      </c>
      <c r="Q11" s="7" t="s">
        <v>34</v>
      </c>
      <c r="R11" s="7" t="s">
        <v>34</v>
      </c>
      <c r="S11" s="7" t="s">
        <v>34</v>
      </c>
      <c r="T11" s="7" t="s">
        <v>34</v>
      </c>
      <c r="U11" s="7" t="s">
        <v>32</v>
      </c>
      <c r="V11" s="7">
        <v>1</v>
      </c>
      <c r="W11" s="7" t="s">
        <v>32</v>
      </c>
      <c r="X11" s="7" t="s">
        <v>32</v>
      </c>
      <c r="Y11" s="7" t="s">
        <v>32</v>
      </c>
      <c r="Z11" s="7" t="s">
        <v>32</v>
      </c>
      <c r="AA11" s="7">
        <v>32302820</v>
      </c>
      <c r="AB11" s="7">
        <v>1</v>
      </c>
      <c r="AC11" s="7"/>
      <c r="AD11" s="7">
        <v>3</v>
      </c>
      <c r="AE11" s="7">
        <f t="shared" si="0"/>
        <v>56</v>
      </c>
      <c r="AF11" s="7">
        <v>21</v>
      </c>
      <c r="AG11" s="7">
        <v>35</v>
      </c>
      <c r="AH11" s="7" t="s">
        <v>2845</v>
      </c>
      <c r="AI11" s="7" t="s">
        <v>2845</v>
      </c>
      <c r="AJ11" s="7">
        <v>35.700000000000003</v>
      </c>
      <c r="AK11" s="7">
        <v>12.2</v>
      </c>
      <c r="AL11" s="7">
        <v>32.700000000000003</v>
      </c>
      <c r="AM11" s="7">
        <v>10.1</v>
      </c>
      <c r="AN11" s="21" t="s">
        <v>2947</v>
      </c>
      <c r="AO11" s="7" t="s">
        <v>1638</v>
      </c>
      <c r="AP11" s="7" t="s">
        <v>2846</v>
      </c>
      <c r="AQ11" s="7" t="s">
        <v>2847</v>
      </c>
      <c r="AR11" s="7" t="s">
        <v>1646</v>
      </c>
      <c r="AS11" s="7" t="s">
        <v>1639</v>
      </c>
      <c r="AT11" s="7" t="s">
        <v>1646</v>
      </c>
      <c r="AU11" s="21" t="s">
        <v>3041</v>
      </c>
      <c r="AV11" s="7" t="s">
        <v>2848</v>
      </c>
      <c r="AW11" s="7">
        <v>1</v>
      </c>
      <c r="AX11" s="7">
        <v>1</v>
      </c>
      <c r="AY11" s="7" t="s">
        <v>2881</v>
      </c>
      <c r="AZ11" s="7">
        <v>-0.176395</v>
      </c>
      <c r="BA11" s="7"/>
      <c r="BB11" s="7">
        <v>5.8775510000000003E-2</v>
      </c>
      <c r="BC11" s="7" t="s">
        <v>2857</v>
      </c>
      <c r="BD11" s="63">
        <v>-0.11032609</v>
      </c>
      <c r="BE11" s="7"/>
      <c r="BF11">
        <v>5.3804400000000002E-2</v>
      </c>
    </row>
    <row r="12" spans="1:59" x14ac:dyDescent="0.2">
      <c r="A12" s="7">
        <v>2</v>
      </c>
      <c r="B12" s="7" t="s">
        <v>35</v>
      </c>
      <c r="C12" s="7" t="s">
        <v>36</v>
      </c>
      <c r="D12" s="7" t="s">
        <v>37</v>
      </c>
      <c r="E12" s="7" t="s">
        <v>38</v>
      </c>
      <c r="F12" s="7" t="s">
        <v>39</v>
      </c>
      <c r="G12" s="7">
        <v>2020</v>
      </c>
      <c r="H12" s="8">
        <v>43939</v>
      </c>
      <c r="I12" s="7" t="s">
        <v>32</v>
      </c>
      <c r="J12" s="7" t="s">
        <v>32</v>
      </c>
      <c r="K12" s="7" t="s">
        <v>40</v>
      </c>
      <c r="L12" s="7">
        <v>1</v>
      </c>
      <c r="M12" s="7" t="s">
        <v>32</v>
      </c>
      <c r="N12" s="7" t="s">
        <v>34</v>
      </c>
      <c r="O12" s="7" t="s">
        <v>34</v>
      </c>
      <c r="P12" s="7" t="s">
        <v>34</v>
      </c>
      <c r="Q12" s="7" t="s">
        <v>34</v>
      </c>
      <c r="R12" s="7" t="s">
        <v>34</v>
      </c>
      <c r="S12" s="7" t="s">
        <v>34</v>
      </c>
      <c r="T12" s="7" t="s">
        <v>34</v>
      </c>
      <c r="U12" s="7" t="s">
        <v>32</v>
      </c>
      <c r="V12" s="7">
        <v>1</v>
      </c>
      <c r="W12" s="7" t="s">
        <v>32</v>
      </c>
      <c r="X12" s="7" t="s">
        <v>32</v>
      </c>
      <c r="Y12" s="7" t="s">
        <v>32</v>
      </c>
      <c r="Z12" s="7" t="s">
        <v>32</v>
      </c>
      <c r="AA12" s="7">
        <v>32302820</v>
      </c>
      <c r="AB12" s="7">
        <v>1</v>
      </c>
      <c r="AC12" s="7"/>
      <c r="AD12" s="7">
        <v>3</v>
      </c>
      <c r="AE12" s="7">
        <f t="shared" si="0"/>
        <v>56</v>
      </c>
      <c r="AF12" s="7">
        <v>21</v>
      </c>
      <c r="AG12" s="7">
        <v>35</v>
      </c>
      <c r="AH12" s="7" t="s">
        <v>2845</v>
      </c>
      <c r="AI12" s="7" t="s">
        <v>2845</v>
      </c>
      <c r="AJ12" s="7">
        <v>35.700000000000003</v>
      </c>
      <c r="AK12" s="7">
        <v>12.2</v>
      </c>
      <c r="AL12" s="7">
        <v>32.700000000000003</v>
      </c>
      <c r="AM12" s="7">
        <v>10.1</v>
      </c>
      <c r="AN12" s="21" t="s">
        <v>2947</v>
      </c>
      <c r="AO12" s="7" t="s">
        <v>1638</v>
      </c>
      <c r="AP12" s="7" t="s">
        <v>2846</v>
      </c>
      <c r="AQ12" s="7" t="s">
        <v>2847</v>
      </c>
      <c r="AR12" s="7" t="s">
        <v>1646</v>
      </c>
      <c r="AS12" s="7" t="s">
        <v>1639</v>
      </c>
      <c r="AT12" s="7" t="s">
        <v>1646</v>
      </c>
      <c r="AU12" s="21" t="s">
        <v>3041</v>
      </c>
      <c r="AV12" s="7" t="s">
        <v>2848</v>
      </c>
      <c r="AW12" s="7">
        <v>1</v>
      </c>
      <c r="AX12" s="7">
        <v>1</v>
      </c>
      <c r="AY12" s="7" t="s">
        <v>2882</v>
      </c>
      <c r="AZ12" s="7">
        <v>-0.209506</v>
      </c>
      <c r="BA12" s="7"/>
      <c r="BB12" s="7">
        <v>8.7348010000000004E-2</v>
      </c>
      <c r="BC12" s="7" t="s">
        <v>2858</v>
      </c>
      <c r="BD12" s="63">
        <v>-5.4891303000000002E-2</v>
      </c>
      <c r="BE12" s="7"/>
      <c r="BF12">
        <v>5.8695700000000003E-2</v>
      </c>
    </row>
    <row r="13" spans="1:59" x14ac:dyDescent="0.2">
      <c r="A13" s="7">
        <v>2</v>
      </c>
      <c r="B13" s="7" t="s">
        <v>35</v>
      </c>
      <c r="C13" s="7" t="s">
        <v>36</v>
      </c>
      <c r="D13" s="7" t="s">
        <v>37</v>
      </c>
      <c r="E13" s="7" t="s">
        <v>38</v>
      </c>
      <c r="F13" s="7" t="s">
        <v>39</v>
      </c>
      <c r="G13" s="7">
        <v>2020</v>
      </c>
      <c r="H13" s="8">
        <v>43939</v>
      </c>
      <c r="I13" s="7" t="s">
        <v>32</v>
      </c>
      <c r="J13" s="7" t="s">
        <v>32</v>
      </c>
      <c r="K13" s="7" t="s">
        <v>40</v>
      </c>
      <c r="L13" s="7">
        <v>1</v>
      </c>
      <c r="M13" s="7" t="s">
        <v>32</v>
      </c>
      <c r="N13" s="7" t="s">
        <v>34</v>
      </c>
      <c r="O13" s="7" t="s">
        <v>34</v>
      </c>
      <c r="P13" s="7" t="s">
        <v>34</v>
      </c>
      <c r="Q13" s="7" t="s">
        <v>34</v>
      </c>
      <c r="R13" s="7" t="s">
        <v>34</v>
      </c>
      <c r="S13" s="7" t="s">
        <v>34</v>
      </c>
      <c r="T13" s="7" t="s">
        <v>34</v>
      </c>
      <c r="U13" s="7" t="s">
        <v>32</v>
      </c>
      <c r="V13" s="7">
        <v>1</v>
      </c>
      <c r="W13" s="7" t="s">
        <v>32</v>
      </c>
      <c r="X13" s="7" t="s">
        <v>32</v>
      </c>
      <c r="Y13" s="7" t="s">
        <v>32</v>
      </c>
      <c r="Z13" s="7" t="s">
        <v>32</v>
      </c>
      <c r="AA13" s="7">
        <v>32302820</v>
      </c>
      <c r="AB13" s="7">
        <v>1</v>
      </c>
      <c r="AC13" s="7"/>
      <c r="AD13" s="7">
        <v>3</v>
      </c>
      <c r="AE13" s="7">
        <f t="shared" si="0"/>
        <v>56</v>
      </c>
      <c r="AF13" s="7">
        <v>21</v>
      </c>
      <c r="AG13" s="7">
        <v>35</v>
      </c>
      <c r="AH13" s="7" t="s">
        <v>2845</v>
      </c>
      <c r="AI13" s="7" t="s">
        <v>2845</v>
      </c>
      <c r="AJ13" s="7">
        <v>35.700000000000003</v>
      </c>
      <c r="AK13" s="7">
        <v>12.2</v>
      </c>
      <c r="AL13" s="7">
        <v>32.700000000000003</v>
      </c>
      <c r="AM13" s="7">
        <v>10.1</v>
      </c>
      <c r="AN13" s="21" t="s">
        <v>2947</v>
      </c>
      <c r="AO13" s="7" t="s">
        <v>1638</v>
      </c>
      <c r="AP13" s="7" t="s">
        <v>2846</v>
      </c>
      <c r="AQ13" s="7" t="s">
        <v>2847</v>
      </c>
      <c r="AR13" s="7" t="s">
        <v>1646</v>
      </c>
      <c r="AS13" s="7" t="s">
        <v>1639</v>
      </c>
      <c r="AT13" s="7" t="s">
        <v>1646</v>
      </c>
      <c r="AU13" s="21" t="s">
        <v>3041</v>
      </c>
      <c r="AV13" s="7" t="s">
        <v>2848</v>
      </c>
      <c r="AW13" s="7">
        <v>1</v>
      </c>
      <c r="AX13" s="7">
        <v>1</v>
      </c>
      <c r="AY13" s="7" t="s">
        <v>2883</v>
      </c>
      <c r="AZ13">
        <v>0.47575250000000002</v>
      </c>
      <c r="BB13">
        <v>0.17796137000000001</v>
      </c>
      <c r="BC13" t="s">
        <v>2859</v>
      </c>
      <c r="BD13">
        <v>0.88749999999999996</v>
      </c>
      <c r="BF13">
        <v>0.17445649999999999</v>
      </c>
    </row>
    <row r="14" spans="1:59" x14ac:dyDescent="0.2">
      <c r="A14" s="7">
        <v>2</v>
      </c>
      <c r="B14" s="7" t="s">
        <v>35</v>
      </c>
      <c r="C14" s="7" t="s">
        <v>36</v>
      </c>
      <c r="D14" s="7" t="s">
        <v>37</v>
      </c>
      <c r="E14" s="7" t="s">
        <v>38</v>
      </c>
      <c r="F14" s="7" t="s">
        <v>39</v>
      </c>
      <c r="G14" s="7">
        <v>2020</v>
      </c>
      <c r="H14" s="8">
        <v>43939</v>
      </c>
      <c r="I14" s="7" t="s">
        <v>32</v>
      </c>
      <c r="J14" s="7" t="s">
        <v>32</v>
      </c>
      <c r="K14" s="7" t="s">
        <v>40</v>
      </c>
      <c r="L14" s="7">
        <v>1</v>
      </c>
      <c r="M14" s="7" t="s">
        <v>32</v>
      </c>
      <c r="N14" s="7" t="s">
        <v>34</v>
      </c>
      <c r="O14" s="7" t="s">
        <v>34</v>
      </c>
      <c r="P14" s="7" t="s">
        <v>34</v>
      </c>
      <c r="Q14" s="7" t="s">
        <v>34</v>
      </c>
      <c r="R14" s="7" t="s">
        <v>34</v>
      </c>
      <c r="S14" s="7" t="s">
        <v>34</v>
      </c>
      <c r="T14" s="7" t="s">
        <v>34</v>
      </c>
      <c r="U14" s="7" t="s">
        <v>32</v>
      </c>
      <c r="V14" s="7">
        <v>1</v>
      </c>
      <c r="W14" s="7" t="s">
        <v>32</v>
      </c>
      <c r="X14" s="7" t="s">
        <v>32</v>
      </c>
      <c r="Y14" s="7" t="s">
        <v>32</v>
      </c>
      <c r="Z14" s="7" t="s">
        <v>32</v>
      </c>
      <c r="AA14" s="7">
        <v>32302820</v>
      </c>
      <c r="AB14" s="7">
        <v>1</v>
      </c>
      <c r="AC14" s="7"/>
      <c r="AD14" s="7">
        <v>3</v>
      </c>
      <c r="AE14" s="7">
        <f t="shared" si="0"/>
        <v>56</v>
      </c>
      <c r="AF14" s="7">
        <v>21</v>
      </c>
      <c r="AG14" s="7">
        <v>35</v>
      </c>
      <c r="AH14" s="7" t="s">
        <v>2845</v>
      </c>
      <c r="AI14" s="7" t="s">
        <v>2845</v>
      </c>
      <c r="AJ14" s="7">
        <v>35.700000000000003</v>
      </c>
      <c r="AK14" s="7">
        <v>12.2</v>
      </c>
      <c r="AL14" s="7">
        <v>32.700000000000003</v>
      </c>
      <c r="AM14" s="7">
        <v>10.1</v>
      </c>
      <c r="AN14" s="21" t="s">
        <v>2947</v>
      </c>
      <c r="AO14" s="7" t="s">
        <v>1638</v>
      </c>
      <c r="AP14" s="7" t="s">
        <v>2846</v>
      </c>
      <c r="AQ14" s="7" t="s">
        <v>2847</v>
      </c>
      <c r="AR14" s="7" t="s">
        <v>1646</v>
      </c>
      <c r="AS14" s="7" t="s">
        <v>1639</v>
      </c>
      <c r="AT14" s="7" t="s">
        <v>1646</v>
      </c>
      <c r="AU14" s="21" t="s">
        <v>3041</v>
      </c>
      <c r="AV14" s="7" t="s">
        <v>2848</v>
      </c>
      <c r="AW14" s="7">
        <v>1</v>
      </c>
      <c r="AX14" s="7">
        <v>1</v>
      </c>
      <c r="AY14" s="7" t="s">
        <v>2884</v>
      </c>
      <c r="AZ14">
        <v>-5.8580800000000002E-2</v>
      </c>
      <c r="BB14">
        <v>9.3877550000000004E-2</v>
      </c>
      <c r="BC14" t="s">
        <v>2860</v>
      </c>
      <c r="BD14">
        <v>5.4347824000000003E-2</v>
      </c>
      <c r="BF14">
        <v>0.1027174</v>
      </c>
    </row>
    <row r="15" spans="1:59" x14ac:dyDescent="0.2">
      <c r="A15" s="7">
        <v>2</v>
      </c>
      <c r="B15" s="7" t="s">
        <v>35</v>
      </c>
      <c r="C15" s="7" t="s">
        <v>36</v>
      </c>
      <c r="D15" s="7" t="s">
        <v>37</v>
      </c>
      <c r="E15" s="7" t="s">
        <v>38</v>
      </c>
      <c r="F15" s="7" t="s">
        <v>39</v>
      </c>
      <c r="G15" s="7">
        <v>2020</v>
      </c>
      <c r="H15" s="8">
        <v>43939</v>
      </c>
      <c r="I15" s="7" t="s">
        <v>32</v>
      </c>
      <c r="J15" s="7" t="s">
        <v>32</v>
      </c>
      <c r="K15" s="7" t="s">
        <v>40</v>
      </c>
      <c r="L15" s="7">
        <v>1</v>
      </c>
      <c r="M15" s="7" t="s">
        <v>32</v>
      </c>
      <c r="N15" s="7" t="s">
        <v>34</v>
      </c>
      <c r="O15" s="7" t="s">
        <v>34</v>
      </c>
      <c r="P15" s="7" t="s">
        <v>34</v>
      </c>
      <c r="Q15" s="7" t="s">
        <v>34</v>
      </c>
      <c r="R15" s="7" t="s">
        <v>34</v>
      </c>
      <c r="S15" s="7" t="s">
        <v>34</v>
      </c>
      <c r="T15" s="7" t="s">
        <v>34</v>
      </c>
      <c r="U15" s="7" t="s">
        <v>32</v>
      </c>
      <c r="V15" s="7">
        <v>1</v>
      </c>
      <c r="W15" s="7" t="s">
        <v>32</v>
      </c>
      <c r="X15" s="7" t="s">
        <v>32</v>
      </c>
      <c r="Y15" s="7" t="s">
        <v>32</v>
      </c>
      <c r="Z15" s="7" t="s">
        <v>32</v>
      </c>
      <c r="AA15" s="7">
        <v>32302820</v>
      </c>
      <c r="AB15" s="7">
        <v>1</v>
      </c>
      <c r="AC15" s="7"/>
      <c r="AD15" s="7">
        <v>3</v>
      </c>
      <c r="AE15" s="7">
        <f t="shared" si="0"/>
        <v>56</v>
      </c>
      <c r="AF15" s="7">
        <v>21</v>
      </c>
      <c r="AG15" s="7">
        <v>35</v>
      </c>
      <c r="AH15" s="7" t="s">
        <v>2845</v>
      </c>
      <c r="AI15" s="7" t="s">
        <v>2845</v>
      </c>
      <c r="AJ15" s="7">
        <v>35.700000000000003</v>
      </c>
      <c r="AK15" s="7">
        <v>12.2</v>
      </c>
      <c r="AL15" s="7">
        <v>32.700000000000003</v>
      </c>
      <c r="AM15" s="7">
        <v>10.1</v>
      </c>
      <c r="AN15" s="21" t="s">
        <v>2947</v>
      </c>
      <c r="AO15" s="7" t="s">
        <v>1638</v>
      </c>
      <c r="AP15" s="7" t="s">
        <v>2846</v>
      </c>
      <c r="AQ15" s="7" t="s">
        <v>2847</v>
      </c>
      <c r="AR15" s="7" t="s">
        <v>1646</v>
      </c>
      <c r="AS15" s="7" t="s">
        <v>1639</v>
      </c>
      <c r="AT15" s="7" t="s">
        <v>1646</v>
      </c>
      <c r="AU15" s="21" t="s">
        <v>2927</v>
      </c>
      <c r="AV15" s="7" t="s">
        <v>2848</v>
      </c>
      <c r="AW15" s="7">
        <v>1</v>
      </c>
      <c r="AX15" s="7">
        <v>1</v>
      </c>
      <c r="AY15" s="7" t="s">
        <v>2885</v>
      </c>
      <c r="AZ15">
        <v>-5.0833299999999998E-2</v>
      </c>
      <c r="BB15">
        <v>0.14000000000000001</v>
      </c>
      <c r="BC15" t="s">
        <v>2861</v>
      </c>
      <c r="BD15">
        <v>5.7500000000000002E-2</v>
      </c>
      <c r="BF15">
        <v>8.8332999999999995E-2</v>
      </c>
    </row>
    <row r="16" spans="1:59" x14ac:dyDescent="0.2">
      <c r="A16" s="7">
        <v>2</v>
      </c>
      <c r="B16" s="7" t="s">
        <v>35</v>
      </c>
      <c r="C16" s="7" t="s">
        <v>36</v>
      </c>
      <c r="D16" s="7" t="s">
        <v>37</v>
      </c>
      <c r="E16" s="7" t="s">
        <v>38</v>
      </c>
      <c r="F16" s="7" t="s">
        <v>39</v>
      </c>
      <c r="G16" s="7">
        <v>2020</v>
      </c>
      <c r="H16" s="8">
        <v>43939</v>
      </c>
      <c r="I16" s="7" t="s">
        <v>32</v>
      </c>
      <c r="J16" s="7" t="s">
        <v>32</v>
      </c>
      <c r="K16" s="7" t="s">
        <v>40</v>
      </c>
      <c r="L16" s="7">
        <v>1</v>
      </c>
      <c r="M16" s="7" t="s">
        <v>32</v>
      </c>
      <c r="N16" s="7" t="s">
        <v>34</v>
      </c>
      <c r="O16" s="7" t="s">
        <v>34</v>
      </c>
      <c r="P16" s="7" t="s">
        <v>34</v>
      </c>
      <c r="Q16" s="7" t="s">
        <v>34</v>
      </c>
      <c r="R16" s="7" t="s">
        <v>34</v>
      </c>
      <c r="S16" s="7" t="s">
        <v>34</v>
      </c>
      <c r="T16" s="7" t="s">
        <v>34</v>
      </c>
      <c r="U16" s="7" t="s">
        <v>32</v>
      </c>
      <c r="V16" s="7">
        <v>1</v>
      </c>
      <c r="W16" s="7" t="s">
        <v>32</v>
      </c>
      <c r="X16" s="7" t="s">
        <v>32</v>
      </c>
      <c r="Y16" s="7" t="s">
        <v>32</v>
      </c>
      <c r="Z16" s="7" t="s">
        <v>32</v>
      </c>
      <c r="AA16" s="7">
        <v>32302820</v>
      </c>
      <c r="AB16" s="7">
        <v>1</v>
      </c>
      <c r="AC16" s="7"/>
      <c r="AD16" s="7">
        <v>3</v>
      </c>
      <c r="AE16" s="7">
        <f t="shared" si="0"/>
        <v>56</v>
      </c>
      <c r="AF16" s="7">
        <v>21</v>
      </c>
      <c r="AG16" s="7">
        <v>35</v>
      </c>
      <c r="AH16" s="7" t="s">
        <v>2845</v>
      </c>
      <c r="AI16" s="7" t="s">
        <v>2845</v>
      </c>
      <c r="AJ16" s="7">
        <v>35.700000000000003</v>
      </c>
      <c r="AK16" s="7">
        <v>12.2</v>
      </c>
      <c r="AL16" s="7">
        <v>32.700000000000003</v>
      </c>
      <c r="AM16" s="7">
        <v>10.1</v>
      </c>
      <c r="AN16" s="21" t="s">
        <v>2947</v>
      </c>
      <c r="AO16" s="7" t="s">
        <v>1638</v>
      </c>
      <c r="AP16" s="7" t="s">
        <v>2846</v>
      </c>
      <c r="AQ16" s="7" t="s">
        <v>2847</v>
      </c>
      <c r="AR16" s="7" t="s">
        <v>1646</v>
      </c>
      <c r="AS16" s="7" t="s">
        <v>1639</v>
      </c>
      <c r="AT16" s="7" t="s">
        <v>1646</v>
      </c>
      <c r="AU16" s="21" t="s">
        <v>2927</v>
      </c>
      <c r="AV16" s="7" t="s">
        <v>2848</v>
      </c>
      <c r="AW16" s="7">
        <v>1</v>
      </c>
      <c r="AX16" s="7">
        <v>1</v>
      </c>
      <c r="AY16" s="7" t="s">
        <v>2886</v>
      </c>
      <c r="AZ16">
        <v>-9.5833299999999996E-2</v>
      </c>
      <c r="BB16">
        <v>0.13500000000000001</v>
      </c>
      <c r="BC16" t="s">
        <v>2862</v>
      </c>
      <c r="BD16">
        <v>-0.25083333000000002</v>
      </c>
      <c r="BF16">
        <v>7.4999999999999997E-2</v>
      </c>
    </row>
    <row r="17" spans="1:59" x14ac:dyDescent="0.2">
      <c r="A17" s="7">
        <v>2</v>
      </c>
      <c r="B17" s="7" t="s">
        <v>35</v>
      </c>
      <c r="C17" s="7" t="s">
        <v>36</v>
      </c>
      <c r="D17" s="7" t="s">
        <v>37</v>
      </c>
      <c r="E17" s="7" t="s">
        <v>38</v>
      </c>
      <c r="F17" s="7" t="s">
        <v>39</v>
      </c>
      <c r="G17" s="7">
        <v>2020</v>
      </c>
      <c r="H17" s="8">
        <v>43939</v>
      </c>
      <c r="I17" s="7" t="s">
        <v>32</v>
      </c>
      <c r="J17" s="7" t="s">
        <v>32</v>
      </c>
      <c r="K17" s="7" t="s">
        <v>40</v>
      </c>
      <c r="L17" s="7">
        <v>1</v>
      </c>
      <c r="M17" s="7" t="s">
        <v>32</v>
      </c>
      <c r="N17" s="7" t="s">
        <v>34</v>
      </c>
      <c r="O17" s="7" t="s">
        <v>34</v>
      </c>
      <c r="P17" s="7" t="s">
        <v>34</v>
      </c>
      <c r="Q17" s="7" t="s">
        <v>34</v>
      </c>
      <c r="R17" s="7" t="s">
        <v>34</v>
      </c>
      <c r="S17" s="7" t="s">
        <v>34</v>
      </c>
      <c r="T17" s="7" t="s">
        <v>34</v>
      </c>
      <c r="U17" s="7" t="s">
        <v>32</v>
      </c>
      <c r="V17" s="7">
        <v>1</v>
      </c>
      <c r="W17" s="7" t="s">
        <v>32</v>
      </c>
      <c r="X17" s="7" t="s">
        <v>32</v>
      </c>
      <c r="Y17" s="7" t="s">
        <v>32</v>
      </c>
      <c r="Z17" s="7" t="s">
        <v>32</v>
      </c>
      <c r="AA17" s="7">
        <v>32302820</v>
      </c>
      <c r="AB17" s="7">
        <v>1</v>
      </c>
      <c r="AC17" s="7"/>
      <c r="AD17" s="7">
        <v>3</v>
      </c>
      <c r="AE17" s="7">
        <f t="shared" si="0"/>
        <v>56</v>
      </c>
      <c r="AF17" s="7">
        <v>21</v>
      </c>
      <c r="AG17" s="7">
        <v>35</v>
      </c>
      <c r="AH17" s="7" t="s">
        <v>2845</v>
      </c>
      <c r="AI17" s="7" t="s">
        <v>2845</v>
      </c>
      <c r="AJ17" s="7">
        <v>35.700000000000003</v>
      </c>
      <c r="AK17" s="7">
        <v>12.2</v>
      </c>
      <c r="AL17" s="7">
        <v>32.700000000000003</v>
      </c>
      <c r="AM17" s="7">
        <v>10.1</v>
      </c>
      <c r="AN17" s="21" t="s">
        <v>2947</v>
      </c>
      <c r="AO17" s="7" t="s">
        <v>1638</v>
      </c>
      <c r="AP17" s="7" t="s">
        <v>2846</v>
      </c>
      <c r="AQ17" s="7" t="s">
        <v>2847</v>
      </c>
      <c r="AR17" s="7" t="s">
        <v>1646</v>
      </c>
      <c r="AS17" s="7" t="s">
        <v>1639</v>
      </c>
      <c r="AT17" s="7" t="s">
        <v>1646</v>
      </c>
      <c r="AU17" s="21" t="s">
        <v>3530</v>
      </c>
      <c r="AV17" s="7" t="s">
        <v>2848</v>
      </c>
      <c r="AW17" s="7">
        <v>1</v>
      </c>
      <c r="AX17" s="7">
        <v>1</v>
      </c>
      <c r="AY17" s="7" t="s">
        <v>2887</v>
      </c>
      <c r="AZ17">
        <v>-0.2458333</v>
      </c>
      <c r="BB17">
        <v>0.11167000000000001</v>
      </c>
      <c r="BC17" t="s">
        <v>2863</v>
      </c>
      <c r="BD17">
        <v>-0.28583333</v>
      </c>
      <c r="BF17">
        <v>7.6666999999999999E-2</v>
      </c>
    </row>
    <row r="18" spans="1:59" x14ac:dyDescent="0.2">
      <c r="A18" s="7">
        <v>2</v>
      </c>
      <c r="B18" s="7" t="s">
        <v>35</v>
      </c>
      <c r="C18" s="7" t="s">
        <v>36</v>
      </c>
      <c r="D18" s="7" t="s">
        <v>37</v>
      </c>
      <c r="E18" s="7" t="s">
        <v>38</v>
      </c>
      <c r="F18" s="7" t="s">
        <v>39</v>
      </c>
      <c r="G18" s="7">
        <v>2020</v>
      </c>
      <c r="H18" s="8">
        <v>43939</v>
      </c>
      <c r="I18" s="7" t="s">
        <v>32</v>
      </c>
      <c r="J18" s="7" t="s">
        <v>32</v>
      </c>
      <c r="K18" s="7" t="s">
        <v>40</v>
      </c>
      <c r="L18" s="7">
        <v>1</v>
      </c>
      <c r="M18" s="7" t="s">
        <v>32</v>
      </c>
      <c r="N18" s="7" t="s">
        <v>34</v>
      </c>
      <c r="O18" s="7" t="s">
        <v>34</v>
      </c>
      <c r="P18" s="7" t="s">
        <v>34</v>
      </c>
      <c r="Q18" s="7" t="s">
        <v>34</v>
      </c>
      <c r="R18" s="7" t="s">
        <v>34</v>
      </c>
      <c r="S18" s="7" t="s">
        <v>34</v>
      </c>
      <c r="T18" s="7" t="s">
        <v>34</v>
      </c>
      <c r="U18" s="7" t="s">
        <v>32</v>
      </c>
      <c r="V18" s="7">
        <v>1</v>
      </c>
      <c r="W18" s="7" t="s">
        <v>32</v>
      </c>
      <c r="X18" s="7" t="s">
        <v>32</v>
      </c>
      <c r="Y18" s="7" t="s">
        <v>32</v>
      </c>
      <c r="Z18" s="7" t="s">
        <v>32</v>
      </c>
      <c r="AA18" s="7">
        <v>32302820</v>
      </c>
      <c r="AB18" s="7">
        <v>1</v>
      </c>
      <c r="AC18" s="7"/>
      <c r="AD18" s="7">
        <v>3</v>
      </c>
      <c r="AE18" s="7">
        <f t="shared" si="0"/>
        <v>56</v>
      </c>
      <c r="AF18" s="7">
        <v>21</v>
      </c>
      <c r="AG18" s="7">
        <v>35</v>
      </c>
      <c r="AH18" s="7" t="s">
        <v>2845</v>
      </c>
      <c r="AI18" s="7" t="s">
        <v>2845</v>
      </c>
      <c r="AJ18" s="7">
        <v>35.700000000000003</v>
      </c>
      <c r="AK18" s="7">
        <v>12.2</v>
      </c>
      <c r="AL18" s="7">
        <v>32.700000000000003</v>
      </c>
      <c r="AM18" s="7">
        <v>10.1</v>
      </c>
      <c r="AN18" s="21" t="s">
        <v>2947</v>
      </c>
      <c r="AO18" s="7" t="s">
        <v>1638</v>
      </c>
      <c r="AP18" s="7" t="s">
        <v>2846</v>
      </c>
      <c r="AQ18" s="7" t="s">
        <v>2847</v>
      </c>
      <c r="AR18" s="7" t="s">
        <v>1646</v>
      </c>
      <c r="AS18" s="7" t="s">
        <v>1639</v>
      </c>
      <c r="AT18" s="7" t="s">
        <v>1646</v>
      </c>
      <c r="AU18" s="21" t="s">
        <v>3530</v>
      </c>
      <c r="AV18" s="7" t="s">
        <v>2848</v>
      </c>
      <c r="AW18" s="7">
        <v>1</v>
      </c>
      <c r="AX18" s="7">
        <v>1</v>
      </c>
      <c r="AY18" s="7" t="s">
        <v>2888</v>
      </c>
      <c r="AZ18">
        <v>-0.40416669999999999</v>
      </c>
      <c r="BB18">
        <v>0.12833</v>
      </c>
      <c r="BC18" t="s">
        <v>2864</v>
      </c>
      <c r="BD18">
        <v>-0.35416666000000002</v>
      </c>
      <c r="BF18">
        <v>8.1667000000000003E-2</v>
      </c>
    </row>
    <row r="19" spans="1:59" x14ac:dyDescent="0.2">
      <c r="A19" s="7">
        <v>2</v>
      </c>
      <c r="B19" s="7" t="s">
        <v>35</v>
      </c>
      <c r="C19" s="7" t="s">
        <v>36</v>
      </c>
      <c r="D19" s="7" t="s">
        <v>37</v>
      </c>
      <c r="E19" s="7" t="s">
        <v>38</v>
      </c>
      <c r="F19" s="7" t="s">
        <v>39</v>
      </c>
      <c r="G19" s="7">
        <v>2020</v>
      </c>
      <c r="H19" s="8">
        <v>43939</v>
      </c>
      <c r="I19" s="7" t="s">
        <v>32</v>
      </c>
      <c r="J19" s="7" t="s">
        <v>32</v>
      </c>
      <c r="K19" s="7" t="s">
        <v>40</v>
      </c>
      <c r="L19" s="7">
        <v>1</v>
      </c>
      <c r="M19" s="7" t="s">
        <v>32</v>
      </c>
      <c r="N19" s="7" t="s">
        <v>34</v>
      </c>
      <c r="O19" s="7" t="s">
        <v>34</v>
      </c>
      <c r="P19" s="7" t="s">
        <v>34</v>
      </c>
      <c r="Q19" s="7" t="s">
        <v>34</v>
      </c>
      <c r="R19" s="7" t="s">
        <v>34</v>
      </c>
      <c r="S19" s="7" t="s">
        <v>34</v>
      </c>
      <c r="T19" s="7" t="s">
        <v>34</v>
      </c>
      <c r="U19" s="7" t="s">
        <v>32</v>
      </c>
      <c r="V19" s="7">
        <v>1</v>
      </c>
      <c r="W19" s="7" t="s">
        <v>32</v>
      </c>
      <c r="X19" s="7" t="s">
        <v>32</v>
      </c>
      <c r="Y19" s="7" t="s">
        <v>32</v>
      </c>
      <c r="Z19" s="7" t="s">
        <v>32</v>
      </c>
      <c r="AA19" s="7">
        <v>32302820</v>
      </c>
      <c r="AB19" s="7">
        <v>1</v>
      </c>
      <c r="AC19" s="7"/>
      <c r="AD19" s="7">
        <v>3</v>
      </c>
      <c r="AE19" s="7">
        <f t="shared" si="0"/>
        <v>56</v>
      </c>
      <c r="AF19" s="7">
        <v>21</v>
      </c>
      <c r="AG19" s="7">
        <v>35</v>
      </c>
      <c r="AH19" s="7" t="s">
        <v>2845</v>
      </c>
      <c r="AI19" s="7" t="s">
        <v>2845</v>
      </c>
      <c r="AJ19" s="7">
        <v>35.700000000000003</v>
      </c>
      <c r="AK19" s="7">
        <v>12.2</v>
      </c>
      <c r="AL19" s="7">
        <v>32.700000000000003</v>
      </c>
      <c r="AM19" s="7">
        <v>10.1</v>
      </c>
      <c r="AN19" s="21" t="s">
        <v>2947</v>
      </c>
      <c r="AO19" s="7" t="s">
        <v>1638</v>
      </c>
      <c r="AP19" s="7" t="s">
        <v>2846</v>
      </c>
      <c r="AQ19" s="7" t="s">
        <v>2847</v>
      </c>
      <c r="AR19" s="7" t="s">
        <v>1646</v>
      </c>
      <c r="AS19" s="7" t="s">
        <v>1639</v>
      </c>
      <c r="AT19" s="7" t="s">
        <v>1646</v>
      </c>
      <c r="AU19" s="21" t="s">
        <v>3530</v>
      </c>
      <c r="AV19" s="7" t="s">
        <v>2848</v>
      </c>
      <c r="AW19" s="7">
        <v>1</v>
      </c>
      <c r="AX19" s="7">
        <v>1</v>
      </c>
      <c r="AY19" s="7" t="s">
        <v>2889</v>
      </c>
      <c r="AZ19">
        <v>0.48416670000000001</v>
      </c>
      <c r="BB19">
        <v>0.14499999999999999</v>
      </c>
      <c r="BC19" t="s">
        <v>2865</v>
      </c>
      <c r="BD19">
        <v>0.62749999999999995</v>
      </c>
      <c r="BF19">
        <v>0.105</v>
      </c>
    </row>
    <row r="20" spans="1:59" x14ac:dyDescent="0.2">
      <c r="A20" s="7">
        <v>2</v>
      </c>
      <c r="B20" s="7" t="s">
        <v>35</v>
      </c>
      <c r="C20" s="7" t="s">
        <v>36</v>
      </c>
      <c r="D20" s="7" t="s">
        <v>37</v>
      </c>
      <c r="E20" s="7" t="s">
        <v>38</v>
      </c>
      <c r="F20" s="7" t="s">
        <v>39</v>
      </c>
      <c r="G20" s="7">
        <v>2020</v>
      </c>
      <c r="H20" s="8">
        <v>43939</v>
      </c>
      <c r="I20" s="7" t="s">
        <v>32</v>
      </c>
      <c r="J20" s="7" t="s">
        <v>32</v>
      </c>
      <c r="K20" s="7" t="s">
        <v>40</v>
      </c>
      <c r="L20" s="7">
        <v>1</v>
      </c>
      <c r="M20" s="7" t="s">
        <v>32</v>
      </c>
      <c r="N20" s="7" t="s">
        <v>34</v>
      </c>
      <c r="O20" s="7" t="s">
        <v>34</v>
      </c>
      <c r="P20" s="7" t="s">
        <v>34</v>
      </c>
      <c r="Q20" s="7" t="s">
        <v>34</v>
      </c>
      <c r="R20" s="7" t="s">
        <v>34</v>
      </c>
      <c r="S20" s="7" t="s">
        <v>34</v>
      </c>
      <c r="T20" s="7" t="s">
        <v>34</v>
      </c>
      <c r="U20" s="7" t="s">
        <v>32</v>
      </c>
      <c r="V20" s="7">
        <v>1</v>
      </c>
      <c r="W20" s="7" t="s">
        <v>32</v>
      </c>
      <c r="X20" s="7" t="s">
        <v>32</v>
      </c>
      <c r="Y20" s="7" t="s">
        <v>32</v>
      </c>
      <c r="Z20" s="7" t="s">
        <v>32</v>
      </c>
      <c r="AA20" s="7">
        <v>32302820</v>
      </c>
      <c r="AB20" s="7">
        <v>1</v>
      </c>
      <c r="AC20" s="7"/>
      <c r="AD20" s="7">
        <v>3</v>
      </c>
      <c r="AE20" s="7">
        <f t="shared" si="0"/>
        <v>56</v>
      </c>
      <c r="AF20" s="7">
        <v>21</v>
      </c>
      <c r="AG20" s="7">
        <v>35</v>
      </c>
      <c r="AH20" s="7" t="s">
        <v>2845</v>
      </c>
      <c r="AI20" s="7" t="s">
        <v>2845</v>
      </c>
      <c r="AJ20" s="7">
        <v>35.700000000000003</v>
      </c>
      <c r="AK20" s="7">
        <v>12.2</v>
      </c>
      <c r="AL20" s="7">
        <v>32.700000000000003</v>
      </c>
      <c r="AM20" s="7">
        <v>10.1</v>
      </c>
      <c r="AN20" s="21" t="s">
        <v>2947</v>
      </c>
      <c r="AO20" s="7" t="s">
        <v>1638</v>
      </c>
      <c r="AP20" s="7" t="s">
        <v>2846</v>
      </c>
      <c r="AQ20" s="7" t="s">
        <v>2847</v>
      </c>
      <c r="AR20" s="7" t="s">
        <v>1646</v>
      </c>
      <c r="AS20" s="7" t="s">
        <v>1639</v>
      </c>
      <c r="AT20" s="7" t="s">
        <v>1646</v>
      </c>
      <c r="AU20" s="21" t="s">
        <v>3530</v>
      </c>
      <c r="AV20" s="7" t="s">
        <v>2848</v>
      </c>
      <c r="AW20" s="7">
        <v>1</v>
      </c>
      <c r="AX20" s="7">
        <v>1</v>
      </c>
      <c r="AY20" s="7" t="s">
        <v>2890</v>
      </c>
      <c r="AZ20">
        <v>-0.45750000000000002</v>
      </c>
      <c r="BB20">
        <v>7.0000000000000007E-2</v>
      </c>
      <c r="BC20" t="s">
        <v>2866</v>
      </c>
      <c r="BD20">
        <v>-0.27583333999999998</v>
      </c>
      <c r="BF20">
        <v>0.11</v>
      </c>
    </row>
    <row r="21" spans="1:59" x14ac:dyDescent="0.2">
      <c r="A21" s="7">
        <v>2</v>
      </c>
      <c r="B21" s="7" t="s">
        <v>35</v>
      </c>
      <c r="C21" s="7" t="s">
        <v>36</v>
      </c>
      <c r="D21" s="7" t="s">
        <v>37</v>
      </c>
      <c r="E21" s="7" t="s">
        <v>38</v>
      </c>
      <c r="F21" s="7" t="s">
        <v>39</v>
      </c>
      <c r="G21" s="7">
        <v>2020</v>
      </c>
      <c r="H21" s="8">
        <v>43939</v>
      </c>
      <c r="I21" s="7" t="s">
        <v>32</v>
      </c>
      <c r="J21" s="7" t="s">
        <v>32</v>
      </c>
      <c r="K21" s="7" t="s">
        <v>40</v>
      </c>
      <c r="L21" s="7">
        <v>1</v>
      </c>
      <c r="M21" s="7" t="s">
        <v>32</v>
      </c>
      <c r="N21" s="7" t="s">
        <v>34</v>
      </c>
      <c r="O21" s="7" t="s">
        <v>34</v>
      </c>
      <c r="P21" s="7" t="s">
        <v>34</v>
      </c>
      <c r="Q21" s="7" t="s">
        <v>34</v>
      </c>
      <c r="R21" s="7" t="s">
        <v>34</v>
      </c>
      <c r="S21" s="7" t="s">
        <v>34</v>
      </c>
      <c r="T21" s="7" t="s">
        <v>34</v>
      </c>
      <c r="U21" s="7" t="s">
        <v>32</v>
      </c>
      <c r="V21" s="7">
        <v>1</v>
      </c>
      <c r="W21" s="7" t="s">
        <v>32</v>
      </c>
      <c r="X21" s="7" t="s">
        <v>32</v>
      </c>
      <c r="Y21" s="7" t="s">
        <v>32</v>
      </c>
      <c r="Z21" s="7" t="s">
        <v>32</v>
      </c>
      <c r="AA21" s="7">
        <v>32302820</v>
      </c>
      <c r="AB21" s="7">
        <v>1</v>
      </c>
      <c r="AC21" s="7"/>
      <c r="AD21" s="7">
        <v>3</v>
      </c>
      <c r="AE21" s="7">
        <f t="shared" si="0"/>
        <v>56</v>
      </c>
      <c r="AF21" s="7">
        <v>21</v>
      </c>
      <c r="AG21" s="7">
        <v>35</v>
      </c>
      <c r="AH21" s="7" t="s">
        <v>2845</v>
      </c>
      <c r="AI21" s="7" t="s">
        <v>2845</v>
      </c>
      <c r="AJ21" s="7">
        <v>35.700000000000003</v>
      </c>
      <c r="AK21" s="7">
        <v>12.2</v>
      </c>
      <c r="AL21" s="7">
        <v>32.700000000000003</v>
      </c>
      <c r="AM21" s="7">
        <v>10.1</v>
      </c>
      <c r="AN21" s="21" t="s">
        <v>2947</v>
      </c>
      <c r="AO21" s="7" t="s">
        <v>1638</v>
      </c>
      <c r="AP21" s="7" t="s">
        <v>2846</v>
      </c>
      <c r="AQ21" s="7" t="s">
        <v>2847</v>
      </c>
      <c r="AR21" s="7" t="s">
        <v>1646</v>
      </c>
      <c r="AS21" s="7" t="s">
        <v>1639</v>
      </c>
      <c r="AT21" s="7" t="s">
        <v>1646</v>
      </c>
      <c r="AU21" s="21" t="s">
        <v>2928</v>
      </c>
      <c r="AV21" s="7" t="s">
        <v>2848</v>
      </c>
      <c r="AW21" s="7">
        <v>1</v>
      </c>
      <c r="AX21" s="7">
        <v>1</v>
      </c>
      <c r="AY21" s="7" t="s">
        <v>2891</v>
      </c>
      <c r="AZ21">
        <v>0.33916667</v>
      </c>
      <c r="BB21">
        <v>0.12166667</v>
      </c>
      <c r="BC21" t="s">
        <v>2867</v>
      </c>
      <c r="BD21">
        <v>0.22083332999999999</v>
      </c>
      <c r="BF21">
        <v>9.3333340000000001E-2</v>
      </c>
    </row>
    <row r="22" spans="1:59" x14ac:dyDescent="0.2">
      <c r="A22" s="7">
        <v>2</v>
      </c>
      <c r="B22" s="7" t="s">
        <v>35</v>
      </c>
      <c r="C22" s="7" t="s">
        <v>36</v>
      </c>
      <c r="D22" s="7" t="s">
        <v>37</v>
      </c>
      <c r="E22" s="7" t="s">
        <v>38</v>
      </c>
      <c r="F22" s="7" t="s">
        <v>39</v>
      </c>
      <c r="G22" s="7">
        <v>2020</v>
      </c>
      <c r="H22" s="8">
        <v>43939</v>
      </c>
      <c r="I22" s="7" t="s">
        <v>32</v>
      </c>
      <c r="J22" s="7" t="s">
        <v>32</v>
      </c>
      <c r="K22" s="7" t="s">
        <v>40</v>
      </c>
      <c r="L22" s="7">
        <v>1</v>
      </c>
      <c r="M22" s="7" t="s">
        <v>32</v>
      </c>
      <c r="N22" s="7" t="s">
        <v>34</v>
      </c>
      <c r="O22" s="7" t="s">
        <v>34</v>
      </c>
      <c r="P22" s="7" t="s">
        <v>34</v>
      </c>
      <c r="Q22" s="7" t="s">
        <v>34</v>
      </c>
      <c r="R22" s="7" t="s">
        <v>34</v>
      </c>
      <c r="S22" s="7" t="s">
        <v>34</v>
      </c>
      <c r="T22" s="7" t="s">
        <v>34</v>
      </c>
      <c r="U22" s="7" t="s">
        <v>32</v>
      </c>
      <c r="V22" s="7">
        <v>1</v>
      </c>
      <c r="W22" s="7" t="s">
        <v>32</v>
      </c>
      <c r="X22" s="7" t="s">
        <v>32</v>
      </c>
      <c r="Y22" s="7" t="s">
        <v>32</v>
      </c>
      <c r="Z22" s="7" t="s">
        <v>32</v>
      </c>
      <c r="AA22" s="7">
        <v>32302820</v>
      </c>
      <c r="AB22" s="7">
        <v>1</v>
      </c>
      <c r="AC22" s="7"/>
      <c r="AD22" s="7">
        <v>3</v>
      </c>
      <c r="AE22" s="7">
        <f t="shared" si="0"/>
        <v>56</v>
      </c>
      <c r="AF22" s="7">
        <v>21</v>
      </c>
      <c r="AG22" s="7">
        <v>35</v>
      </c>
      <c r="AH22" s="7" t="s">
        <v>2845</v>
      </c>
      <c r="AI22" s="7" t="s">
        <v>2845</v>
      </c>
      <c r="AJ22" s="7">
        <v>35.700000000000003</v>
      </c>
      <c r="AK22" s="7">
        <v>12.2</v>
      </c>
      <c r="AL22" s="7">
        <v>32.700000000000003</v>
      </c>
      <c r="AM22" s="7">
        <v>10.1</v>
      </c>
      <c r="AN22" s="21" t="s">
        <v>2947</v>
      </c>
      <c r="AO22" s="7" t="s">
        <v>1638</v>
      </c>
      <c r="AP22" s="7" t="s">
        <v>2846</v>
      </c>
      <c r="AQ22" s="7" t="s">
        <v>2847</v>
      </c>
      <c r="AR22" s="7" t="s">
        <v>1646</v>
      </c>
      <c r="AS22" s="7" t="s">
        <v>1639</v>
      </c>
      <c r="AT22" s="7" t="s">
        <v>1646</v>
      </c>
      <c r="AU22" s="21" t="s">
        <v>2928</v>
      </c>
      <c r="AV22" s="7" t="s">
        <v>2848</v>
      </c>
      <c r="AW22" s="7">
        <v>1</v>
      </c>
      <c r="AX22" s="7">
        <v>1</v>
      </c>
      <c r="AY22" s="7" t="s">
        <v>2892</v>
      </c>
      <c r="AZ22">
        <v>3.0833334E-2</v>
      </c>
      <c r="BB22">
        <v>0.101666666</v>
      </c>
      <c r="BC22" t="s">
        <v>2868</v>
      </c>
      <c r="BD22">
        <v>8.7499999999999994E-2</v>
      </c>
      <c r="BF22">
        <v>9.8333329999999997E-2</v>
      </c>
    </row>
    <row r="23" spans="1:59" x14ac:dyDescent="0.2">
      <c r="A23" s="7">
        <v>2</v>
      </c>
      <c r="B23" s="7" t="s">
        <v>35</v>
      </c>
      <c r="C23" s="7" t="s">
        <v>36</v>
      </c>
      <c r="D23" s="7" t="s">
        <v>37</v>
      </c>
      <c r="E23" s="7" t="s">
        <v>38</v>
      </c>
      <c r="F23" s="7" t="s">
        <v>39</v>
      </c>
      <c r="G23" s="7">
        <v>2020</v>
      </c>
      <c r="H23" s="8">
        <v>43939</v>
      </c>
      <c r="I23" s="7" t="s">
        <v>32</v>
      </c>
      <c r="J23" s="7" t="s">
        <v>32</v>
      </c>
      <c r="K23" s="7" t="s">
        <v>40</v>
      </c>
      <c r="L23" s="7">
        <v>1</v>
      </c>
      <c r="M23" s="7" t="s">
        <v>32</v>
      </c>
      <c r="N23" s="7" t="s">
        <v>34</v>
      </c>
      <c r="O23" s="7" t="s">
        <v>34</v>
      </c>
      <c r="P23" s="7" t="s">
        <v>34</v>
      </c>
      <c r="Q23" s="7" t="s">
        <v>34</v>
      </c>
      <c r="R23" s="7" t="s">
        <v>34</v>
      </c>
      <c r="S23" s="7" t="s">
        <v>34</v>
      </c>
      <c r="T23" s="7" t="s">
        <v>34</v>
      </c>
      <c r="U23" s="7" t="s">
        <v>32</v>
      </c>
      <c r="V23" s="7">
        <v>1</v>
      </c>
      <c r="W23" s="7" t="s">
        <v>32</v>
      </c>
      <c r="X23" s="7" t="s">
        <v>32</v>
      </c>
      <c r="Y23" s="7" t="s">
        <v>32</v>
      </c>
      <c r="Z23" s="7" t="s">
        <v>32</v>
      </c>
      <c r="AA23" s="7">
        <v>32302820</v>
      </c>
      <c r="AB23" s="7">
        <v>1</v>
      </c>
      <c r="AC23" s="7"/>
      <c r="AD23" s="7">
        <v>3</v>
      </c>
      <c r="AE23" s="7">
        <f t="shared" si="0"/>
        <v>56</v>
      </c>
      <c r="AF23" s="7">
        <v>21</v>
      </c>
      <c r="AG23" s="7">
        <v>35</v>
      </c>
      <c r="AH23" s="7" t="s">
        <v>2845</v>
      </c>
      <c r="AI23" s="7" t="s">
        <v>2845</v>
      </c>
      <c r="AJ23" s="7">
        <v>35.700000000000003</v>
      </c>
      <c r="AK23" s="7">
        <v>12.2</v>
      </c>
      <c r="AL23" s="7">
        <v>32.700000000000003</v>
      </c>
      <c r="AM23" s="7">
        <v>10.1</v>
      </c>
      <c r="AN23" s="21" t="s">
        <v>2947</v>
      </c>
      <c r="AO23" s="7" t="s">
        <v>1638</v>
      </c>
      <c r="AP23" s="7" t="s">
        <v>2846</v>
      </c>
      <c r="AQ23" s="7" t="s">
        <v>2847</v>
      </c>
      <c r="AR23" s="7" t="s">
        <v>1646</v>
      </c>
      <c r="AS23" s="7" t="s">
        <v>1639</v>
      </c>
      <c r="AT23" s="7" t="s">
        <v>1646</v>
      </c>
      <c r="AU23" s="21" t="s">
        <v>3033</v>
      </c>
      <c r="AV23" s="7" t="s">
        <v>2848</v>
      </c>
      <c r="AW23" s="7">
        <v>1</v>
      </c>
      <c r="AX23" s="7">
        <v>1</v>
      </c>
      <c r="AY23" s="7" t="s">
        <v>2893</v>
      </c>
      <c r="AZ23">
        <v>-0.20749999999999999</v>
      </c>
      <c r="BB23">
        <v>0.08</v>
      </c>
      <c r="BC23" t="s">
        <v>2869</v>
      </c>
      <c r="BD23">
        <v>-0.36083335</v>
      </c>
      <c r="BF23">
        <v>6.8333350000000001E-2</v>
      </c>
    </row>
    <row r="24" spans="1:59" x14ac:dyDescent="0.2">
      <c r="A24" s="7">
        <v>2</v>
      </c>
      <c r="B24" s="7" t="s">
        <v>35</v>
      </c>
      <c r="C24" s="7" t="s">
        <v>36</v>
      </c>
      <c r="D24" s="7" t="s">
        <v>37</v>
      </c>
      <c r="E24" s="7" t="s">
        <v>38</v>
      </c>
      <c r="F24" s="7" t="s">
        <v>39</v>
      </c>
      <c r="G24" s="7">
        <v>2020</v>
      </c>
      <c r="H24" s="8">
        <v>43939</v>
      </c>
      <c r="I24" s="7" t="s">
        <v>32</v>
      </c>
      <c r="J24" s="7" t="s">
        <v>32</v>
      </c>
      <c r="K24" s="7" t="s">
        <v>40</v>
      </c>
      <c r="L24" s="7">
        <v>1</v>
      </c>
      <c r="M24" s="7" t="s">
        <v>32</v>
      </c>
      <c r="N24" s="7" t="s">
        <v>34</v>
      </c>
      <c r="O24" s="7" t="s">
        <v>34</v>
      </c>
      <c r="P24" s="7" t="s">
        <v>34</v>
      </c>
      <c r="Q24" s="7" t="s">
        <v>34</v>
      </c>
      <c r="R24" s="7" t="s">
        <v>34</v>
      </c>
      <c r="S24" s="7" t="s">
        <v>34</v>
      </c>
      <c r="T24" s="7" t="s">
        <v>34</v>
      </c>
      <c r="U24" s="7" t="s">
        <v>32</v>
      </c>
      <c r="V24" s="7">
        <v>1</v>
      </c>
      <c r="W24" s="7" t="s">
        <v>32</v>
      </c>
      <c r="X24" s="7" t="s">
        <v>32</v>
      </c>
      <c r="Y24" s="7" t="s">
        <v>32</v>
      </c>
      <c r="Z24" s="7" t="s">
        <v>32</v>
      </c>
      <c r="AA24" s="7">
        <v>32302820</v>
      </c>
      <c r="AB24" s="7">
        <v>1</v>
      </c>
      <c r="AC24" s="7"/>
      <c r="AD24" s="7">
        <v>3</v>
      </c>
      <c r="AE24" s="7">
        <f t="shared" si="0"/>
        <v>56</v>
      </c>
      <c r="AF24" s="7">
        <v>21</v>
      </c>
      <c r="AG24" s="7">
        <v>35</v>
      </c>
      <c r="AH24" s="7" t="s">
        <v>2845</v>
      </c>
      <c r="AI24" s="7" t="s">
        <v>2845</v>
      </c>
      <c r="AJ24" s="7">
        <v>35.700000000000003</v>
      </c>
      <c r="AK24" s="7">
        <v>12.2</v>
      </c>
      <c r="AL24" s="7">
        <v>32.700000000000003</v>
      </c>
      <c r="AM24" s="7">
        <v>10.1</v>
      </c>
      <c r="AN24" s="21" t="s">
        <v>2947</v>
      </c>
      <c r="AO24" s="7" t="s">
        <v>1638</v>
      </c>
      <c r="AP24" s="7" t="s">
        <v>2846</v>
      </c>
      <c r="AQ24" s="7" t="s">
        <v>2847</v>
      </c>
      <c r="AR24" s="7" t="s">
        <v>1646</v>
      </c>
      <c r="AS24" s="7" t="s">
        <v>1639</v>
      </c>
      <c r="AT24" s="7" t="s">
        <v>1646</v>
      </c>
      <c r="AU24" s="21" t="s">
        <v>3033</v>
      </c>
      <c r="AV24" s="7" t="s">
        <v>2848</v>
      </c>
      <c r="AW24" s="7">
        <v>1</v>
      </c>
      <c r="AX24" s="7">
        <v>1</v>
      </c>
      <c r="AY24" s="7" t="s">
        <v>2894</v>
      </c>
      <c r="AZ24">
        <v>-0.26416665</v>
      </c>
      <c r="BB24">
        <v>8.6666649999999998E-2</v>
      </c>
      <c r="BC24" t="s">
        <v>2870</v>
      </c>
      <c r="BD24">
        <v>-0.46750000000000003</v>
      </c>
      <c r="BF24">
        <v>7.0000000000000007E-2</v>
      </c>
    </row>
    <row r="25" spans="1:59" x14ac:dyDescent="0.2">
      <c r="A25" s="7">
        <v>2</v>
      </c>
      <c r="B25" s="7" t="s">
        <v>35</v>
      </c>
      <c r="C25" s="7" t="s">
        <v>36</v>
      </c>
      <c r="D25" s="7" t="s">
        <v>37</v>
      </c>
      <c r="E25" s="7" t="s">
        <v>38</v>
      </c>
      <c r="F25" s="7" t="s">
        <v>39</v>
      </c>
      <c r="G25" s="7">
        <v>2020</v>
      </c>
      <c r="H25" s="8">
        <v>43939</v>
      </c>
      <c r="I25" s="7" t="s">
        <v>32</v>
      </c>
      <c r="J25" s="7" t="s">
        <v>32</v>
      </c>
      <c r="K25" s="7" t="s">
        <v>40</v>
      </c>
      <c r="L25" s="7">
        <v>1</v>
      </c>
      <c r="M25" s="7" t="s">
        <v>32</v>
      </c>
      <c r="N25" s="7" t="s">
        <v>34</v>
      </c>
      <c r="O25" s="7" t="s">
        <v>34</v>
      </c>
      <c r="P25" s="7" t="s">
        <v>34</v>
      </c>
      <c r="Q25" s="7" t="s">
        <v>34</v>
      </c>
      <c r="R25" s="7" t="s">
        <v>34</v>
      </c>
      <c r="S25" s="7" t="s">
        <v>34</v>
      </c>
      <c r="T25" s="7" t="s">
        <v>34</v>
      </c>
      <c r="U25" s="7" t="s">
        <v>32</v>
      </c>
      <c r="V25" s="7">
        <v>1</v>
      </c>
      <c r="W25" s="7" t="s">
        <v>32</v>
      </c>
      <c r="X25" s="7" t="s">
        <v>32</v>
      </c>
      <c r="Y25" s="7" t="s">
        <v>32</v>
      </c>
      <c r="Z25" s="7" t="s">
        <v>32</v>
      </c>
      <c r="AA25" s="7">
        <v>32302820</v>
      </c>
      <c r="AB25" s="7">
        <v>1</v>
      </c>
      <c r="AC25" s="7"/>
      <c r="AD25" s="7">
        <v>3</v>
      </c>
      <c r="AE25" s="7">
        <f t="shared" si="0"/>
        <v>56</v>
      </c>
      <c r="AF25" s="7">
        <v>21</v>
      </c>
      <c r="AG25" s="7">
        <v>35</v>
      </c>
      <c r="AH25" s="7" t="s">
        <v>2845</v>
      </c>
      <c r="AI25" s="7" t="s">
        <v>2845</v>
      </c>
      <c r="AJ25" s="7">
        <v>35.700000000000003</v>
      </c>
      <c r="AK25" s="7">
        <v>12.2</v>
      </c>
      <c r="AL25" s="7">
        <v>32.700000000000003</v>
      </c>
      <c r="AM25" s="7">
        <v>10.1</v>
      </c>
      <c r="AN25" s="21" t="s">
        <v>2947</v>
      </c>
      <c r="AO25" s="7" t="s">
        <v>1638</v>
      </c>
      <c r="AP25" s="7" t="s">
        <v>2846</v>
      </c>
      <c r="AQ25" s="7" t="s">
        <v>2847</v>
      </c>
      <c r="AR25" s="7" t="s">
        <v>1646</v>
      </c>
      <c r="AS25" s="7" t="s">
        <v>1639</v>
      </c>
      <c r="AT25" s="7" t="s">
        <v>1646</v>
      </c>
      <c r="AU25" s="21" t="s">
        <v>3033</v>
      </c>
      <c r="AV25" s="7" t="s">
        <v>2848</v>
      </c>
      <c r="AW25" s="7">
        <v>1</v>
      </c>
      <c r="AX25" s="7">
        <v>1</v>
      </c>
      <c r="AY25" s="7" t="s">
        <v>2895</v>
      </c>
      <c r="AZ25">
        <v>0.48583335</v>
      </c>
      <c r="BB25">
        <v>0.16999995000000001</v>
      </c>
      <c r="BC25" t="s">
        <v>2871</v>
      </c>
      <c r="BD25">
        <v>0.46083333999999998</v>
      </c>
      <c r="BF25">
        <v>9.8333329999999997E-2</v>
      </c>
    </row>
    <row r="26" spans="1:59" x14ac:dyDescent="0.2">
      <c r="A26" s="7">
        <v>2</v>
      </c>
      <c r="B26" s="7" t="s">
        <v>35</v>
      </c>
      <c r="C26" s="7" t="s">
        <v>36</v>
      </c>
      <c r="D26" s="7" t="s">
        <v>37</v>
      </c>
      <c r="E26" s="7" t="s">
        <v>38</v>
      </c>
      <c r="F26" s="7" t="s">
        <v>39</v>
      </c>
      <c r="G26" s="7">
        <v>2020</v>
      </c>
      <c r="H26" s="8">
        <v>43939</v>
      </c>
      <c r="I26" s="7" t="s">
        <v>32</v>
      </c>
      <c r="J26" s="7" t="s">
        <v>32</v>
      </c>
      <c r="K26" s="7" t="s">
        <v>40</v>
      </c>
      <c r="L26" s="7">
        <v>1</v>
      </c>
      <c r="M26" s="7" t="s">
        <v>32</v>
      </c>
      <c r="N26" s="7" t="s">
        <v>34</v>
      </c>
      <c r="O26" s="7" t="s">
        <v>34</v>
      </c>
      <c r="P26" s="7" t="s">
        <v>34</v>
      </c>
      <c r="Q26" s="7" t="s">
        <v>34</v>
      </c>
      <c r="R26" s="7" t="s">
        <v>34</v>
      </c>
      <c r="S26" s="7" t="s">
        <v>34</v>
      </c>
      <c r="T26" s="7" t="s">
        <v>34</v>
      </c>
      <c r="U26" s="7" t="s">
        <v>32</v>
      </c>
      <c r="V26" s="7">
        <v>1</v>
      </c>
      <c r="W26" s="7" t="s">
        <v>32</v>
      </c>
      <c r="X26" s="7" t="s">
        <v>32</v>
      </c>
      <c r="Y26" s="7" t="s">
        <v>32</v>
      </c>
      <c r="Z26" s="7" t="s">
        <v>32</v>
      </c>
      <c r="AA26" s="7">
        <v>32302820</v>
      </c>
      <c r="AB26" s="7">
        <v>1</v>
      </c>
      <c r="AC26" s="7"/>
      <c r="AD26" s="7">
        <v>3</v>
      </c>
      <c r="AE26" s="7">
        <f t="shared" si="0"/>
        <v>56</v>
      </c>
      <c r="AF26" s="7">
        <v>21</v>
      </c>
      <c r="AG26" s="7">
        <v>35</v>
      </c>
      <c r="AH26" s="7" t="s">
        <v>2845</v>
      </c>
      <c r="AI26" s="7" t="s">
        <v>2845</v>
      </c>
      <c r="AJ26" s="7">
        <v>35.700000000000003</v>
      </c>
      <c r="AK26" s="7">
        <v>12.2</v>
      </c>
      <c r="AL26" s="7">
        <v>32.700000000000003</v>
      </c>
      <c r="AM26" s="7">
        <v>10.1</v>
      </c>
      <c r="AN26" s="21" t="s">
        <v>2947</v>
      </c>
      <c r="AO26" s="7" t="s">
        <v>1638</v>
      </c>
      <c r="AP26" s="7" t="s">
        <v>2846</v>
      </c>
      <c r="AQ26" s="7" t="s">
        <v>2847</v>
      </c>
      <c r="AR26" s="7" t="s">
        <v>1646</v>
      </c>
      <c r="AS26" s="7" t="s">
        <v>1639</v>
      </c>
      <c r="AT26" s="7" t="s">
        <v>1646</v>
      </c>
      <c r="AU26" s="21" t="s">
        <v>3033</v>
      </c>
      <c r="AV26" s="7" t="s">
        <v>2848</v>
      </c>
      <c r="AW26" s="7">
        <v>1</v>
      </c>
      <c r="AX26" s="7">
        <v>1</v>
      </c>
      <c r="AY26" s="7" t="s">
        <v>2896</v>
      </c>
      <c r="AZ26">
        <v>-0.35583332000000001</v>
      </c>
      <c r="BB26">
        <v>0.10499999</v>
      </c>
      <c r="BC26" t="s">
        <v>2872</v>
      </c>
      <c r="BD26">
        <v>-7.9166665999999997E-2</v>
      </c>
      <c r="BF26">
        <v>8.8333332000000001E-2</v>
      </c>
    </row>
    <row r="27" spans="1:59" x14ac:dyDescent="0.2">
      <c r="A27" s="7">
        <v>3</v>
      </c>
      <c r="B27" s="7" t="s">
        <v>41</v>
      </c>
      <c r="C27" s="7" t="s">
        <v>42</v>
      </c>
      <c r="D27" s="7" t="s">
        <v>43</v>
      </c>
      <c r="E27" s="7" t="s">
        <v>44</v>
      </c>
      <c r="F27" s="7" t="s">
        <v>45</v>
      </c>
      <c r="G27" s="7">
        <v>2020</v>
      </c>
      <c r="H27" s="8">
        <v>43921</v>
      </c>
      <c r="I27" s="7" t="s">
        <v>32</v>
      </c>
      <c r="J27" s="7" t="s">
        <v>32</v>
      </c>
      <c r="K27" s="7" t="s">
        <v>46</v>
      </c>
      <c r="L27" s="7">
        <v>1</v>
      </c>
      <c r="M27" s="7" t="s">
        <v>32</v>
      </c>
      <c r="N27" s="7" t="s">
        <v>34</v>
      </c>
      <c r="O27" s="7" t="s">
        <v>34</v>
      </c>
      <c r="P27" s="7" t="s">
        <v>34</v>
      </c>
      <c r="Q27" s="7" t="s">
        <v>34</v>
      </c>
      <c r="R27" s="7" t="s">
        <v>34</v>
      </c>
      <c r="S27" s="7" t="s">
        <v>34</v>
      </c>
      <c r="T27" s="7" t="s">
        <v>34</v>
      </c>
      <c r="U27" s="7" t="s">
        <v>32</v>
      </c>
      <c r="V27" s="7">
        <v>1</v>
      </c>
      <c r="W27" s="7" t="s">
        <v>32</v>
      </c>
      <c r="X27" s="7" t="s">
        <v>32</v>
      </c>
      <c r="Y27" s="7" t="s">
        <v>32</v>
      </c>
      <c r="Z27" s="7" t="s">
        <v>32</v>
      </c>
      <c r="AA27" s="7">
        <v>32222725</v>
      </c>
      <c r="AB27" s="7">
        <v>1</v>
      </c>
      <c r="AC27" s="7"/>
      <c r="AD27" s="7">
        <v>2</v>
      </c>
      <c r="AE27" s="7">
        <f t="shared" si="0"/>
        <v>46</v>
      </c>
      <c r="AF27" s="7">
        <v>23</v>
      </c>
      <c r="AG27" s="7">
        <v>23</v>
      </c>
      <c r="AH27" s="7" t="s">
        <v>2845</v>
      </c>
      <c r="AI27" s="7" t="s">
        <v>2845</v>
      </c>
      <c r="AJ27" s="7">
        <v>41.83</v>
      </c>
      <c r="AK27" s="7">
        <v>8.3699999999999992</v>
      </c>
      <c r="AL27" s="7">
        <v>38.65</v>
      </c>
      <c r="AM27" s="7">
        <v>8.07</v>
      </c>
      <c r="AN27" s="21" t="s">
        <v>2902</v>
      </c>
      <c r="AO27" s="7" t="s">
        <v>1770</v>
      </c>
      <c r="AP27" s="7" t="s">
        <v>2900</v>
      </c>
      <c r="AQ27" s="7" t="s">
        <v>2901</v>
      </c>
      <c r="AR27" s="7" t="s">
        <v>1646</v>
      </c>
      <c r="AS27" s="7" t="s">
        <v>1639</v>
      </c>
      <c r="AT27" s="21" t="s">
        <v>1646</v>
      </c>
      <c r="AU27" s="21" t="s">
        <v>2898</v>
      </c>
      <c r="AV27" s="21" t="s">
        <v>2907</v>
      </c>
      <c r="AW27" s="21">
        <v>2</v>
      </c>
      <c r="AX27" s="21">
        <v>2</v>
      </c>
      <c r="AY27" s="7" t="s">
        <v>2903</v>
      </c>
      <c r="AZ27" s="7">
        <v>0.33503699999999997</v>
      </c>
      <c r="BA27" s="7"/>
      <c r="BB27" s="7">
        <f>0.382072-AZ27</f>
        <v>4.7035000000000049E-2</v>
      </c>
      <c r="BC27" s="36" t="s">
        <v>2905</v>
      </c>
      <c r="BD27" s="73">
        <v>0.41888199999999998</v>
      </c>
      <c r="BE27" s="36"/>
      <c r="BF27" s="73">
        <f>0.467961-BD27</f>
        <v>4.9079000000000039E-2</v>
      </c>
      <c r="BG27" s="36" t="s">
        <v>2976</v>
      </c>
    </row>
    <row r="28" spans="1:59" x14ac:dyDescent="0.2">
      <c r="A28" s="7">
        <v>3</v>
      </c>
      <c r="B28" s="7" t="s">
        <v>41</v>
      </c>
      <c r="C28" s="7" t="s">
        <v>42</v>
      </c>
      <c r="D28" s="7" t="s">
        <v>43</v>
      </c>
      <c r="E28" s="7" t="s">
        <v>44</v>
      </c>
      <c r="F28" s="7" t="s">
        <v>45</v>
      </c>
      <c r="G28" s="7">
        <v>2020</v>
      </c>
      <c r="H28" s="8">
        <v>43921</v>
      </c>
      <c r="I28" s="7" t="s">
        <v>32</v>
      </c>
      <c r="J28" s="7" t="s">
        <v>32</v>
      </c>
      <c r="K28" s="7" t="s">
        <v>46</v>
      </c>
      <c r="L28" s="7">
        <v>1</v>
      </c>
      <c r="M28" s="7" t="s">
        <v>32</v>
      </c>
      <c r="N28" s="7" t="s">
        <v>34</v>
      </c>
      <c r="O28" s="7" t="s">
        <v>34</v>
      </c>
      <c r="P28" s="7" t="s">
        <v>34</v>
      </c>
      <c r="Q28" s="7" t="s">
        <v>34</v>
      </c>
      <c r="R28" s="7" t="s">
        <v>34</v>
      </c>
      <c r="S28" s="7" t="s">
        <v>34</v>
      </c>
      <c r="T28" s="7" t="s">
        <v>34</v>
      </c>
      <c r="U28" s="7" t="s">
        <v>32</v>
      </c>
      <c r="V28" s="7">
        <v>1</v>
      </c>
      <c r="W28" s="7" t="s">
        <v>32</v>
      </c>
      <c r="X28" s="7" t="s">
        <v>32</v>
      </c>
      <c r="Y28" s="7" t="s">
        <v>32</v>
      </c>
      <c r="Z28" s="7" t="s">
        <v>32</v>
      </c>
      <c r="AA28" s="7">
        <v>32222725</v>
      </c>
      <c r="AB28" s="7">
        <v>1</v>
      </c>
      <c r="AC28" s="7"/>
      <c r="AD28" s="7">
        <v>2</v>
      </c>
      <c r="AE28" s="7">
        <f t="shared" si="0"/>
        <v>36</v>
      </c>
      <c r="AF28" s="7">
        <v>17</v>
      </c>
      <c r="AG28" s="7">
        <v>19</v>
      </c>
      <c r="AH28" s="7" t="s">
        <v>2845</v>
      </c>
      <c r="AI28" s="7" t="s">
        <v>2845</v>
      </c>
      <c r="AJ28" s="7">
        <v>41.83</v>
      </c>
      <c r="AK28" s="7">
        <v>8.3699999999999992</v>
      </c>
      <c r="AL28" s="7">
        <v>38.65</v>
      </c>
      <c r="AM28" s="7">
        <v>8.07</v>
      </c>
      <c r="AN28" s="21" t="s">
        <v>2902</v>
      </c>
      <c r="AO28" s="7" t="s">
        <v>1770</v>
      </c>
      <c r="AP28" s="7" t="s">
        <v>2900</v>
      </c>
      <c r="AQ28" s="7" t="s">
        <v>2901</v>
      </c>
      <c r="AR28" s="7" t="s">
        <v>1646</v>
      </c>
      <c r="AS28" s="7" t="s">
        <v>1639</v>
      </c>
      <c r="AT28" s="21" t="s">
        <v>1646</v>
      </c>
      <c r="AU28" s="21" t="s">
        <v>2899</v>
      </c>
      <c r="AV28" s="21" t="s">
        <v>2907</v>
      </c>
      <c r="AW28" s="21">
        <v>2</v>
      </c>
      <c r="AX28" s="21">
        <v>2</v>
      </c>
      <c r="AY28" s="7" t="s">
        <v>2904</v>
      </c>
      <c r="AZ28" s="7">
        <v>0.23687800000000001</v>
      </c>
      <c r="BA28" s="7"/>
      <c r="BB28" s="7">
        <f>0.288003-AZ28</f>
        <v>5.1125000000000004E-2</v>
      </c>
      <c r="BC28" s="36" t="s">
        <v>2906</v>
      </c>
      <c r="BD28" s="73">
        <v>0.32072299999999998</v>
      </c>
      <c r="BE28" s="36"/>
      <c r="BF28" s="73">
        <f>0.377982-BD28</f>
        <v>5.7259000000000004E-2</v>
      </c>
      <c r="BG28" s="36" t="s">
        <v>2976</v>
      </c>
    </row>
    <row r="29" spans="1:59" s="65" customFormat="1" x14ac:dyDescent="0.2">
      <c r="A29" s="20">
        <v>4</v>
      </c>
      <c r="B29" s="20" t="s">
        <v>47</v>
      </c>
      <c r="C29" s="20" t="s">
        <v>48</v>
      </c>
      <c r="D29" s="20" t="s">
        <v>49</v>
      </c>
      <c r="E29" s="20" t="s">
        <v>50</v>
      </c>
      <c r="F29" s="20" t="s">
        <v>51</v>
      </c>
      <c r="G29" s="20">
        <v>2020</v>
      </c>
      <c r="H29" s="64">
        <v>43907</v>
      </c>
      <c r="I29" s="20" t="s">
        <v>32</v>
      </c>
      <c r="J29" s="20" t="s">
        <v>32</v>
      </c>
      <c r="K29" s="20" t="s">
        <v>52</v>
      </c>
      <c r="L29" s="20">
        <v>1</v>
      </c>
      <c r="M29" s="20" t="s">
        <v>32</v>
      </c>
      <c r="N29" s="20" t="s">
        <v>34</v>
      </c>
      <c r="O29" s="20" t="s">
        <v>34</v>
      </c>
      <c r="P29" s="20" t="s">
        <v>34</v>
      </c>
      <c r="Q29" s="20" t="s">
        <v>34</v>
      </c>
      <c r="R29" s="20" t="s">
        <v>34</v>
      </c>
      <c r="S29" s="20" t="s">
        <v>34</v>
      </c>
      <c r="T29" s="20" t="s">
        <v>34</v>
      </c>
      <c r="U29" s="20" t="s">
        <v>32</v>
      </c>
      <c r="V29" s="20">
        <v>1</v>
      </c>
      <c r="W29" s="20" t="s">
        <v>32</v>
      </c>
      <c r="X29" s="20" t="s">
        <v>32</v>
      </c>
      <c r="Y29" s="20" t="s">
        <v>32</v>
      </c>
      <c r="Z29" s="20" t="s">
        <v>32</v>
      </c>
      <c r="AA29" s="20">
        <v>32176590</v>
      </c>
      <c r="AB29" s="20">
        <v>0</v>
      </c>
      <c r="AC29" s="69" t="s">
        <v>2975</v>
      </c>
      <c r="AD29" s="20">
        <v>2</v>
      </c>
      <c r="AE29" s="20">
        <f t="shared" si="0"/>
        <v>32</v>
      </c>
      <c r="AF29" s="20">
        <v>16</v>
      </c>
      <c r="AG29" s="20">
        <v>16</v>
      </c>
      <c r="AH29" s="20" t="s">
        <v>2845</v>
      </c>
      <c r="AI29" s="20" t="s">
        <v>2845</v>
      </c>
      <c r="AJ29" s="20">
        <v>36.880000000000003</v>
      </c>
      <c r="AK29" s="20">
        <v>6.44</v>
      </c>
      <c r="AL29" s="20">
        <v>32.81</v>
      </c>
      <c r="AM29" s="20">
        <v>6.89</v>
      </c>
      <c r="AN29" s="20" t="s">
        <v>2902</v>
      </c>
      <c r="AO29" s="20" t="s">
        <v>1770</v>
      </c>
      <c r="AP29" s="20" t="s">
        <v>2900</v>
      </c>
      <c r="AQ29" s="20" t="s">
        <v>2908</v>
      </c>
      <c r="AR29" s="20" t="s">
        <v>1646</v>
      </c>
      <c r="AS29" s="20"/>
      <c r="AT29" s="20"/>
      <c r="AU29" s="20"/>
      <c r="AV29" s="20" t="s">
        <v>2907</v>
      </c>
      <c r="AW29" s="20"/>
      <c r="AX29" s="20"/>
      <c r="AY29" s="20"/>
      <c r="AZ29" s="20">
        <v>0.11</v>
      </c>
      <c r="BA29" s="20">
        <v>0.69</v>
      </c>
      <c r="BC29" s="20"/>
      <c r="BD29" s="72">
        <v>-0.01</v>
      </c>
      <c r="BE29" s="20">
        <v>0.85</v>
      </c>
      <c r="BG29" s="65" t="s">
        <v>2909</v>
      </c>
    </row>
    <row r="30" spans="1:59" s="56" customFormat="1" x14ac:dyDescent="0.2">
      <c r="A30" s="21">
        <v>5</v>
      </c>
      <c r="B30" s="21" t="s">
        <v>53</v>
      </c>
      <c r="C30" s="21" t="s">
        <v>54</v>
      </c>
      <c r="D30" s="21" t="s">
        <v>55</v>
      </c>
      <c r="E30" s="21" t="s">
        <v>56</v>
      </c>
      <c r="F30" s="21" t="s">
        <v>57</v>
      </c>
      <c r="G30" s="21">
        <v>2020</v>
      </c>
      <c r="H30" s="70">
        <v>43883</v>
      </c>
      <c r="I30" s="21" t="s">
        <v>58</v>
      </c>
      <c r="J30" s="21" t="s">
        <v>32</v>
      </c>
      <c r="K30" s="21" t="s">
        <v>59</v>
      </c>
      <c r="L30" s="21">
        <v>1</v>
      </c>
      <c r="M30" s="21" t="s">
        <v>32</v>
      </c>
      <c r="N30" s="21" t="s">
        <v>34</v>
      </c>
      <c r="O30" s="21" t="s">
        <v>34</v>
      </c>
      <c r="P30" s="21" t="s">
        <v>34</v>
      </c>
      <c r="Q30" s="21" t="s">
        <v>34</v>
      </c>
      <c r="R30" s="21" t="s">
        <v>34</v>
      </c>
      <c r="S30" s="21" t="s">
        <v>34</v>
      </c>
      <c r="T30" s="21" t="s">
        <v>34</v>
      </c>
      <c r="U30" s="21" t="s">
        <v>32</v>
      </c>
      <c r="V30" s="21">
        <v>1</v>
      </c>
      <c r="W30" s="21" t="s">
        <v>32</v>
      </c>
      <c r="X30" s="21" t="s">
        <v>32</v>
      </c>
      <c r="Y30" s="21" t="s">
        <v>32</v>
      </c>
      <c r="Z30" s="21" t="s">
        <v>32</v>
      </c>
      <c r="AA30" s="21">
        <v>32081932</v>
      </c>
      <c r="AB30" s="21">
        <v>1</v>
      </c>
      <c r="AC30" s="21"/>
      <c r="AD30" s="21">
        <v>3</v>
      </c>
      <c r="AE30" s="21">
        <f t="shared" si="0"/>
        <v>119</v>
      </c>
      <c r="AF30" s="21">
        <v>50</v>
      </c>
      <c r="AG30" s="21">
        <v>69</v>
      </c>
      <c r="AH30" s="21" t="s">
        <v>1769</v>
      </c>
      <c r="AI30" s="21" t="s">
        <v>1769</v>
      </c>
      <c r="AJ30" s="21">
        <v>39.6</v>
      </c>
      <c r="AK30" s="21">
        <v>8.8000000000000007</v>
      </c>
      <c r="AL30" s="21">
        <v>34.4</v>
      </c>
      <c r="AM30" s="21">
        <v>13.2</v>
      </c>
      <c r="AN30" s="21" t="s">
        <v>2947</v>
      </c>
      <c r="AO30" s="21" t="s">
        <v>1638</v>
      </c>
      <c r="AP30" s="21" t="s">
        <v>2912</v>
      </c>
      <c r="AQ30" s="21" t="s">
        <v>2910</v>
      </c>
      <c r="AR30" s="21" t="s">
        <v>1646</v>
      </c>
      <c r="AS30" s="21" t="s">
        <v>2911</v>
      </c>
      <c r="AT30" s="21" t="s">
        <v>1646</v>
      </c>
      <c r="AU30" s="21" t="s">
        <v>2972</v>
      </c>
      <c r="AV30" s="21" t="s">
        <v>2848</v>
      </c>
      <c r="AW30" s="21">
        <v>3</v>
      </c>
      <c r="AX30" s="21">
        <v>3</v>
      </c>
      <c r="AY30" s="21" t="s">
        <v>2914</v>
      </c>
      <c r="AZ30" s="21">
        <v>83.9</v>
      </c>
      <c r="BA30" s="21">
        <v>20.5</v>
      </c>
      <c r="BB30" s="21"/>
      <c r="BC30" s="21" t="s">
        <v>2933</v>
      </c>
      <c r="BD30" s="71">
        <v>98.5</v>
      </c>
      <c r="BE30" s="21">
        <v>13.7</v>
      </c>
      <c r="BF30" s="21"/>
      <c r="BG30" s="56" t="s">
        <v>2916</v>
      </c>
    </row>
    <row r="31" spans="1:59" s="56" customFormat="1" x14ac:dyDescent="0.2">
      <c r="A31" s="21">
        <v>5</v>
      </c>
      <c r="B31" s="21" t="s">
        <v>53</v>
      </c>
      <c r="C31" s="21" t="s">
        <v>54</v>
      </c>
      <c r="D31" s="21" t="s">
        <v>55</v>
      </c>
      <c r="E31" s="21" t="s">
        <v>56</v>
      </c>
      <c r="F31" s="21" t="s">
        <v>57</v>
      </c>
      <c r="G31" s="21">
        <v>2020</v>
      </c>
      <c r="H31" s="70">
        <v>43883</v>
      </c>
      <c r="I31" s="21" t="s">
        <v>58</v>
      </c>
      <c r="J31" s="21" t="s">
        <v>32</v>
      </c>
      <c r="K31" s="21" t="s">
        <v>59</v>
      </c>
      <c r="L31" s="21">
        <v>1</v>
      </c>
      <c r="M31" s="21" t="s">
        <v>32</v>
      </c>
      <c r="N31" s="21" t="s">
        <v>34</v>
      </c>
      <c r="O31" s="21" t="s">
        <v>34</v>
      </c>
      <c r="P31" s="21" t="s">
        <v>34</v>
      </c>
      <c r="Q31" s="21" t="s">
        <v>34</v>
      </c>
      <c r="R31" s="21" t="s">
        <v>34</v>
      </c>
      <c r="S31" s="21" t="s">
        <v>34</v>
      </c>
      <c r="T31" s="21" t="s">
        <v>34</v>
      </c>
      <c r="U31" s="21" t="s">
        <v>32</v>
      </c>
      <c r="V31" s="21">
        <v>1</v>
      </c>
      <c r="W31" s="21" t="s">
        <v>32</v>
      </c>
      <c r="X31" s="21" t="s">
        <v>32</v>
      </c>
      <c r="Y31" s="21" t="s">
        <v>32</v>
      </c>
      <c r="Z31" s="21" t="s">
        <v>32</v>
      </c>
      <c r="AA31" s="21">
        <v>32081932</v>
      </c>
      <c r="AB31" s="21">
        <v>1</v>
      </c>
      <c r="AC31" s="21"/>
      <c r="AD31" s="21">
        <v>3</v>
      </c>
      <c r="AE31" s="21">
        <f t="shared" si="0"/>
        <v>119</v>
      </c>
      <c r="AF31" s="21">
        <v>50</v>
      </c>
      <c r="AG31" s="21">
        <v>69</v>
      </c>
      <c r="AH31" s="21" t="s">
        <v>1769</v>
      </c>
      <c r="AI31" s="21" t="s">
        <v>1769</v>
      </c>
      <c r="AJ31" s="21">
        <v>39.6</v>
      </c>
      <c r="AK31" s="21">
        <v>8.8000000000000007</v>
      </c>
      <c r="AL31" s="21">
        <v>34.4</v>
      </c>
      <c r="AM31" s="21">
        <v>13.2</v>
      </c>
      <c r="AN31" s="21" t="s">
        <v>2947</v>
      </c>
      <c r="AO31" s="21" t="s">
        <v>1638</v>
      </c>
      <c r="AP31" s="21" t="s">
        <v>2912</v>
      </c>
      <c r="AQ31" s="21" t="s">
        <v>2910</v>
      </c>
      <c r="AR31" s="21" t="s">
        <v>1646</v>
      </c>
      <c r="AS31" s="21" t="s">
        <v>2911</v>
      </c>
      <c r="AT31" s="21" t="s">
        <v>1646</v>
      </c>
      <c r="AU31" s="21" t="s">
        <v>2973</v>
      </c>
      <c r="AV31" s="21" t="s">
        <v>2848</v>
      </c>
      <c r="AW31" s="21">
        <v>3</v>
      </c>
      <c r="AX31" s="21">
        <v>3</v>
      </c>
      <c r="AY31" s="21" t="s">
        <v>2915</v>
      </c>
      <c r="AZ31" s="21">
        <v>91.4</v>
      </c>
      <c r="BA31" s="21">
        <v>18.399999999999999</v>
      </c>
      <c r="BB31" s="21"/>
      <c r="BC31" s="21" t="s">
        <v>2934</v>
      </c>
      <c r="BD31" s="71">
        <v>101.9</v>
      </c>
      <c r="BE31" s="21">
        <v>13.4</v>
      </c>
      <c r="BF31" s="21"/>
      <c r="BG31" s="56" t="s">
        <v>2917</v>
      </c>
    </row>
    <row r="32" spans="1:59" s="66" customFormat="1" x14ac:dyDescent="0.2">
      <c r="A32" s="66">
        <v>6</v>
      </c>
      <c r="B32" s="66" t="s">
        <v>60</v>
      </c>
      <c r="C32" s="66" t="s">
        <v>61</v>
      </c>
      <c r="D32" s="66" t="s">
        <v>62</v>
      </c>
      <c r="E32" s="66" t="s">
        <v>63</v>
      </c>
      <c r="F32" s="66" t="s">
        <v>64</v>
      </c>
      <c r="G32" s="66">
        <v>2020</v>
      </c>
      <c r="H32" s="67">
        <v>43866</v>
      </c>
      <c r="I32" s="66" t="s">
        <v>65</v>
      </c>
      <c r="J32" s="66" t="s">
        <v>32</v>
      </c>
      <c r="K32" s="66" t="s">
        <v>66</v>
      </c>
      <c r="L32" s="66">
        <v>1</v>
      </c>
      <c r="M32" s="66" t="s">
        <v>32</v>
      </c>
      <c r="N32" s="66" t="s">
        <v>67</v>
      </c>
      <c r="O32" s="66" t="s">
        <v>67</v>
      </c>
      <c r="P32" s="66" t="s">
        <v>34</v>
      </c>
      <c r="Q32" s="66" t="s">
        <v>34</v>
      </c>
      <c r="R32" s="66" t="s">
        <v>34</v>
      </c>
      <c r="S32" s="66" t="s">
        <v>34</v>
      </c>
      <c r="T32" s="66" t="s">
        <v>34</v>
      </c>
      <c r="U32" s="66" t="s">
        <v>32</v>
      </c>
      <c r="V32" s="66">
        <v>1</v>
      </c>
      <c r="W32" s="66" t="s">
        <v>32</v>
      </c>
      <c r="X32" s="66" t="s">
        <v>32</v>
      </c>
      <c r="Y32" s="66" t="s">
        <v>32</v>
      </c>
      <c r="Z32" s="66" t="s">
        <v>32</v>
      </c>
      <c r="AA32" s="66">
        <v>32013935</v>
      </c>
      <c r="AE32" s="66">
        <f t="shared" si="0"/>
        <v>81</v>
      </c>
      <c r="AF32" s="66">
        <v>40</v>
      </c>
      <c r="AG32" s="66">
        <v>41</v>
      </c>
      <c r="AH32" s="66" t="s">
        <v>2845</v>
      </c>
      <c r="AI32" s="66" t="s">
        <v>2845</v>
      </c>
      <c r="AJ32" s="66">
        <v>45.18</v>
      </c>
      <c r="AK32" s="66">
        <v>6.31</v>
      </c>
      <c r="AN32" s="66" t="s">
        <v>2918</v>
      </c>
      <c r="AO32" s="66" t="s">
        <v>1770</v>
      </c>
      <c r="AP32" s="66" t="s">
        <v>2919</v>
      </c>
      <c r="AQ32" s="66" t="s">
        <v>2901</v>
      </c>
      <c r="AS32" s="66" t="s">
        <v>2920</v>
      </c>
      <c r="BD32" s="68"/>
      <c r="BG32" s="59" t="s">
        <v>2921</v>
      </c>
    </row>
    <row r="33" spans="1:16384" s="65" customFormat="1" x14ac:dyDescent="0.2">
      <c r="A33" s="20">
        <v>7</v>
      </c>
      <c r="B33" s="20" t="s">
        <v>68</v>
      </c>
      <c r="C33" s="20" t="s">
        <v>69</v>
      </c>
      <c r="D33" s="20" t="s">
        <v>70</v>
      </c>
      <c r="E33" s="20" t="s">
        <v>71</v>
      </c>
      <c r="F33" s="20" t="s">
        <v>39</v>
      </c>
      <c r="G33" s="20">
        <v>2020</v>
      </c>
      <c r="H33" s="64">
        <v>43821</v>
      </c>
      <c r="I33" s="20" t="s">
        <v>72</v>
      </c>
      <c r="J33" s="20" t="s">
        <v>73</v>
      </c>
      <c r="K33" s="20" t="s">
        <v>74</v>
      </c>
      <c r="L33" s="20">
        <v>1</v>
      </c>
      <c r="M33" s="20" t="s">
        <v>75</v>
      </c>
      <c r="N33" s="20" t="s">
        <v>34</v>
      </c>
      <c r="O33" s="20" t="s">
        <v>34</v>
      </c>
      <c r="P33" s="20" t="s">
        <v>34</v>
      </c>
      <c r="Q33" s="20" t="s">
        <v>34</v>
      </c>
      <c r="R33" s="20" t="s">
        <v>34</v>
      </c>
      <c r="S33" s="20" t="s">
        <v>34</v>
      </c>
      <c r="T33" s="20" t="s">
        <v>34</v>
      </c>
      <c r="U33" s="20" t="s">
        <v>32</v>
      </c>
      <c r="V33" s="20">
        <v>1</v>
      </c>
      <c r="W33" s="20" t="s">
        <v>32</v>
      </c>
      <c r="X33" s="20" t="s">
        <v>32</v>
      </c>
      <c r="Y33" s="20" t="s">
        <v>32</v>
      </c>
      <c r="Z33" s="20" t="s">
        <v>32</v>
      </c>
      <c r="AA33" s="20">
        <v>31864116</v>
      </c>
      <c r="AB33" s="20">
        <v>1</v>
      </c>
      <c r="AC33" s="20"/>
      <c r="AD33" s="20">
        <v>2</v>
      </c>
      <c r="AE33" s="20">
        <f t="shared" si="0"/>
        <v>34</v>
      </c>
      <c r="AF33" s="20">
        <v>15</v>
      </c>
      <c r="AG33" s="20">
        <v>19</v>
      </c>
      <c r="AH33" s="20" t="s">
        <v>1642</v>
      </c>
      <c r="AI33" s="20" t="s">
        <v>1642</v>
      </c>
      <c r="AJ33" s="20"/>
      <c r="AK33" s="20"/>
      <c r="AL33" s="20"/>
      <c r="AM33" s="20"/>
      <c r="AN33" s="20" t="s">
        <v>2902</v>
      </c>
      <c r="AO33" s="20" t="s">
        <v>1770</v>
      </c>
      <c r="AP33" s="20" t="s">
        <v>2900</v>
      </c>
      <c r="AQ33" s="20" t="s">
        <v>2901</v>
      </c>
      <c r="AR33" s="20"/>
      <c r="AS33" s="20"/>
      <c r="AT33" s="20"/>
      <c r="AU33" s="20"/>
      <c r="AV33" s="20" t="s">
        <v>2907</v>
      </c>
      <c r="AW33" s="20"/>
      <c r="AX33" s="20"/>
      <c r="AY33" s="20"/>
      <c r="AZ33" s="20"/>
      <c r="BA33" s="20"/>
      <c r="BB33" s="20"/>
      <c r="BC33" s="20"/>
      <c r="BD33" s="20"/>
      <c r="BE33" s="20"/>
      <c r="BF33" s="20"/>
      <c r="BG33" s="65" t="s">
        <v>2922</v>
      </c>
    </row>
    <row r="34" spans="1:16384" s="65" customFormat="1" x14ac:dyDescent="0.2">
      <c r="A34" s="20">
        <v>8</v>
      </c>
      <c r="B34" s="20" t="s">
        <v>76</v>
      </c>
      <c r="C34" s="20" t="s">
        <v>77</v>
      </c>
      <c r="D34" s="20" t="s">
        <v>78</v>
      </c>
      <c r="E34" s="20" t="s">
        <v>79</v>
      </c>
      <c r="F34" s="20" t="s">
        <v>80</v>
      </c>
      <c r="G34" s="20">
        <v>2019</v>
      </c>
      <c r="H34" s="64">
        <v>43715</v>
      </c>
      <c r="I34" s="20" t="s">
        <v>32</v>
      </c>
      <c r="J34" s="20" t="s">
        <v>32</v>
      </c>
      <c r="K34" s="20" t="s">
        <v>81</v>
      </c>
      <c r="L34" s="20">
        <v>1</v>
      </c>
      <c r="M34" s="20" t="s">
        <v>32</v>
      </c>
      <c r="N34" s="20" t="s">
        <v>34</v>
      </c>
      <c r="O34" s="20" t="s">
        <v>34</v>
      </c>
      <c r="P34" s="20" t="s">
        <v>34</v>
      </c>
      <c r="Q34" s="20" t="s">
        <v>34</v>
      </c>
      <c r="R34" s="20" t="s">
        <v>34</v>
      </c>
      <c r="S34" s="20" t="s">
        <v>34</v>
      </c>
      <c r="T34" s="20" t="s">
        <v>34</v>
      </c>
      <c r="U34" s="20" t="s">
        <v>32</v>
      </c>
      <c r="V34" s="20">
        <v>1</v>
      </c>
      <c r="W34" s="20" t="s">
        <v>32</v>
      </c>
      <c r="X34" s="20" t="s">
        <v>32</v>
      </c>
      <c r="Y34" s="20" t="s">
        <v>32</v>
      </c>
      <c r="Z34" s="20" t="s">
        <v>32</v>
      </c>
      <c r="AA34" s="20">
        <v>31488044</v>
      </c>
      <c r="AB34" s="20">
        <v>0</v>
      </c>
      <c r="AC34" s="20" t="s">
        <v>2974</v>
      </c>
      <c r="AD34" s="20">
        <v>3</v>
      </c>
      <c r="AE34" s="20">
        <f t="shared" si="0"/>
        <v>71</v>
      </c>
      <c r="AF34" s="20">
        <v>34</v>
      </c>
      <c r="AG34" s="20">
        <v>37</v>
      </c>
      <c r="AH34" s="20" t="s">
        <v>2845</v>
      </c>
      <c r="AI34" s="20" t="s">
        <v>2845</v>
      </c>
      <c r="AJ34" s="20">
        <v>35.24</v>
      </c>
      <c r="AK34" s="20">
        <v>17.13</v>
      </c>
      <c r="AL34" s="20">
        <v>34.119999999999997</v>
      </c>
      <c r="AM34" s="20">
        <v>16.36</v>
      </c>
      <c r="AN34" s="20" t="s">
        <v>2947</v>
      </c>
      <c r="AO34" s="20" t="s">
        <v>1638</v>
      </c>
      <c r="AP34" s="20" t="s">
        <v>2912</v>
      </c>
      <c r="AQ34" s="20" t="s">
        <v>2901</v>
      </c>
      <c r="AR34" s="20" t="s">
        <v>1646</v>
      </c>
      <c r="AS34" s="20"/>
      <c r="AT34" s="20"/>
      <c r="AU34" s="20"/>
      <c r="AV34" s="20"/>
      <c r="AW34" s="20"/>
      <c r="AX34" s="20"/>
      <c r="AY34" s="20"/>
      <c r="AZ34" s="20"/>
      <c r="BA34" s="20"/>
      <c r="BB34" s="20"/>
      <c r="BC34" s="20"/>
      <c r="BD34" s="20"/>
      <c r="BE34" s="20"/>
      <c r="BF34" s="20"/>
      <c r="BG34" s="65" t="s">
        <v>2923</v>
      </c>
    </row>
    <row r="35" spans="1:16384" s="65" customFormat="1" x14ac:dyDescent="0.2">
      <c r="A35" s="20">
        <v>9</v>
      </c>
      <c r="B35" s="20" t="s">
        <v>82</v>
      </c>
      <c r="C35" s="20" t="s">
        <v>83</v>
      </c>
      <c r="D35" s="20" t="s">
        <v>84</v>
      </c>
      <c r="E35" s="20" t="s">
        <v>85</v>
      </c>
      <c r="F35" s="20" t="s">
        <v>45</v>
      </c>
      <c r="G35" s="20">
        <v>2019</v>
      </c>
      <c r="H35" s="64">
        <v>43653</v>
      </c>
      <c r="I35" s="20" t="s">
        <v>86</v>
      </c>
      <c r="J35" s="20" t="s">
        <v>32</v>
      </c>
      <c r="K35" s="20" t="s">
        <v>87</v>
      </c>
      <c r="L35" s="20">
        <v>1</v>
      </c>
      <c r="M35" s="20" t="s">
        <v>88</v>
      </c>
      <c r="N35" s="20" t="s">
        <v>34</v>
      </c>
      <c r="O35" s="20" t="s">
        <v>34</v>
      </c>
      <c r="P35" s="20" t="s">
        <v>34</v>
      </c>
      <c r="Q35" s="20" t="s">
        <v>34</v>
      </c>
      <c r="R35" s="20" t="s">
        <v>34</v>
      </c>
      <c r="S35" s="20" t="s">
        <v>34</v>
      </c>
      <c r="T35" s="20" t="s">
        <v>34</v>
      </c>
      <c r="U35" s="20" t="s">
        <v>32</v>
      </c>
      <c r="V35" s="20">
        <v>1</v>
      </c>
      <c r="W35" s="20" t="s">
        <v>32</v>
      </c>
      <c r="X35" s="20" t="s">
        <v>32</v>
      </c>
      <c r="Y35" s="20" t="s">
        <v>89</v>
      </c>
      <c r="Z35" s="20" t="s">
        <v>32</v>
      </c>
      <c r="AA35" s="20">
        <v>31279324</v>
      </c>
      <c r="AB35" s="20">
        <v>0</v>
      </c>
      <c r="AC35" s="20" t="s">
        <v>2925</v>
      </c>
      <c r="AD35" s="20">
        <v>3</v>
      </c>
      <c r="AE35" s="20">
        <f t="shared" si="0"/>
        <v>56</v>
      </c>
      <c r="AF35" s="20">
        <v>19</v>
      </c>
      <c r="AG35" s="20">
        <v>37</v>
      </c>
      <c r="AH35" s="20" t="s">
        <v>1769</v>
      </c>
      <c r="AI35" s="20" t="s">
        <v>1769</v>
      </c>
      <c r="AJ35" s="20">
        <v>31.68</v>
      </c>
      <c r="AK35" s="20">
        <v>9.0399999999999991</v>
      </c>
      <c r="AL35" s="20">
        <v>28.76</v>
      </c>
      <c r="AM35" s="20">
        <v>7.23</v>
      </c>
      <c r="AN35" s="20"/>
      <c r="AO35" s="20" t="s">
        <v>1638</v>
      </c>
      <c r="AP35" s="20" t="s">
        <v>2912</v>
      </c>
      <c r="AQ35" s="20" t="s">
        <v>2924</v>
      </c>
      <c r="AR35" s="20" t="s">
        <v>1646</v>
      </c>
      <c r="AS35" s="20" t="s">
        <v>514</v>
      </c>
      <c r="AT35" s="20"/>
      <c r="AU35" s="20"/>
      <c r="AV35" s="20"/>
      <c r="AW35" s="20"/>
      <c r="AX35" s="20"/>
      <c r="AY35" s="20"/>
      <c r="AZ35" s="20"/>
      <c r="BA35" s="20"/>
      <c r="BB35" s="20"/>
      <c r="BC35" s="20"/>
      <c r="BD35" s="20"/>
      <c r="BE35" s="20"/>
      <c r="BF35" s="20"/>
    </row>
    <row r="36" spans="1:16384" x14ac:dyDescent="0.2">
      <c r="A36" s="7">
        <v>10</v>
      </c>
      <c r="B36" s="7" t="s">
        <v>90</v>
      </c>
      <c r="C36" s="7" t="s">
        <v>91</v>
      </c>
      <c r="D36" s="7" t="s">
        <v>92</v>
      </c>
      <c r="E36" s="7" t="s">
        <v>93</v>
      </c>
      <c r="F36" s="7" t="s">
        <v>94</v>
      </c>
      <c r="G36" s="7">
        <v>2020</v>
      </c>
      <c r="H36" s="8">
        <v>43634</v>
      </c>
      <c r="I36" s="7" t="s">
        <v>32</v>
      </c>
      <c r="J36" s="7" t="s">
        <v>32</v>
      </c>
      <c r="K36" s="7" t="s">
        <v>95</v>
      </c>
      <c r="L36" s="7">
        <v>1</v>
      </c>
      <c r="M36" s="7" t="s">
        <v>96</v>
      </c>
      <c r="N36" s="7" t="s">
        <v>34</v>
      </c>
      <c r="O36" s="7" t="s">
        <v>34</v>
      </c>
      <c r="P36" s="7" t="s">
        <v>34</v>
      </c>
      <c r="Q36" s="7" t="s">
        <v>34</v>
      </c>
      <c r="R36" s="7" t="s">
        <v>34</v>
      </c>
      <c r="S36" s="7" t="s">
        <v>34</v>
      </c>
      <c r="T36" s="7" t="s">
        <v>34</v>
      </c>
      <c r="U36" s="7" t="s">
        <v>32</v>
      </c>
      <c r="V36" s="7">
        <v>1</v>
      </c>
      <c r="W36" s="7" t="s">
        <v>32</v>
      </c>
      <c r="X36" s="7" t="s">
        <v>32</v>
      </c>
      <c r="Y36" s="7" t="s">
        <v>32</v>
      </c>
      <c r="Z36" s="7" t="s">
        <v>32</v>
      </c>
      <c r="AA36" s="7">
        <v>31206738</v>
      </c>
      <c r="AB36" s="7">
        <v>1</v>
      </c>
      <c r="AC36" s="7"/>
      <c r="AD36" s="7">
        <v>3</v>
      </c>
      <c r="AE36" s="7">
        <f t="shared" si="0"/>
        <v>61</v>
      </c>
      <c r="AF36" s="7">
        <v>31</v>
      </c>
      <c r="AG36" s="7">
        <v>30</v>
      </c>
      <c r="AH36" s="7" t="s">
        <v>1769</v>
      </c>
      <c r="AI36" s="7" t="s">
        <v>1769</v>
      </c>
      <c r="AJ36" s="7">
        <v>34.700000000000003</v>
      </c>
      <c r="AK36" s="7">
        <v>10.8</v>
      </c>
      <c r="AL36" s="7">
        <v>31.8</v>
      </c>
      <c r="AM36" s="7">
        <v>8.4</v>
      </c>
      <c r="AN36" s="21" t="s">
        <v>2947</v>
      </c>
      <c r="AO36" s="7" t="s">
        <v>1638</v>
      </c>
      <c r="AP36" s="7" t="s">
        <v>2912</v>
      </c>
      <c r="AQ36" s="7" t="s">
        <v>2926</v>
      </c>
      <c r="AR36" s="7" t="s">
        <v>1646</v>
      </c>
      <c r="AS36" s="7" t="s">
        <v>1639</v>
      </c>
      <c r="AT36" s="7" t="s">
        <v>1646</v>
      </c>
      <c r="AU36" s="7" t="s">
        <v>2927</v>
      </c>
      <c r="AV36" s="7" t="s">
        <v>2848</v>
      </c>
      <c r="AW36" s="7">
        <v>4</v>
      </c>
      <c r="AX36" s="7">
        <v>4</v>
      </c>
      <c r="AY36" s="7" t="s">
        <v>2929</v>
      </c>
      <c r="AZ36" s="7">
        <v>48.290300000000002</v>
      </c>
      <c r="BA36" s="7">
        <f>49.3353-AZ36</f>
        <v>1.0449999999999946</v>
      </c>
      <c r="BB36" s="7"/>
      <c r="BC36" s="7" t="s">
        <v>2906</v>
      </c>
      <c r="BD36" s="7">
        <v>47.599499999999999</v>
      </c>
      <c r="BE36" s="7">
        <f>48.8068-BD36</f>
        <v>1.2073000000000036</v>
      </c>
      <c r="BF36" s="7"/>
      <c r="BG36" s="56" t="s">
        <v>2971</v>
      </c>
    </row>
    <row r="37" spans="1:16384" x14ac:dyDescent="0.2">
      <c r="A37" s="7">
        <v>10</v>
      </c>
      <c r="B37" s="7" t="s">
        <v>90</v>
      </c>
      <c r="C37" s="7" t="s">
        <v>91</v>
      </c>
      <c r="D37" s="7" t="s">
        <v>92</v>
      </c>
      <c r="E37" s="7" t="s">
        <v>93</v>
      </c>
      <c r="F37" s="7" t="s">
        <v>94</v>
      </c>
      <c r="G37" s="7">
        <v>2020</v>
      </c>
      <c r="H37" s="8">
        <v>43634</v>
      </c>
      <c r="I37" s="7" t="s">
        <v>32</v>
      </c>
      <c r="J37" s="7" t="s">
        <v>32</v>
      </c>
      <c r="K37" s="7" t="s">
        <v>95</v>
      </c>
      <c r="L37" s="7">
        <v>1</v>
      </c>
      <c r="M37" s="7" t="s">
        <v>96</v>
      </c>
      <c r="N37" s="7" t="s">
        <v>34</v>
      </c>
      <c r="O37" s="7" t="s">
        <v>34</v>
      </c>
      <c r="P37" s="7" t="s">
        <v>34</v>
      </c>
      <c r="Q37" s="7" t="s">
        <v>34</v>
      </c>
      <c r="R37" s="7" t="s">
        <v>34</v>
      </c>
      <c r="S37" s="7" t="s">
        <v>34</v>
      </c>
      <c r="T37" s="7" t="s">
        <v>34</v>
      </c>
      <c r="U37" s="7" t="s">
        <v>32</v>
      </c>
      <c r="V37" s="7">
        <v>1</v>
      </c>
      <c r="W37" s="7" t="s">
        <v>32</v>
      </c>
      <c r="X37" s="7" t="s">
        <v>32</v>
      </c>
      <c r="Y37" s="7" t="s">
        <v>32</v>
      </c>
      <c r="Z37" s="7" t="s">
        <v>32</v>
      </c>
      <c r="AA37" s="7">
        <v>31206738</v>
      </c>
      <c r="AB37" s="7">
        <v>1</v>
      </c>
      <c r="AC37" s="7"/>
      <c r="AD37" s="7">
        <v>3</v>
      </c>
      <c r="AE37" s="7">
        <f t="shared" si="0"/>
        <v>61</v>
      </c>
      <c r="AF37" s="7">
        <v>31</v>
      </c>
      <c r="AG37" s="7">
        <v>30</v>
      </c>
      <c r="AH37" s="7" t="s">
        <v>1769</v>
      </c>
      <c r="AI37" s="7" t="s">
        <v>1769</v>
      </c>
      <c r="AJ37" s="7">
        <v>34.700000000000003</v>
      </c>
      <c r="AK37" s="7">
        <v>10.8</v>
      </c>
      <c r="AL37" s="7">
        <v>31.8</v>
      </c>
      <c r="AM37" s="7">
        <v>8.4</v>
      </c>
      <c r="AN37" s="21" t="s">
        <v>2947</v>
      </c>
      <c r="AO37" s="7" t="s">
        <v>1638</v>
      </c>
      <c r="AP37" s="7" t="s">
        <v>2912</v>
      </c>
      <c r="AQ37" s="7" t="s">
        <v>2926</v>
      </c>
      <c r="AR37" s="7" t="s">
        <v>1646</v>
      </c>
      <c r="AS37" s="7" t="s">
        <v>1639</v>
      </c>
      <c r="AT37" s="7" t="s">
        <v>1646</v>
      </c>
      <c r="AU37" s="7" t="s">
        <v>2928</v>
      </c>
      <c r="AV37" s="7" t="s">
        <v>2848</v>
      </c>
      <c r="AW37" s="7">
        <v>4</v>
      </c>
      <c r="AX37" s="7">
        <v>4</v>
      </c>
      <c r="AY37" s="7" t="s">
        <v>2930</v>
      </c>
      <c r="AZ37" s="7">
        <v>51.385300000000001</v>
      </c>
      <c r="BA37" s="7">
        <f>52.5925-AZ37</f>
        <v>1.2072000000000003</v>
      </c>
      <c r="BB37" s="7"/>
      <c r="BC37" s="7" t="s">
        <v>2905</v>
      </c>
      <c r="BD37" s="7">
        <v>56.280200000000001</v>
      </c>
      <c r="BE37" s="7">
        <f>57.7036-BD37</f>
        <v>1.4234000000000009</v>
      </c>
      <c r="BF37" s="7"/>
      <c r="BG37" s="56"/>
    </row>
    <row r="38" spans="1:16384" x14ac:dyDescent="0.2">
      <c r="A38" s="7">
        <v>10</v>
      </c>
      <c r="B38" s="7" t="s">
        <v>90</v>
      </c>
      <c r="C38" s="7" t="s">
        <v>91</v>
      </c>
      <c r="D38" s="7" t="s">
        <v>92</v>
      </c>
      <c r="E38" s="7" t="s">
        <v>93</v>
      </c>
      <c r="F38" s="7" t="s">
        <v>94</v>
      </c>
      <c r="G38" s="7">
        <v>2020</v>
      </c>
      <c r="H38" s="8">
        <v>43634</v>
      </c>
      <c r="I38" s="7" t="s">
        <v>32</v>
      </c>
      <c r="J38" s="7" t="s">
        <v>32</v>
      </c>
      <c r="K38" s="7" t="s">
        <v>95</v>
      </c>
      <c r="L38" s="7">
        <v>1</v>
      </c>
      <c r="M38" s="7" t="s">
        <v>96</v>
      </c>
      <c r="N38" s="7" t="s">
        <v>34</v>
      </c>
      <c r="O38" s="7" t="s">
        <v>34</v>
      </c>
      <c r="P38" s="7" t="s">
        <v>34</v>
      </c>
      <c r="Q38" s="7" t="s">
        <v>34</v>
      </c>
      <c r="R38" s="7" t="s">
        <v>34</v>
      </c>
      <c r="S38" s="7" t="s">
        <v>34</v>
      </c>
      <c r="T38" s="7" t="s">
        <v>34</v>
      </c>
      <c r="U38" s="7" t="s">
        <v>32</v>
      </c>
      <c r="V38" s="7">
        <v>1</v>
      </c>
      <c r="W38" s="7" t="s">
        <v>32</v>
      </c>
      <c r="X38" s="7" t="s">
        <v>32</v>
      </c>
      <c r="Y38" s="7" t="s">
        <v>32</v>
      </c>
      <c r="Z38" s="7" t="s">
        <v>32</v>
      </c>
      <c r="AA38" s="7">
        <v>31206738</v>
      </c>
      <c r="AB38" s="7">
        <v>1</v>
      </c>
      <c r="AC38" s="7"/>
      <c r="AD38" s="7">
        <v>3</v>
      </c>
      <c r="AE38" s="7">
        <f t="shared" si="0"/>
        <v>63</v>
      </c>
      <c r="AF38" s="7">
        <v>33</v>
      </c>
      <c r="AG38" s="7">
        <v>30</v>
      </c>
      <c r="AH38" s="7" t="s">
        <v>1769</v>
      </c>
      <c r="AI38" s="7" t="s">
        <v>1769</v>
      </c>
      <c r="AJ38" s="7">
        <v>37</v>
      </c>
      <c r="AK38" s="7">
        <v>12.4</v>
      </c>
      <c r="AL38" s="7">
        <v>31.8</v>
      </c>
      <c r="AM38" s="7">
        <v>8.4</v>
      </c>
      <c r="AN38" s="21" t="s">
        <v>2947</v>
      </c>
      <c r="AO38" s="7" t="s">
        <v>1638</v>
      </c>
      <c r="AP38" s="7" t="s">
        <v>2912</v>
      </c>
      <c r="AQ38" s="7" t="s">
        <v>2926</v>
      </c>
      <c r="AR38" s="7" t="s">
        <v>1646</v>
      </c>
      <c r="AS38" s="7" t="s">
        <v>1639</v>
      </c>
      <c r="AT38" s="7" t="s">
        <v>1646</v>
      </c>
      <c r="AU38" s="7" t="s">
        <v>2927</v>
      </c>
      <c r="AV38" s="7" t="s">
        <v>2848</v>
      </c>
      <c r="AW38" s="7">
        <v>5</v>
      </c>
      <c r="AX38" s="7">
        <v>4</v>
      </c>
      <c r="AY38" s="7" t="s">
        <v>2932</v>
      </c>
      <c r="AZ38" s="7">
        <v>49.143000000000001</v>
      </c>
      <c r="BA38" s="7">
        <f>50.2602-AZ38</f>
        <v>1.1171999999999969</v>
      </c>
      <c r="BB38" s="7"/>
      <c r="BC38" s="7" t="s">
        <v>2906</v>
      </c>
      <c r="BD38" s="7">
        <v>47.599499999999999</v>
      </c>
      <c r="BE38" s="7">
        <f>48.8068-BD38</f>
        <v>1.2073000000000036</v>
      </c>
      <c r="BF38" s="7"/>
      <c r="BG38" s="56"/>
    </row>
    <row r="39" spans="1:16384" x14ac:dyDescent="0.2">
      <c r="A39" s="7">
        <v>10</v>
      </c>
      <c r="B39" s="7" t="s">
        <v>90</v>
      </c>
      <c r="C39" s="7" t="s">
        <v>91</v>
      </c>
      <c r="D39" s="7" t="s">
        <v>92</v>
      </c>
      <c r="E39" s="7" t="s">
        <v>93</v>
      </c>
      <c r="F39" s="7" t="s">
        <v>94</v>
      </c>
      <c r="G39" s="7">
        <v>2020</v>
      </c>
      <c r="H39" s="8">
        <v>43634</v>
      </c>
      <c r="I39" s="7" t="s">
        <v>32</v>
      </c>
      <c r="J39" s="7" t="s">
        <v>32</v>
      </c>
      <c r="K39" s="7" t="s">
        <v>95</v>
      </c>
      <c r="L39" s="7">
        <v>1</v>
      </c>
      <c r="M39" s="7" t="s">
        <v>96</v>
      </c>
      <c r="N39" s="7" t="s">
        <v>34</v>
      </c>
      <c r="O39" s="7" t="s">
        <v>34</v>
      </c>
      <c r="P39" s="7" t="s">
        <v>34</v>
      </c>
      <c r="Q39" s="7" t="s">
        <v>34</v>
      </c>
      <c r="R39" s="7" t="s">
        <v>34</v>
      </c>
      <c r="S39" s="7" t="s">
        <v>34</v>
      </c>
      <c r="T39" s="7" t="s">
        <v>34</v>
      </c>
      <c r="U39" s="7" t="s">
        <v>32</v>
      </c>
      <c r="V39" s="7">
        <v>1</v>
      </c>
      <c r="W39" s="7" t="s">
        <v>32</v>
      </c>
      <c r="X39" s="7" t="s">
        <v>32</v>
      </c>
      <c r="Y39" s="7" t="s">
        <v>32</v>
      </c>
      <c r="Z39" s="7" t="s">
        <v>32</v>
      </c>
      <c r="AA39" s="7">
        <v>31206738</v>
      </c>
      <c r="AB39" s="7">
        <v>1</v>
      </c>
      <c r="AC39" s="7"/>
      <c r="AD39" s="7">
        <v>3</v>
      </c>
      <c r="AE39" s="7">
        <f t="shared" si="0"/>
        <v>63</v>
      </c>
      <c r="AF39" s="7">
        <v>33</v>
      </c>
      <c r="AG39" s="7">
        <v>30</v>
      </c>
      <c r="AH39" s="7" t="s">
        <v>1769</v>
      </c>
      <c r="AI39" s="7" t="s">
        <v>1769</v>
      </c>
      <c r="AJ39" s="7">
        <v>37</v>
      </c>
      <c r="AK39" s="7">
        <v>12.4</v>
      </c>
      <c r="AL39" s="7">
        <v>31.8</v>
      </c>
      <c r="AM39" s="7">
        <v>8.4</v>
      </c>
      <c r="AN39" s="21" t="s">
        <v>2947</v>
      </c>
      <c r="AO39" s="7" t="s">
        <v>1638</v>
      </c>
      <c r="AP39" s="7" t="s">
        <v>2912</v>
      </c>
      <c r="AQ39" s="7" t="s">
        <v>2926</v>
      </c>
      <c r="AR39" s="7" t="s">
        <v>1646</v>
      </c>
      <c r="AS39" s="7" t="s">
        <v>1639</v>
      </c>
      <c r="AT39" s="7" t="s">
        <v>1646</v>
      </c>
      <c r="AU39" s="7" t="s">
        <v>2928</v>
      </c>
      <c r="AV39" s="7" t="s">
        <v>2848</v>
      </c>
      <c r="AW39" s="7">
        <v>5</v>
      </c>
      <c r="AX39" s="7">
        <v>4</v>
      </c>
      <c r="AY39" s="7" t="s">
        <v>2931</v>
      </c>
      <c r="AZ39" s="7">
        <v>50.670499999999997</v>
      </c>
      <c r="BA39" s="7">
        <f>51.7696-AZ39</f>
        <v>1.0991</v>
      </c>
      <c r="BB39" s="7"/>
      <c r="BC39" s="7" t="s">
        <v>2905</v>
      </c>
      <c r="BD39" s="7">
        <v>56.280200000000001</v>
      </c>
      <c r="BE39" s="7">
        <f>57.7036-BD39</f>
        <v>1.4234000000000009</v>
      </c>
      <c r="BF39" s="7"/>
      <c r="BG39" s="56"/>
    </row>
    <row r="40" spans="1:16384" s="65" customFormat="1" x14ac:dyDescent="0.2">
      <c r="A40" s="20">
        <v>11</v>
      </c>
      <c r="B40" s="20" t="s">
        <v>97</v>
      </c>
      <c r="C40" s="20" t="s">
        <v>98</v>
      </c>
      <c r="D40" s="20" t="s">
        <v>99</v>
      </c>
      <c r="E40" s="20" t="s">
        <v>100</v>
      </c>
      <c r="F40" s="20" t="s">
        <v>101</v>
      </c>
      <c r="G40" s="20">
        <v>2019</v>
      </c>
      <c r="H40" s="64">
        <v>43560</v>
      </c>
      <c r="I40" s="20" t="s">
        <v>102</v>
      </c>
      <c r="J40" s="20" t="s">
        <v>103</v>
      </c>
      <c r="K40" s="20" t="s">
        <v>104</v>
      </c>
      <c r="L40" s="20">
        <v>1</v>
      </c>
      <c r="M40" s="20" t="s">
        <v>32</v>
      </c>
      <c r="N40" s="20" t="s">
        <v>34</v>
      </c>
      <c r="O40" s="20" t="s">
        <v>34</v>
      </c>
      <c r="P40" s="20" t="s">
        <v>34</v>
      </c>
      <c r="Q40" s="20" t="s">
        <v>34</v>
      </c>
      <c r="R40" s="20" t="s">
        <v>34</v>
      </c>
      <c r="S40" s="20" t="s">
        <v>34</v>
      </c>
      <c r="T40" s="20" t="s">
        <v>34</v>
      </c>
      <c r="U40" s="20" t="s">
        <v>34</v>
      </c>
      <c r="V40" s="20">
        <v>1</v>
      </c>
      <c r="W40" s="20" t="s">
        <v>32</v>
      </c>
      <c r="X40" s="20">
        <v>1</v>
      </c>
      <c r="Y40" s="20" t="s">
        <v>105</v>
      </c>
      <c r="Z40" s="20" t="s">
        <v>106</v>
      </c>
      <c r="AA40" s="20">
        <v>30944165</v>
      </c>
      <c r="AB40" s="20">
        <v>0</v>
      </c>
      <c r="AC40" s="69" t="s">
        <v>2970</v>
      </c>
      <c r="AD40" s="20">
        <v>0</v>
      </c>
      <c r="AE40" s="20">
        <f t="shared" si="0"/>
        <v>112</v>
      </c>
      <c r="AF40" s="20">
        <v>76</v>
      </c>
      <c r="AG40" s="20">
        <v>36</v>
      </c>
      <c r="AH40" s="20" t="s">
        <v>2845</v>
      </c>
      <c r="AI40" s="20" t="s">
        <v>2845</v>
      </c>
      <c r="AJ40" s="20">
        <v>36.799999999999997</v>
      </c>
      <c r="AK40" s="20">
        <v>10.6</v>
      </c>
      <c r="AL40" s="20">
        <v>34.799999999999997</v>
      </c>
      <c r="AM40" s="20">
        <v>11.8</v>
      </c>
      <c r="AN40" s="20" t="s">
        <v>2948</v>
      </c>
      <c r="AO40" s="20" t="s">
        <v>1770</v>
      </c>
      <c r="AP40" s="20" t="s">
        <v>2949</v>
      </c>
      <c r="AQ40" s="20" t="s">
        <v>2901</v>
      </c>
      <c r="AR40" s="20" t="s">
        <v>1646</v>
      </c>
      <c r="AS40" s="20" t="s">
        <v>2967</v>
      </c>
      <c r="AT40" s="20" t="s">
        <v>1646</v>
      </c>
      <c r="AU40" s="20" t="s">
        <v>2968</v>
      </c>
      <c r="AV40" s="20" t="s">
        <v>2907</v>
      </c>
      <c r="AW40" s="20"/>
      <c r="AX40" s="20"/>
      <c r="AY40" s="20"/>
      <c r="AZ40" s="20"/>
      <c r="BA40" s="20"/>
      <c r="BB40" s="20"/>
      <c r="BC40" s="20"/>
      <c r="BD40" s="20"/>
      <c r="BE40" s="20"/>
      <c r="BF40" s="20"/>
      <c r="BG40" s="65" t="s">
        <v>2970</v>
      </c>
    </row>
    <row r="41" spans="1:16384" s="65" customFormat="1" x14ac:dyDescent="0.2">
      <c r="A41" s="20">
        <v>11</v>
      </c>
      <c r="B41" s="20" t="s">
        <v>97</v>
      </c>
      <c r="C41" s="20" t="s">
        <v>98</v>
      </c>
      <c r="D41" s="20" t="s">
        <v>99</v>
      </c>
      <c r="E41" s="20" t="s">
        <v>100</v>
      </c>
      <c r="F41" s="20" t="s">
        <v>101</v>
      </c>
      <c r="G41" s="20">
        <v>2019</v>
      </c>
      <c r="H41" s="64">
        <v>43560</v>
      </c>
      <c r="I41" s="20" t="s">
        <v>102</v>
      </c>
      <c r="J41" s="20" t="s">
        <v>103</v>
      </c>
      <c r="K41" s="20" t="s">
        <v>104</v>
      </c>
      <c r="L41" s="20">
        <v>1</v>
      </c>
      <c r="M41" s="20" t="s">
        <v>32</v>
      </c>
      <c r="N41" s="20" t="s">
        <v>34</v>
      </c>
      <c r="O41" s="20" t="s">
        <v>34</v>
      </c>
      <c r="P41" s="20" t="s">
        <v>34</v>
      </c>
      <c r="Q41" s="20" t="s">
        <v>34</v>
      </c>
      <c r="R41" s="20" t="s">
        <v>34</v>
      </c>
      <c r="S41" s="20" t="s">
        <v>34</v>
      </c>
      <c r="T41" s="20" t="s">
        <v>34</v>
      </c>
      <c r="U41" s="20" t="s">
        <v>34</v>
      </c>
      <c r="V41" s="20">
        <v>1</v>
      </c>
      <c r="W41" s="20" t="s">
        <v>32</v>
      </c>
      <c r="X41" s="20">
        <v>1</v>
      </c>
      <c r="Y41" s="20" t="s">
        <v>105</v>
      </c>
      <c r="Z41" s="20" t="s">
        <v>106</v>
      </c>
      <c r="AA41" s="20">
        <v>30944165</v>
      </c>
      <c r="AB41" s="20">
        <v>0</v>
      </c>
      <c r="AC41" s="69" t="s">
        <v>2970</v>
      </c>
      <c r="AD41" s="20">
        <v>2</v>
      </c>
      <c r="AE41" s="20">
        <f t="shared" si="0"/>
        <v>245</v>
      </c>
      <c r="AF41" s="20">
        <v>128</v>
      </c>
      <c r="AG41" s="20">
        <v>117</v>
      </c>
      <c r="AH41" s="20" t="s">
        <v>2845</v>
      </c>
      <c r="AI41" s="20" t="s">
        <v>2845</v>
      </c>
      <c r="AJ41" s="20">
        <v>33.5</v>
      </c>
      <c r="AK41" s="20">
        <v>7.4</v>
      </c>
      <c r="AL41" s="20">
        <v>31.9</v>
      </c>
      <c r="AM41" s="20">
        <v>7.4</v>
      </c>
      <c r="AN41" s="20" t="s">
        <v>2902</v>
      </c>
      <c r="AO41" s="20" t="s">
        <v>1770</v>
      </c>
      <c r="AP41" s="20" t="s">
        <v>2900</v>
      </c>
      <c r="AQ41" s="20" t="s">
        <v>2901</v>
      </c>
      <c r="AR41" s="20" t="s">
        <v>1646</v>
      </c>
      <c r="AS41" s="20" t="s">
        <v>2967</v>
      </c>
      <c r="AT41" s="20" t="s">
        <v>1646</v>
      </c>
      <c r="AU41" s="20" t="s">
        <v>2969</v>
      </c>
      <c r="AV41" s="20" t="s">
        <v>2907</v>
      </c>
      <c r="AW41" s="20"/>
      <c r="AX41" s="20"/>
      <c r="AY41" s="20"/>
      <c r="AZ41" s="20"/>
      <c r="BA41" s="20"/>
      <c r="BB41" s="20"/>
      <c r="BC41" s="20"/>
      <c r="BD41" s="20"/>
      <c r="BE41" s="20"/>
      <c r="BF41" s="20"/>
      <c r="BG41" s="65" t="s">
        <v>2970</v>
      </c>
      <c r="BJ41" s="65" t="s">
        <v>2945</v>
      </c>
    </row>
    <row r="42" spans="1:16384" x14ac:dyDescent="0.2">
      <c r="A42" s="7">
        <v>12</v>
      </c>
      <c r="B42" s="7" t="s">
        <v>107</v>
      </c>
      <c r="C42" s="7" t="s">
        <v>108</v>
      </c>
      <c r="D42" s="7" t="s">
        <v>109</v>
      </c>
      <c r="E42" s="7" t="s">
        <v>110</v>
      </c>
      <c r="F42" s="7" t="s">
        <v>111</v>
      </c>
      <c r="G42" s="7">
        <v>2019</v>
      </c>
      <c r="H42" s="8">
        <v>43419</v>
      </c>
      <c r="I42" s="7" t="s">
        <v>32</v>
      </c>
      <c r="J42" s="7" t="s">
        <v>32</v>
      </c>
      <c r="K42" s="7" t="s">
        <v>112</v>
      </c>
      <c r="L42" s="7">
        <v>1</v>
      </c>
      <c r="M42" s="7" t="s">
        <v>32</v>
      </c>
      <c r="N42" s="7" t="s">
        <v>34</v>
      </c>
      <c r="O42" s="7" t="s">
        <v>34</v>
      </c>
      <c r="P42" s="7" t="s">
        <v>34</v>
      </c>
      <c r="Q42" s="7" t="s">
        <v>34</v>
      </c>
      <c r="R42" s="7" t="s">
        <v>34</v>
      </c>
      <c r="S42" s="7" t="s">
        <v>34</v>
      </c>
      <c r="T42" s="7" t="s">
        <v>34</v>
      </c>
      <c r="U42" s="7" t="s">
        <v>32</v>
      </c>
      <c r="V42" s="7">
        <v>1</v>
      </c>
      <c r="W42" s="7" t="s">
        <v>32</v>
      </c>
      <c r="X42" s="7" t="s">
        <v>32</v>
      </c>
      <c r="Y42" s="7" t="s">
        <v>32</v>
      </c>
      <c r="Z42" s="7" t="s">
        <v>32</v>
      </c>
      <c r="AA42" s="7">
        <v>30428446</v>
      </c>
      <c r="AB42" s="7">
        <v>1</v>
      </c>
      <c r="AC42" s="7"/>
      <c r="AD42" s="7">
        <v>3</v>
      </c>
      <c r="AE42" s="7">
        <f t="shared" si="0"/>
        <v>114</v>
      </c>
      <c r="AF42" s="7">
        <v>46</v>
      </c>
      <c r="AG42" s="7">
        <v>68</v>
      </c>
      <c r="AH42" s="7" t="s">
        <v>1769</v>
      </c>
      <c r="AI42" s="7" t="s">
        <v>1769</v>
      </c>
      <c r="AJ42" s="7">
        <v>38.4</v>
      </c>
      <c r="AK42" s="7">
        <v>9.6</v>
      </c>
      <c r="AL42" s="7">
        <v>35.700000000000003</v>
      </c>
      <c r="AM42" s="7">
        <v>13</v>
      </c>
      <c r="AN42" s="7" t="s">
        <v>2947</v>
      </c>
      <c r="AO42" s="7" t="s">
        <v>1638</v>
      </c>
      <c r="AP42" s="7" t="s">
        <v>2912</v>
      </c>
      <c r="AQ42" s="7" t="s">
        <v>2935</v>
      </c>
      <c r="AR42" s="7" t="s">
        <v>1646</v>
      </c>
      <c r="AS42" s="7" t="s">
        <v>2911</v>
      </c>
      <c r="AT42" s="7" t="s">
        <v>1646</v>
      </c>
      <c r="AU42" s="7" t="s">
        <v>2913</v>
      </c>
      <c r="AV42" s="7" t="s">
        <v>2848</v>
      </c>
      <c r="AW42" s="7">
        <v>6</v>
      </c>
      <c r="AX42" s="7">
        <v>5</v>
      </c>
      <c r="AY42" s="7" t="s">
        <v>2914</v>
      </c>
      <c r="AZ42" s="7">
        <v>84.7</v>
      </c>
      <c r="BA42" s="7">
        <v>20.399999999999999</v>
      </c>
      <c r="BB42" s="7"/>
      <c r="BC42" s="21" t="s">
        <v>2933</v>
      </c>
      <c r="BD42" s="7">
        <v>97.5</v>
      </c>
      <c r="BE42" s="7">
        <v>14.1</v>
      </c>
      <c r="BF42" s="7"/>
    </row>
    <row r="43" spans="1:16384" s="56" customFormat="1" x14ac:dyDescent="0.2">
      <c r="A43" s="7">
        <v>12</v>
      </c>
      <c r="B43" s="7" t="s">
        <v>107</v>
      </c>
      <c r="C43" s="7" t="s">
        <v>108</v>
      </c>
      <c r="D43" s="7" t="s">
        <v>109</v>
      </c>
      <c r="E43" s="7" t="s">
        <v>110</v>
      </c>
      <c r="F43" s="7" t="s">
        <v>111</v>
      </c>
      <c r="G43" s="7">
        <v>2019</v>
      </c>
      <c r="H43" s="8">
        <v>43419</v>
      </c>
      <c r="I43" s="7" t="s">
        <v>32</v>
      </c>
      <c r="J43" s="7" t="s">
        <v>32</v>
      </c>
      <c r="K43" s="7" t="s">
        <v>112</v>
      </c>
      <c r="L43" s="7">
        <v>1</v>
      </c>
      <c r="M43" s="7" t="s">
        <v>32</v>
      </c>
      <c r="N43" s="7" t="s">
        <v>34</v>
      </c>
      <c r="O43" s="7" t="s">
        <v>34</v>
      </c>
      <c r="P43" s="7" t="s">
        <v>34</v>
      </c>
      <c r="Q43" s="7" t="s">
        <v>34</v>
      </c>
      <c r="R43" s="7" t="s">
        <v>34</v>
      </c>
      <c r="S43" s="7" t="s">
        <v>34</v>
      </c>
      <c r="T43" s="7" t="s">
        <v>34</v>
      </c>
      <c r="U43" s="7" t="s">
        <v>32</v>
      </c>
      <c r="V43" s="7">
        <v>1</v>
      </c>
      <c r="W43" s="7" t="s">
        <v>32</v>
      </c>
      <c r="X43" s="7" t="s">
        <v>32</v>
      </c>
      <c r="Y43" s="7" t="s">
        <v>32</v>
      </c>
      <c r="Z43" s="7" t="s">
        <v>32</v>
      </c>
      <c r="AA43" s="7">
        <v>30428446</v>
      </c>
      <c r="AB43" s="7">
        <v>1</v>
      </c>
      <c r="AC43" s="7"/>
      <c r="AD43" s="7">
        <v>3</v>
      </c>
      <c r="AE43" s="7">
        <f t="shared" si="0"/>
        <v>114</v>
      </c>
      <c r="AF43" s="7">
        <v>46</v>
      </c>
      <c r="AG43" s="7">
        <v>68</v>
      </c>
      <c r="AH43" s="7" t="s">
        <v>1769</v>
      </c>
      <c r="AI43" s="7" t="s">
        <v>1769</v>
      </c>
      <c r="AJ43" s="7">
        <v>38.4</v>
      </c>
      <c r="AK43" s="7">
        <v>9.6</v>
      </c>
      <c r="AL43" s="7">
        <v>35.700000000000003</v>
      </c>
      <c r="AM43" s="7">
        <v>13</v>
      </c>
      <c r="AN43" s="7" t="s">
        <v>2947</v>
      </c>
      <c r="AO43" s="7" t="s">
        <v>1638</v>
      </c>
      <c r="AP43" s="7" t="s">
        <v>2912</v>
      </c>
      <c r="AQ43" s="7" t="s">
        <v>2935</v>
      </c>
      <c r="AR43" s="7" t="s">
        <v>1646</v>
      </c>
      <c r="AS43" s="7" t="s">
        <v>2911</v>
      </c>
      <c r="AT43" s="7" t="s">
        <v>1646</v>
      </c>
      <c r="AU43" s="7" t="s">
        <v>2913</v>
      </c>
      <c r="AV43" s="7" t="s">
        <v>2848</v>
      </c>
      <c r="AW43" s="7">
        <v>6</v>
      </c>
      <c r="AX43" s="7">
        <v>5</v>
      </c>
      <c r="AY43" s="21" t="s">
        <v>2915</v>
      </c>
      <c r="AZ43" s="21">
        <v>91.1</v>
      </c>
      <c r="BA43" s="21">
        <v>18.8</v>
      </c>
      <c r="BB43" s="21"/>
      <c r="BC43" s="21" t="s">
        <v>2934</v>
      </c>
      <c r="BD43" s="21">
        <v>101.4</v>
      </c>
      <c r="BE43" s="21">
        <v>15.8</v>
      </c>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c r="RS43" s="21"/>
      <c r="RT43" s="21"/>
      <c r="RU43" s="21"/>
      <c r="RV43" s="21"/>
      <c r="RW43" s="21"/>
      <c r="RX43" s="21"/>
      <c r="RY43" s="21"/>
      <c r="RZ43" s="21"/>
      <c r="SA43" s="21"/>
      <c r="SB43" s="21"/>
      <c r="SC43" s="21"/>
      <c r="SD43" s="21"/>
      <c r="SE43" s="21"/>
      <c r="SF43" s="21"/>
      <c r="SG43" s="21"/>
      <c r="SH43" s="21"/>
      <c r="SI43" s="21"/>
      <c r="SJ43" s="21"/>
      <c r="SK43" s="21"/>
      <c r="SL43" s="21"/>
      <c r="SM43" s="21"/>
      <c r="SN43" s="21"/>
      <c r="SO43" s="21"/>
      <c r="SP43" s="21"/>
      <c r="SQ43" s="21"/>
      <c r="SR43" s="21"/>
      <c r="SS43" s="21"/>
      <c r="ST43" s="21"/>
      <c r="SU43" s="21"/>
      <c r="SV43" s="21"/>
      <c r="SW43" s="21"/>
      <c r="SX43" s="21"/>
      <c r="SY43" s="21"/>
      <c r="SZ43" s="21"/>
      <c r="TA43" s="21"/>
      <c r="TB43" s="21"/>
      <c r="TC43" s="21"/>
      <c r="TD43" s="21"/>
      <c r="TE43" s="21"/>
      <c r="TF43" s="21"/>
      <c r="TG43" s="21"/>
      <c r="TH43" s="21"/>
      <c r="TI43" s="21"/>
      <c r="TJ43" s="21"/>
      <c r="TK43" s="21"/>
      <c r="TL43" s="21"/>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c r="UL43" s="21"/>
      <c r="UM43" s="21"/>
      <c r="UN43" s="21"/>
      <c r="UO43" s="21"/>
      <c r="UP43" s="21"/>
      <c r="UQ43" s="21"/>
      <c r="UR43" s="21"/>
      <c r="US43" s="21"/>
      <c r="UT43" s="21"/>
      <c r="UU43" s="21"/>
      <c r="UV43" s="21"/>
      <c r="UW43" s="21"/>
      <c r="UX43" s="21"/>
      <c r="UY43" s="21"/>
      <c r="UZ43" s="21"/>
      <c r="VA43" s="21"/>
      <c r="VB43" s="21"/>
      <c r="VC43" s="21"/>
      <c r="VD43" s="21"/>
      <c r="VE43" s="21"/>
      <c r="VF43" s="21"/>
      <c r="VG43" s="21"/>
      <c r="VH43" s="21"/>
      <c r="VI43" s="21"/>
      <c r="VJ43" s="21"/>
      <c r="VK43" s="21"/>
      <c r="VL43" s="21"/>
      <c r="VM43" s="21"/>
      <c r="VN43" s="21"/>
      <c r="VO43" s="21"/>
      <c r="VP43" s="21"/>
      <c r="VQ43" s="21"/>
      <c r="VR43" s="21"/>
      <c r="VS43" s="21"/>
      <c r="VT43" s="21"/>
      <c r="VU43" s="21"/>
      <c r="VV43" s="21"/>
      <c r="VW43" s="21"/>
      <c r="VX43" s="21"/>
      <c r="VY43" s="21"/>
      <c r="VZ43" s="21"/>
      <c r="WA43" s="21"/>
      <c r="WB43" s="21"/>
      <c r="WC43" s="21"/>
      <c r="WD43" s="21"/>
      <c r="WE43" s="21"/>
      <c r="WF43" s="21"/>
      <c r="WG43" s="21"/>
      <c r="WH43" s="21"/>
      <c r="WI43" s="21"/>
      <c r="WJ43" s="21"/>
      <c r="WK43" s="21"/>
      <c r="WL43" s="21"/>
      <c r="WM43" s="21"/>
      <c r="WN43" s="21"/>
      <c r="WO43" s="21"/>
      <c r="WP43" s="21"/>
      <c r="WQ43" s="21"/>
      <c r="WR43" s="21"/>
      <c r="WS43" s="21"/>
      <c r="WT43" s="21"/>
      <c r="WU43" s="21"/>
      <c r="WV43" s="21"/>
      <c r="WW43" s="21"/>
      <c r="WX43" s="21"/>
      <c r="WY43" s="21"/>
      <c r="WZ43" s="21"/>
      <c r="XA43" s="21"/>
      <c r="XB43" s="21"/>
      <c r="XC43" s="21"/>
      <c r="XD43" s="21"/>
      <c r="XE43" s="21"/>
      <c r="XF43" s="21"/>
      <c r="XG43" s="21"/>
      <c r="XH43" s="21"/>
      <c r="XI43" s="21"/>
      <c r="XJ43" s="21"/>
      <c r="XK43" s="21"/>
      <c r="XL43" s="21"/>
      <c r="XM43" s="21"/>
      <c r="XN43" s="21"/>
      <c r="XO43" s="21"/>
      <c r="XP43" s="21"/>
      <c r="XQ43" s="21"/>
      <c r="XR43" s="21"/>
      <c r="XS43" s="21"/>
      <c r="XT43" s="21"/>
      <c r="XU43" s="21"/>
      <c r="XV43" s="21"/>
      <c r="XW43" s="21"/>
      <c r="XX43" s="21"/>
      <c r="XY43" s="21"/>
      <c r="XZ43" s="21"/>
      <c r="YA43" s="21"/>
      <c r="YB43" s="21"/>
      <c r="YC43" s="21"/>
      <c r="YD43" s="21"/>
      <c r="YE43" s="21"/>
      <c r="YF43" s="21"/>
      <c r="YG43" s="21"/>
      <c r="YH43" s="21"/>
      <c r="YI43" s="21"/>
      <c r="YJ43" s="21"/>
      <c r="YK43" s="21"/>
      <c r="YL43" s="21"/>
      <c r="YM43" s="21"/>
      <c r="YN43" s="21"/>
      <c r="YO43" s="21"/>
      <c r="YP43" s="21"/>
      <c r="YQ43" s="21"/>
      <c r="YR43" s="21"/>
      <c r="YS43" s="21"/>
      <c r="YT43" s="21"/>
      <c r="YU43" s="21"/>
      <c r="YV43" s="21"/>
      <c r="YW43" s="21"/>
      <c r="YX43" s="21"/>
      <c r="YY43" s="21"/>
      <c r="YZ43" s="21"/>
      <c r="ZA43" s="21"/>
      <c r="ZB43" s="21"/>
      <c r="ZC43" s="21"/>
      <c r="ZD43" s="21"/>
      <c r="ZE43" s="21"/>
      <c r="ZF43" s="21"/>
      <c r="ZG43" s="21"/>
      <c r="ZH43" s="21"/>
      <c r="ZI43" s="21"/>
      <c r="ZJ43" s="21"/>
      <c r="ZK43" s="21"/>
      <c r="ZL43" s="21"/>
      <c r="ZM43" s="21"/>
      <c r="ZN43" s="21"/>
      <c r="ZO43" s="21"/>
      <c r="ZP43" s="21"/>
      <c r="ZQ43" s="21"/>
      <c r="ZR43" s="21"/>
      <c r="ZS43" s="21"/>
      <c r="ZT43" s="21"/>
      <c r="ZU43" s="21"/>
      <c r="ZV43" s="21"/>
      <c r="ZW43" s="21"/>
      <c r="ZX43" s="21"/>
      <c r="ZY43" s="21"/>
      <c r="ZZ43" s="21"/>
      <c r="AAA43" s="21"/>
      <c r="AAB43" s="21"/>
      <c r="AAC43" s="21"/>
      <c r="AAD43" s="21"/>
      <c r="AAE43" s="21"/>
      <c r="AAF43" s="21"/>
      <c r="AAG43" s="21"/>
      <c r="AAH43" s="21"/>
      <c r="AAI43" s="21"/>
      <c r="AAJ43" s="21"/>
      <c r="AAK43" s="21"/>
      <c r="AAL43" s="21"/>
      <c r="AAM43" s="21"/>
      <c r="AAN43" s="21"/>
      <c r="AAO43" s="21"/>
      <c r="AAP43" s="21"/>
      <c r="AAQ43" s="21"/>
      <c r="AAR43" s="21"/>
      <c r="AAS43" s="21"/>
      <c r="AAT43" s="21"/>
      <c r="AAU43" s="21"/>
      <c r="AAV43" s="21"/>
      <c r="AAW43" s="21"/>
      <c r="AAX43" s="21"/>
      <c r="AAY43" s="21"/>
      <c r="AAZ43" s="21"/>
      <c r="ABA43" s="21"/>
      <c r="ABB43" s="21"/>
      <c r="ABC43" s="21"/>
      <c r="ABD43" s="21"/>
      <c r="ABE43" s="21"/>
      <c r="ABF43" s="21"/>
      <c r="ABG43" s="21"/>
      <c r="ABH43" s="21"/>
      <c r="ABI43" s="21"/>
      <c r="ABJ43" s="21"/>
      <c r="ABK43" s="21"/>
      <c r="ABL43" s="21"/>
      <c r="ABM43" s="21"/>
      <c r="ABN43" s="21"/>
      <c r="ABO43" s="21"/>
      <c r="ABP43" s="21"/>
      <c r="ABQ43" s="21"/>
      <c r="ABR43" s="21"/>
      <c r="ABS43" s="21"/>
      <c r="ABT43" s="21"/>
      <c r="ABU43" s="21"/>
      <c r="ABV43" s="21"/>
      <c r="ABW43" s="21"/>
      <c r="ABX43" s="21"/>
      <c r="ABY43" s="21"/>
      <c r="ABZ43" s="21"/>
      <c r="ACA43" s="21"/>
      <c r="ACB43" s="21"/>
      <c r="ACC43" s="21"/>
      <c r="ACD43" s="21"/>
      <c r="ACE43" s="21"/>
      <c r="ACF43" s="21"/>
      <c r="ACG43" s="21"/>
      <c r="ACH43" s="21"/>
      <c r="ACI43" s="21"/>
      <c r="ACJ43" s="21"/>
      <c r="ACK43" s="21"/>
      <c r="ACL43" s="21"/>
      <c r="ACM43" s="21"/>
      <c r="ACN43" s="21"/>
      <c r="ACO43" s="21"/>
      <c r="ACP43" s="21"/>
      <c r="ACQ43" s="21"/>
      <c r="ACR43" s="21"/>
      <c r="ACS43" s="21"/>
      <c r="ACT43" s="21"/>
      <c r="ACU43" s="21"/>
      <c r="ACV43" s="21"/>
      <c r="ACW43" s="21"/>
      <c r="ACX43" s="21"/>
      <c r="ACY43" s="21"/>
      <c r="ACZ43" s="21"/>
      <c r="ADA43" s="21"/>
      <c r="ADB43" s="21"/>
      <c r="ADC43" s="21"/>
      <c r="ADD43" s="21"/>
      <c r="ADE43" s="21"/>
      <c r="ADF43" s="21"/>
      <c r="ADG43" s="21"/>
      <c r="ADH43" s="21"/>
      <c r="ADI43" s="21"/>
      <c r="ADJ43" s="21"/>
      <c r="ADK43" s="21"/>
      <c r="ADL43" s="21"/>
      <c r="ADM43" s="21"/>
      <c r="ADN43" s="21"/>
      <c r="ADO43" s="21"/>
      <c r="ADP43" s="21"/>
      <c r="ADQ43" s="21"/>
      <c r="ADR43" s="21"/>
      <c r="ADS43" s="21"/>
      <c r="ADT43" s="21"/>
      <c r="ADU43" s="21"/>
      <c r="ADV43" s="21"/>
      <c r="ADW43" s="21"/>
      <c r="ADX43" s="21"/>
      <c r="ADY43" s="21"/>
      <c r="ADZ43" s="21"/>
      <c r="AEA43" s="21"/>
      <c r="AEB43" s="21"/>
      <c r="AEC43" s="21"/>
      <c r="AED43" s="21"/>
      <c r="AEE43" s="21"/>
      <c r="AEF43" s="21"/>
      <c r="AEG43" s="21"/>
      <c r="AEH43" s="21"/>
      <c r="AEI43" s="21"/>
      <c r="AEJ43" s="21"/>
      <c r="AEK43" s="21"/>
      <c r="AEL43" s="21"/>
      <c r="AEM43" s="21"/>
      <c r="AEN43" s="21"/>
      <c r="AEO43" s="21"/>
      <c r="AEP43" s="21"/>
      <c r="AEQ43" s="21"/>
      <c r="AER43" s="21"/>
      <c r="AES43" s="21"/>
      <c r="AET43" s="21"/>
      <c r="AEU43" s="21"/>
      <c r="AEV43" s="21"/>
      <c r="AEW43" s="21"/>
      <c r="AEX43" s="21"/>
      <c r="AEY43" s="21"/>
      <c r="AEZ43" s="21"/>
      <c r="AFA43" s="21"/>
      <c r="AFB43" s="21"/>
      <c r="AFC43" s="21"/>
      <c r="AFD43" s="21"/>
      <c r="AFE43" s="21"/>
      <c r="AFF43" s="21"/>
      <c r="AFG43" s="21"/>
      <c r="AFH43" s="21"/>
      <c r="AFI43" s="21"/>
      <c r="AFJ43" s="21"/>
      <c r="AFK43" s="21"/>
      <c r="AFL43" s="21"/>
      <c r="AFM43" s="21"/>
      <c r="AFN43" s="21"/>
      <c r="AFO43" s="21"/>
      <c r="AFP43" s="21"/>
      <c r="AFQ43" s="21"/>
      <c r="AFR43" s="21"/>
      <c r="AFS43" s="21"/>
      <c r="AFT43" s="21"/>
      <c r="AFU43" s="21"/>
      <c r="AFV43" s="21"/>
      <c r="AFW43" s="21"/>
      <c r="AFX43" s="21"/>
      <c r="AFY43" s="21"/>
      <c r="AFZ43" s="21"/>
      <c r="AGA43" s="21"/>
      <c r="AGB43" s="21"/>
      <c r="AGC43" s="21"/>
      <c r="AGD43" s="21"/>
      <c r="AGE43" s="21"/>
      <c r="AGF43" s="21"/>
      <c r="AGG43" s="21"/>
      <c r="AGH43" s="21"/>
      <c r="AGI43" s="21"/>
      <c r="AGJ43" s="21"/>
      <c r="AGK43" s="21"/>
      <c r="AGL43" s="21"/>
      <c r="AGM43" s="21"/>
      <c r="AGN43" s="21"/>
      <c r="AGO43" s="21"/>
      <c r="AGP43" s="21"/>
      <c r="AGQ43" s="21"/>
      <c r="AGR43" s="21"/>
      <c r="AGS43" s="21"/>
      <c r="AGT43" s="21"/>
      <c r="AGU43" s="21"/>
      <c r="AGV43" s="21"/>
      <c r="AGW43" s="21"/>
      <c r="AGX43" s="21"/>
      <c r="AGY43" s="21"/>
      <c r="AGZ43" s="21"/>
      <c r="AHA43" s="21"/>
      <c r="AHB43" s="21"/>
      <c r="AHC43" s="21"/>
      <c r="AHD43" s="21"/>
      <c r="AHE43" s="21"/>
      <c r="AHF43" s="21"/>
      <c r="AHG43" s="21"/>
      <c r="AHH43" s="21"/>
      <c r="AHI43" s="21"/>
      <c r="AHJ43" s="21"/>
      <c r="AHK43" s="21"/>
      <c r="AHL43" s="21"/>
      <c r="AHM43" s="21"/>
      <c r="AHN43" s="21"/>
      <c r="AHO43" s="21"/>
      <c r="AHP43" s="21"/>
      <c r="AHQ43" s="21"/>
      <c r="AHR43" s="21"/>
      <c r="AHS43" s="21"/>
      <c r="AHT43" s="21"/>
      <c r="AHU43" s="21"/>
      <c r="AHV43" s="21"/>
      <c r="AHW43" s="21"/>
      <c r="AHX43" s="21"/>
      <c r="AHY43" s="21"/>
      <c r="AHZ43" s="21"/>
      <c r="AIA43" s="21"/>
      <c r="AIB43" s="21"/>
      <c r="AIC43" s="21"/>
      <c r="AID43" s="21"/>
      <c r="AIE43" s="21"/>
      <c r="AIF43" s="21"/>
      <c r="AIG43" s="21"/>
      <c r="AIH43" s="21"/>
      <c r="AII43" s="21"/>
      <c r="AIJ43" s="21"/>
      <c r="AIK43" s="21"/>
      <c r="AIL43" s="21"/>
      <c r="AIM43" s="21"/>
      <c r="AIN43" s="21"/>
      <c r="AIO43" s="21"/>
      <c r="AIP43" s="21"/>
      <c r="AIQ43" s="21"/>
      <c r="AIR43" s="21"/>
      <c r="AIS43" s="21"/>
      <c r="AIT43" s="21"/>
      <c r="AIU43" s="21"/>
      <c r="AIV43" s="21"/>
      <c r="AIW43" s="21"/>
      <c r="AIX43" s="21"/>
      <c r="AIY43" s="21"/>
      <c r="AIZ43" s="21"/>
      <c r="AJA43" s="21"/>
      <c r="AJB43" s="21"/>
      <c r="AJC43" s="21"/>
      <c r="AJD43" s="21"/>
      <c r="AJE43" s="21"/>
      <c r="AJF43" s="21"/>
      <c r="AJG43" s="21"/>
      <c r="AJH43" s="21"/>
      <c r="AJI43" s="21"/>
      <c r="AJJ43" s="21"/>
      <c r="AJK43" s="21"/>
      <c r="AJL43" s="21"/>
      <c r="AJM43" s="21"/>
      <c r="AJN43" s="21"/>
      <c r="AJO43" s="21"/>
      <c r="AJP43" s="21"/>
      <c r="AJQ43" s="21"/>
      <c r="AJR43" s="21"/>
      <c r="AJS43" s="21"/>
      <c r="AJT43" s="21"/>
      <c r="AJU43" s="21"/>
      <c r="AJV43" s="21"/>
      <c r="AJW43" s="21"/>
      <c r="AJX43" s="21"/>
      <c r="AJY43" s="21"/>
      <c r="AJZ43" s="21"/>
      <c r="AKA43" s="21"/>
      <c r="AKB43" s="21"/>
      <c r="AKC43" s="21"/>
      <c r="AKD43" s="21"/>
      <c r="AKE43" s="21"/>
      <c r="AKF43" s="21"/>
      <c r="AKG43" s="21"/>
      <c r="AKH43" s="21"/>
      <c r="AKI43" s="21"/>
      <c r="AKJ43" s="21"/>
      <c r="AKK43" s="21"/>
      <c r="AKL43" s="21"/>
      <c r="AKM43" s="21"/>
      <c r="AKN43" s="21"/>
      <c r="AKO43" s="21"/>
      <c r="AKP43" s="21"/>
      <c r="AKQ43" s="21"/>
      <c r="AKR43" s="21"/>
      <c r="AKS43" s="21"/>
      <c r="AKT43" s="21"/>
      <c r="AKU43" s="21"/>
      <c r="AKV43" s="21"/>
      <c r="AKW43" s="21"/>
      <c r="AKX43" s="21"/>
      <c r="AKY43" s="21"/>
      <c r="AKZ43" s="21"/>
      <c r="ALA43" s="21"/>
      <c r="ALB43" s="21"/>
      <c r="ALC43" s="21"/>
      <c r="ALD43" s="21"/>
      <c r="ALE43" s="21"/>
      <c r="ALF43" s="21"/>
      <c r="ALG43" s="21"/>
      <c r="ALH43" s="21"/>
      <c r="ALI43" s="21"/>
      <c r="ALJ43" s="21"/>
      <c r="ALK43" s="21"/>
      <c r="ALL43" s="21"/>
      <c r="ALM43" s="21"/>
      <c r="ALN43" s="21"/>
      <c r="ALO43" s="21"/>
      <c r="ALP43" s="21"/>
      <c r="ALQ43" s="21"/>
      <c r="ALR43" s="21"/>
      <c r="ALS43" s="21"/>
      <c r="ALT43" s="21"/>
      <c r="ALU43" s="21"/>
      <c r="ALV43" s="21"/>
      <c r="ALW43" s="21"/>
      <c r="ALX43" s="21"/>
      <c r="ALY43" s="21"/>
      <c r="ALZ43" s="21"/>
      <c r="AMA43" s="21"/>
      <c r="AMB43" s="21"/>
      <c r="AMC43" s="21"/>
      <c r="AMD43" s="21"/>
      <c r="AME43" s="21"/>
      <c r="AMF43" s="21"/>
      <c r="AMG43" s="21"/>
      <c r="AMH43" s="21"/>
      <c r="AMI43" s="21"/>
      <c r="AMJ43" s="21"/>
      <c r="AMK43" s="21"/>
      <c r="AML43" s="21"/>
      <c r="AMM43" s="21"/>
      <c r="AMN43" s="21"/>
      <c r="AMO43" s="21"/>
      <c r="AMP43" s="21"/>
      <c r="AMQ43" s="21"/>
      <c r="AMR43" s="21"/>
      <c r="AMS43" s="21"/>
      <c r="AMT43" s="21"/>
      <c r="AMU43" s="21"/>
      <c r="AMV43" s="21"/>
      <c r="AMW43" s="21"/>
      <c r="AMX43" s="21"/>
      <c r="AMY43" s="21"/>
      <c r="AMZ43" s="21"/>
      <c r="ANA43" s="21"/>
      <c r="ANB43" s="21"/>
      <c r="ANC43" s="21"/>
      <c r="AND43" s="21"/>
      <c r="ANE43" s="21"/>
      <c r="ANF43" s="21"/>
      <c r="ANG43" s="21"/>
      <c r="ANH43" s="21"/>
      <c r="ANI43" s="21"/>
      <c r="ANJ43" s="21"/>
      <c r="ANK43" s="21"/>
      <c r="ANL43" s="21"/>
      <c r="ANM43" s="21"/>
      <c r="ANN43" s="21"/>
      <c r="ANO43" s="21"/>
      <c r="ANP43" s="21"/>
      <c r="ANQ43" s="21"/>
      <c r="ANR43" s="21"/>
      <c r="ANS43" s="21"/>
      <c r="ANT43" s="21"/>
      <c r="ANU43" s="21"/>
      <c r="ANV43" s="21"/>
      <c r="ANW43" s="21"/>
      <c r="ANX43" s="21"/>
      <c r="ANY43" s="21"/>
      <c r="ANZ43" s="21"/>
      <c r="AOA43" s="21"/>
      <c r="AOB43" s="21"/>
      <c r="AOC43" s="21"/>
      <c r="AOD43" s="21"/>
      <c r="AOE43" s="21"/>
      <c r="AOF43" s="21"/>
      <c r="AOG43" s="21"/>
      <c r="AOH43" s="21"/>
      <c r="AOI43" s="21"/>
      <c r="AOJ43" s="21"/>
      <c r="AOK43" s="21"/>
      <c r="AOL43" s="21"/>
      <c r="AOM43" s="21"/>
      <c r="AON43" s="21"/>
      <c r="AOO43" s="21"/>
      <c r="AOP43" s="21"/>
      <c r="AOQ43" s="21"/>
      <c r="AOR43" s="21"/>
      <c r="AOS43" s="21"/>
      <c r="AOT43" s="21"/>
      <c r="AOU43" s="21"/>
      <c r="AOV43" s="21"/>
      <c r="AOW43" s="21"/>
      <c r="AOX43" s="21"/>
      <c r="AOY43" s="21"/>
      <c r="AOZ43" s="21"/>
      <c r="APA43" s="21"/>
      <c r="APB43" s="21"/>
      <c r="APC43" s="21"/>
      <c r="APD43" s="21"/>
      <c r="APE43" s="21"/>
      <c r="APF43" s="21"/>
      <c r="APG43" s="21"/>
      <c r="APH43" s="21"/>
      <c r="API43" s="21"/>
      <c r="APJ43" s="21"/>
      <c r="APK43" s="21"/>
      <c r="APL43" s="21"/>
      <c r="APM43" s="21"/>
      <c r="APN43" s="21"/>
      <c r="APO43" s="21"/>
      <c r="APP43" s="21"/>
      <c r="APQ43" s="21"/>
      <c r="APR43" s="21"/>
      <c r="APS43" s="21"/>
      <c r="APT43" s="21"/>
      <c r="APU43" s="21"/>
      <c r="APV43" s="21"/>
      <c r="APW43" s="21"/>
      <c r="APX43" s="21"/>
      <c r="APY43" s="21"/>
      <c r="APZ43" s="21"/>
      <c r="AQA43" s="21"/>
      <c r="AQB43" s="21"/>
      <c r="AQC43" s="21"/>
      <c r="AQD43" s="21"/>
      <c r="AQE43" s="21"/>
      <c r="AQF43" s="21"/>
      <c r="AQG43" s="21"/>
      <c r="AQH43" s="21"/>
      <c r="AQI43" s="21"/>
      <c r="AQJ43" s="21"/>
      <c r="AQK43" s="21"/>
      <c r="AQL43" s="21"/>
      <c r="AQM43" s="21"/>
      <c r="AQN43" s="21"/>
      <c r="AQO43" s="21"/>
      <c r="AQP43" s="21"/>
      <c r="AQQ43" s="21"/>
      <c r="AQR43" s="21"/>
      <c r="AQS43" s="21"/>
      <c r="AQT43" s="21"/>
      <c r="AQU43" s="21"/>
      <c r="AQV43" s="21"/>
      <c r="AQW43" s="21"/>
      <c r="AQX43" s="21"/>
      <c r="AQY43" s="21"/>
      <c r="AQZ43" s="21"/>
      <c r="ARA43" s="21"/>
      <c r="ARB43" s="21"/>
      <c r="ARC43" s="21"/>
      <c r="ARD43" s="21"/>
      <c r="ARE43" s="21"/>
      <c r="ARF43" s="21"/>
      <c r="ARG43" s="21"/>
      <c r="ARH43" s="21"/>
      <c r="ARI43" s="21"/>
      <c r="ARJ43" s="21"/>
      <c r="ARK43" s="21"/>
      <c r="ARL43" s="21"/>
      <c r="ARM43" s="21"/>
      <c r="ARN43" s="21"/>
      <c r="ARO43" s="21"/>
      <c r="ARP43" s="21"/>
      <c r="ARQ43" s="21"/>
      <c r="ARR43" s="21"/>
      <c r="ARS43" s="21"/>
      <c r="ART43" s="21"/>
      <c r="ARU43" s="21"/>
      <c r="ARV43" s="21"/>
      <c r="ARW43" s="21"/>
      <c r="ARX43" s="21"/>
      <c r="ARY43" s="21"/>
      <c r="ARZ43" s="21"/>
      <c r="ASA43" s="21"/>
      <c r="ASB43" s="21"/>
      <c r="ASC43" s="21"/>
      <c r="ASD43" s="21"/>
      <c r="ASE43" s="21"/>
      <c r="ASF43" s="21"/>
      <c r="ASG43" s="21"/>
      <c r="ASH43" s="21"/>
      <c r="ASI43" s="21"/>
      <c r="ASJ43" s="21"/>
      <c r="ASK43" s="21"/>
      <c r="ASL43" s="21"/>
      <c r="ASM43" s="21"/>
      <c r="ASN43" s="21"/>
      <c r="ASO43" s="21"/>
      <c r="ASP43" s="21"/>
      <c r="ASQ43" s="21"/>
      <c r="ASR43" s="21"/>
      <c r="ASS43" s="21"/>
      <c r="AST43" s="21"/>
      <c r="ASU43" s="21"/>
      <c r="ASV43" s="21"/>
      <c r="ASW43" s="21"/>
      <c r="ASX43" s="21"/>
      <c r="ASY43" s="21"/>
      <c r="ASZ43" s="21"/>
      <c r="ATA43" s="21"/>
      <c r="ATB43" s="21"/>
      <c r="ATC43" s="21"/>
      <c r="ATD43" s="21"/>
      <c r="ATE43" s="21"/>
      <c r="ATF43" s="21"/>
      <c r="ATG43" s="21"/>
      <c r="ATH43" s="21"/>
      <c r="ATI43" s="21"/>
      <c r="ATJ43" s="21"/>
      <c r="ATK43" s="21"/>
      <c r="ATL43" s="21"/>
      <c r="ATM43" s="21"/>
      <c r="ATN43" s="21"/>
      <c r="ATO43" s="21"/>
      <c r="ATP43" s="21"/>
      <c r="ATQ43" s="21"/>
      <c r="ATR43" s="21"/>
      <c r="ATS43" s="21"/>
      <c r="ATT43" s="21"/>
      <c r="ATU43" s="21"/>
      <c r="ATV43" s="21"/>
      <c r="ATW43" s="21"/>
      <c r="ATX43" s="21"/>
      <c r="ATY43" s="21"/>
      <c r="ATZ43" s="21"/>
      <c r="AUA43" s="21"/>
      <c r="AUB43" s="21"/>
      <c r="AUC43" s="21"/>
      <c r="AUD43" s="21"/>
      <c r="AUE43" s="21"/>
      <c r="AUF43" s="21"/>
      <c r="AUG43" s="21"/>
      <c r="AUH43" s="21"/>
      <c r="AUI43" s="21"/>
      <c r="AUJ43" s="21"/>
      <c r="AUK43" s="21"/>
      <c r="AUL43" s="21"/>
      <c r="AUM43" s="21"/>
      <c r="AUN43" s="21"/>
      <c r="AUO43" s="21"/>
      <c r="AUP43" s="21"/>
      <c r="AUQ43" s="21"/>
      <c r="AUR43" s="21"/>
      <c r="AUS43" s="21"/>
      <c r="AUT43" s="21"/>
      <c r="AUU43" s="21"/>
      <c r="AUV43" s="21"/>
      <c r="AUW43" s="21"/>
      <c r="AUX43" s="21"/>
      <c r="AUY43" s="21"/>
      <c r="AUZ43" s="21"/>
      <c r="AVA43" s="21"/>
      <c r="AVB43" s="21"/>
      <c r="AVC43" s="21"/>
      <c r="AVD43" s="21"/>
      <c r="AVE43" s="21"/>
      <c r="AVF43" s="21"/>
      <c r="AVG43" s="21"/>
      <c r="AVH43" s="21"/>
      <c r="AVI43" s="21"/>
      <c r="AVJ43" s="21"/>
      <c r="AVK43" s="21"/>
      <c r="AVL43" s="21"/>
      <c r="AVM43" s="21"/>
      <c r="AVN43" s="21"/>
      <c r="AVO43" s="21"/>
      <c r="AVP43" s="21"/>
      <c r="AVQ43" s="21"/>
      <c r="AVR43" s="21"/>
      <c r="AVS43" s="21"/>
      <c r="AVT43" s="21"/>
      <c r="AVU43" s="21"/>
      <c r="AVV43" s="21"/>
      <c r="AVW43" s="21"/>
      <c r="AVX43" s="21"/>
      <c r="AVY43" s="21"/>
      <c r="AVZ43" s="21"/>
      <c r="AWA43" s="21"/>
      <c r="AWB43" s="21"/>
      <c r="AWC43" s="21"/>
      <c r="AWD43" s="21"/>
      <c r="AWE43" s="21"/>
      <c r="AWF43" s="21"/>
      <c r="AWG43" s="21"/>
      <c r="AWH43" s="21"/>
      <c r="AWI43" s="21"/>
      <c r="AWJ43" s="21"/>
      <c r="AWK43" s="21"/>
      <c r="AWL43" s="21"/>
      <c r="AWM43" s="21"/>
      <c r="AWN43" s="21"/>
      <c r="AWO43" s="21"/>
      <c r="AWP43" s="21"/>
      <c r="AWQ43" s="21"/>
      <c r="AWR43" s="21"/>
      <c r="AWS43" s="21"/>
      <c r="AWT43" s="21"/>
      <c r="AWU43" s="21"/>
      <c r="AWV43" s="21"/>
      <c r="AWW43" s="21"/>
      <c r="AWX43" s="21"/>
      <c r="AWY43" s="21"/>
      <c r="AWZ43" s="21"/>
      <c r="AXA43" s="21"/>
      <c r="AXB43" s="21"/>
      <c r="AXC43" s="21"/>
      <c r="AXD43" s="21"/>
      <c r="AXE43" s="21"/>
      <c r="AXF43" s="21"/>
      <c r="AXG43" s="21"/>
      <c r="AXH43" s="21"/>
      <c r="AXI43" s="21"/>
      <c r="AXJ43" s="21"/>
      <c r="AXK43" s="21"/>
      <c r="AXL43" s="21"/>
      <c r="AXM43" s="21"/>
      <c r="AXN43" s="21"/>
      <c r="AXO43" s="21"/>
      <c r="AXP43" s="21"/>
      <c r="AXQ43" s="21"/>
      <c r="AXR43" s="21"/>
      <c r="AXS43" s="21"/>
      <c r="AXT43" s="21"/>
      <c r="AXU43" s="21"/>
      <c r="AXV43" s="21"/>
      <c r="AXW43" s="21"/>
      <c r="AXX43" s="21"/>
      <c r="AXY43" s="21"/>
      <c r="AXZ43" s="21"/>
      <c r="AYA43" s="21"/>
      <c r="AYB43" s="21"/>
      <c r="AYC43" s="21"/>
      <c r="AYD43" s="21"/>
      <c r="AYE43" s="21"/>
      <c r="AYF43" s="21"/>
      <c r="AYG43" s="21"/>
      <c r="AYH43" s="21"/>
      <c r="AYI43" s="21"/>
      <c r="AYJ43" s="21"/>
      <c r="AYK43" s="21"/>
      <c r="AYL43" s="21"/>
      <c r="AYM43" s="21"/>
      <c r="AYN43" s="21"/>
      <c r="AYO43" s="21"/>
      <c r="AYP43" s="21"/>
      <c r="AYQ43" s="21"/>
      <c r="AYR43" s="21"/>
      <c r="AYS43" s="21"/>
      <c r="AYT43" s="21"/>
      <c r="AYU43" s="21"/>
      <c r="AYV43" s="21"/>
      <c r="AYW43" s="21"/>
      <c r="AYX43" s="21"/>
      <c r="AYY43" s="21"/>
      <c r="AYZ43" s="21"/>
      <c r="AZA43" s="21"/>
      <c r="AZB43" s="21"/>
      <c r="AZC43" s="21"/>
      <c r="AZD43" s="21"/>
      <c r="AZE43" s="21"/>
      <c r="AZF43" s="21"/>
      <c r="AZG43" s="21"/>
      <c r="AZH43" s="21"/>
      <c r="AZI43" s="21"/>
      <c r="AZJ43" s="21"/>
      <c r="AZK43" s="21"/>
      <c r="AZL43" s="21"/>
      <c r="AZM43" s="21"/>
      <c r="AZN43" s="21"/>
      <c r="AZO43" s="21"/>
      <c r="AZP43" s="21"/>
      <c r="AZQ43" s="21"/>
      <c r="AZR43" s="21"/>
      <c r="AZS43" s="21"/>
      <c r="AZT43" s="21"/>
      <c r="AZU43" s="21"/>
      <c r="AZV43" s="21"/>
      <c r="AZW43" s="21"/>
      <c r="AZX43" s="21"/>
      <c r="AZY43" s="21"/>
      <c r="AZZ43" s="21"/>
      <c r="BAA43" s="21"/>
      <c r="BAB43" s="21"/>
      <c r="BAC43" s="21"/>
      <c r="BAD43" s="21"/>
      <c r="BAE43" s="21"/>
      <c r="BAF43" s="21"/>
      <c r="BAG43" s="21"/>
      <c r="BAH43" s="21"/>
      <c r="BAI43" s="21"/>
      <c r="BAJ43" s="21"/>
      <c r="BAK43" s="21"/>
      <c r="BAL43" s="21"/>
      <c r="BAM43" s="21"/>
      <c r="BAN43" s="21"/>
      <c r="BAO43" s="21"/>
      <c r="BAP43" s="21"/>
      <c r="BAQ43" s="21"/>
      <c r="BAR43" s="21"/>
      <c r="BAS43" s="21"/>
      <c r="BAT43" s="21"/>
      <c r="BAU43" s="21"/>
      <c r="BAV43" s="21"/>
      <c r="BAW43" s="21"/>
      <c r="BAX43" s="21"/>
      <c r="BAY43" s="21"/>
      <c r="BAZ43" s="21"/>
      <c r="BBA43" s="21"/>
      <c r="BBB43" s="21"/>
      <c r="BBC43" s="21"/>
      <c r="BBD43" s="21"/>
      <c r="BBE43" s="21"/>
      <c r="BBF43" s="21"/>
      <c r="BBG43" s="21"/>
      <c r="BBH43" s="21"/>
      <c r="BBI43" s="21"/>
      <c r="BBJ43" s="21"/>
      <c r="BBK43" s="21"/>
      <c r="BBL43" s="21"/>
      <c r="BBM43" s="21"/>
      <c r="BBN43" s="21"/>
      <c r="BBO43" s="21"/>
      <c r="BBP43" s="21"/>
      <c r="BBQ43" s="21"/>
      <c r="BBR43" s="21"/>
      <c r="BBS43" s="21"/>
      <c r="BBT43" s="21"/>
      <c r="BBU43" s="21"/>
      <c r="BBV43" s="21"/>
      <c r="BBW43" s="21"/>
      <c r="BBX43" s="21"/>
      <c r="BBY43" s="21"/>
      <c r="BBZ43" s="21"/>
      <c r="BCA43" s="21"/>
      <c r="BCB43" s="21"/>
      <c r="BCC43" s="21"/>
      <c r="BCD43" s="21"/>
      <c r="BCE43" s="21"/>
      <c r="BCF43" s="21"/>
      <c r="BCG43" s="21"/>
      <c r="BCH43" s="21"/>
      <c r="BCI43" s="21"/>
      <c r="BCJ43" s="21"/>
      <c r="BCK43" s="21"/>
      <c r="BCL43" s="21"/>
      <c r="BCM43" s="21"/>
      <c r="BCN43" s="21"/>
      <c r="BCO43" s="21"/>
      <c r="BCP43" s="21"/>
      <c r="BCQ43" s="21"/>
      <c r="BCR43" s="21"/>
      <c r="BCS43" s="21"/>
      <c r="BCT43" s="21"/>
      <c r="BCU43" s="21"/>
      <c r="BCV43" s="21"/>
      <c r="BCW43" s="21"/>
      <c r="BCX43" s="21"/>
      <c r="BCY43" s="21"/>
      <c r="BCZ43" s="21"/>
      <c r="BDA43" s="21"/>
      <c r="BDB43" s="21"/>
      <c r="BDC43" s="21"/>
      <c r="BDD43" s="21"/>
      <c r="BDE43" s="21"/>
      <c r="BDF43" s="21"/>
      <c r="BDG43" s="21"/>
      <c r="BDH43" s="21"/>
      <c r="BDI43" s="21"/>
      <c r="BDJ43" s="21"/>
      <c r="BDK43" s="21"/>
      <c r="BDL43" s="21"/>
      <c r="BDM43" s="21"/>
      <c r="BDN43" s="21"/>
      <c r="BDO43" s="21"/>
      <c r="BDP43" s="21"/>
      <c r="BDQ43" s="21"/>
      <c r="BDR43" s="21"/>
      <c r="BDS43" s="21"/>
      <c r="BDT43" s="21"/>
      <c r="BDU43" s="21"/>
      <c r="BDV43" s="21"/>
      <c r="BDW43" s="21"/>
      <c r="BDX43" s="21"/>
      <c r="BDY43" s="21"/>
      <c r="BDZ43" s="21"/>
      <c r="BEA43" s="21"/>
      <c r="BEB43" s="21"/>
      <c r="BEC43" s="21"/>
      <c r="BED43" s="21"/>
      <c r="BEE43" s="21"/>
      <c r="BEF43" s="21"/>
      <c r="BEG43" s="21"/>
      <c r="BEH43" s="21"/>
      <c r="BEI43" s="21"/>
      <c r="BEJ43" s="21"/>
      <c r="BEK43" s="21"/>
      <c r="BEL43" s="21"/>
      <c r="BEM43" s="21"/>
      <c r="BEN43" s="21"/>
      <c r="BEO43" s="21"/>
      <c r="BEP43" s="21"/>
      <c r="BEQ43" s="21"/>
      <c r="BER43" s="21"/>
      <c r="BES43" s="21"/>
      <c r="BET43" s="21"/>
      <c r="BEU43" s="21"/>
      <c r="BEV43" s="21"/>
      <c r="BEW43" s="21"/>
      <c r="BEX43" s="21"/>
      <c r="BEY43" s="21"/>
      <c r="BEZ43" s="21"/>
      <c r="BFA43" s="21"/>
      <c r="BFB43" s="21"/>
      <c r="BFC43" s="21"/>
      <c r="BFD43" s="21"/>
      <c r="BFE43" s="21"/>
      <c r="BFF43" s="21"/>
      <c r="BFG43" s="21"/>
      <c r="BFH43" s="21"/>
      <c r="BFI43" s="21"/>
      <c r="BFJ43" s="21"/>
      <c r="BFK43" s="21"/>
      <c r="BFL43" s="21"/>
      <c r="BFM43" s="21"/>
      <c r="BFN43" s="21"/>
      <c r="BFO43" s="21"/>
      <c r="BFP43" s="21"/>
      <c r="BFQ43" s="21"/>
      <c r="BFR43" s="21"/>
      <c r="BFS43" s="21"/>
      <c r="BFT43" s="21"/>
      <c r="BFU43" s="21"/>
      <c r="BFV43" s="21"/>
      <c r="BFW43" s="21"/>
      <c r="BFX43" s="21"/>
      <c r="BFY43" s="21"/>
      <c r="BFZ43" s="21"/>
      <c r="BGA43" s="21"/>
      <c r="BGB43" s="21"/>
      <c r="BGC43" s="21"/>
      <c r="BGD43" s="21"/>
      <c r="BGE43" s="21"/>
      <c r="BGF43" s="21"/>
      <c r="BGG43" s="21"/>
      <c r="BGH43" s="21"/>
      <c r="BGI43" s="21"/>
      <c r="BGJ43" s="21"/>
      <c r="BGK43" s="21"/>
      <c r="BGL43" s="21"/>
      <c r="BGM43" s="21"/>
      <c r="BGN43" s="21"/>
      <c r="BGO43" s="21"/>
      <c r="BGP43" s="21"/>
      <c r="BGQ43" s="21"/>
      <c r="BGR43" s="21"/>
      <c r="BGS43" s="21"/>
      <c r="BGT43" s="21"/>
      <c r="BGU43" s="21"/>
      <c r="BGV43" s="21"/>
      <c r="BGW43" s="21"/>
      <c r="BGX43" s="21"/>
      <c r="BGY43" s="21"/>
      <c r="BGZ43" s="21"/>
      <c r="BHA43" s="21"/>
      <c r="BHB43" s="21"/>
      <c r="BHC43" s="21"/>
      <c r="BHD43" s="21"/>
      <c r="BHE43" s="21"/>
      <c r="BHF43" s="21"/>
      <c r="BHG43" s="21"/>
      <c r="BHH43" s="21"/>
      <c r="BHI43" s="21"/>
      <c r="BHJ43" s="21"/>
      <c r="BHK43" s="21"/>
      <c r="BHL43" s="21"/>
      <c r="BHM43" s="21"/>
      <c r="BHN43" s="21"/>
      <c r="BHO43" s="21"/>
      <c r="BHP43" s="21"/>
      <c r="BHQ43" s="21"/>
      <c r="BHR43" s="21"/>
      <c r="BHS43" s="21"/>
      <c r="BHT43" s="21"/>
      <c r="BHU43" s="21"/>
      <c r="BHV43" s="21"/>
      <c r="BHW43" s="21"/>
      <c r="BHX43" s="21"/>
      <c r="BHY43" s="21"/>
      <c r="BHZ43" s="21"/>
      <c r="BIA43" s="21"/>
      <c r="BIB43" s="21"/>
      <c r="BIC43" s="21"/>
      <c r="BID43" s="21"/>
      <c r="BIE43" s="21"/>
      <c r="BIF43" s="21"/>
      <c r="BIG43" s="21"/>
      <c r="BIH43" s="21"/>
      <c r="BII43" s="21"/>
      <c r="BIJ43" s="21"/>
      <c r="BIK43" s="21"/>
      <c r="BIL43" s="21"/>
      <c r="BIM43" s="21"/>
      <c r="BIN43" s="21"/>
      <c r="BIO43" s="21"/>
      <c r="BIP43" s="21"/>
      <c r="BIQ43" s="21"/>
      <c r="BIR43" s="21"/>
      <c r="BIS43" s="21"/>
      <c r="BIT43" s="21"/>
      <c r="BIU43" s="21"/>
      <c r="BIV43" s="21"/>
      <c r="BIW43" s="21"/>
      <c r="BIX43" s="21"/>
      <c r="BIY43" s="21"/>
      <c r="BIZ43" s="21"/>
      <c r="BJA43" s="21"/>
      <c r="BJB43" s="21"/>
      <c r="BJC43" s="21"/>
      <c r="BJD43" s="21"/>
      <c r="BJE43" s="21"/>
      <c r="BJF43" s="21"/>
      <c r="BJG43" s="21"/>
      <c r="BJH43" s="21"/>
      <c r="BJI43" s="21"/>
      <c r="BJJ43" s="21"/>
      <c r="BJK43" s="21"/>
      <c r="BJL43" s="21"/>
      <c r="BJM43" s="21"/>
      <c r="BJN43" s="21"/>
      <c r="BJO43" s="21"/>
      <c r="BJP43" s="21"/>
      <c r="BJQ43" s="21"/>
      <c r="BJR43" s="21"/>
      <c r="BJS43" s="21"/>
      <c r="BJT43" s="21"/>
      <c r="BJU43" s="21"/>
      <c r="BJV43" s="21"/>
      <c r="BJW43" s="21"/>
      <c r="BJX43" s="21"/>
      <c r="BJY43" s="21"/>
      <c r="BJZ43" s="21"/>
      <c r="BKA43" s="21"/>
      <c r="BKB43" s="21"/>
      <c r="BKC43" s="21"/>
      <c r="BKD43" s="21"/>
      <c r="BKE43" s="21"/>
      <c r="BKF43" s="21"/>
      <c r="BKG43" s="21"/>
      <c r="BKH43" s="21"/>
      <c r="BKI43" s="21"/>
      <c r="BKJ43" s="21"/>
      <c r="BKK43" s="21"/>
      <c r="BKL43" s="21"/>
      <c r="BKM43" s="21"/>
      <c r="BKN43" s="21"/>
      <c r="BKO43" s="21"/>
      <c r="BKP43" s="21"/>
      <c r="BKQ43" s="21"/>
      <c r="BKR43" s="21"/>
      <c r="BKS43" s="21"/>
      <c r="BKT43" s="21"/>
      <c r="BKU43" s="21"/>
      <c r="BKV43" s="21"/>
      <c r="BKW43" s="21"/>
      <c r="BKX43" s="21"/>
      <c r="BKY43" s="21"/>
      <c r="BKZ43" s="21"/>
      <c r="BLA43" s="21"/>
      <c r="BLB43" s="21"/>
      <c r="BLC43" s="21"/>
      <c r="BLD43" s="21"/>
      <c r="BLE43" s="21"/>
      <c r="BLF43" s="21"/>
      <c r="BLG43" s="21"/>
      <c r="BLH43" s="21"/>
      <c r="BLI43" s="21"/>
      <c r="BLJ43" s="21"/>
      <c r="BLK43" s="21"/>
      <c r="BLL43" s="21"/>
      <c r="BLM43" s="21"/>
      <c r="BLN43" s="21"/>
      <c r="BLO43" s="21"/>
      <c r="BLP43" s="21"/>
      <c r="BLQ43" s="21"/>
      <c r="BLR43" s="21"/>
      <c r="BLS43" s="21"/>
      <c r="BLT43" s="21"/>
      <c r="BLU43" s="21"/>
      <c r="BLV43" s="21"/>
      <c r="BLW43" s="21"/>
      <c r="BLX43" s="21"/>
      <c r="BLY43" s="21"/>
      <c r="BLZ43" s="21"/>
      <c r="BMA43" s="21"/>
      <c r="BMB43" s="21"/>
      <c r="BMC43" s="21"/>
      <c r="BMD43" s="21"/>
      <c r="BME43" s="21"/>
      <c r="BMF43" s="21"/>
      <c r="BMG43" s="21"/>
      <c r="BMH43" s="21"/>
      <c r="BMI43" s="21"/>
      <c r="BMJ43" s="21"/>
      <c r="BMK43" s="21"/>
      <c r="BML43" s="21"/>
      <c r="BMM43" s="21"/>
      <c r="BMN43" s="21"/>
      <c r="BMO43" s="21"/>
      <c r="BMP43" s="21"/>
      <c r="BMQ43" s="21"/>
      <c r="BMR43" s="21"/>
      <c r="BMS43" s="21"/>
      <c r="BMT43" s="21"/>
      <c r="BMU43" s="21"/>
      <c r="BMV43" s="21"/>
      <c r="BMW43" s="21"/>
      <c r="BMX43" s="21"/>
      <c r="BMY43" s="21"/>
      <c r="BMZ43" s="21"/>
      <c r="BNA43" s="21"/>
      <c r="BNB43" s="21"/>
      <c r="BNC43" s="21"/>
      <c r="BND43" s="21"/>
      <c r="BNE43" s="21"/>
      <c r="BNF43" s="21"/>
      <c r="BNG43" s="21"/>
      <c r="BNH43" s="21"/>
      <c r="BNI43" s="21"/>
      <c r="BNJ43" s="21"/>
      <c r="BNK43" s="21"/>
      <c r="BNL43" s="21"/>
      <c r="BNM43" s="21"/>
      <c r="BNN43" s="21"/>
      <c r="BNO43" s="21"/>
      <c r="BNP43" s="21"/>
      <c r="BNQ43" s="21"/>
      <c r="BNR43" s="21"/>
      <c r="BNS43" s="21"/>
      <c r="BNT43" s="21"/>
      <c r="BNU43" s="21"/>
      <c r="BNV43" s="21"/>
      <c r="BNW43" s="21"/>
      <c r="BNX43" s="21"/>
      <c r="BNY43" s="21"/>
      <c r="BNZ43" s="21"/>
      <c r="BOA43" s="21"/>
      <c r="BOB43" s="21"/>
      <c r="BOC43" s="21"/>
      <c r="BOD43" s="21"/>
      <c r="BOE43" s="21"/>
      <c r="BOF43" s="21"/>
      <c r="BOG43" s="21"/>
      <c r="BOH43" s="21"/>
      <c r="BOI43" s="21"/>
      <c r="BOJ43" s="21"/>
      <c r="BOK43" s="21"/>
      <c r="BOL43" s="21"/>
      <c r="BOM43" s="21"/>
      <c r="BON43" s="21"/>
      <c r="BOO43" s="21"/>
      <c r="BOP43" s="21"/>
      <c r="BOQ43" s="21"/>
      <c r="BOR43" s="21"/>
      <c r="BOS43" s="21"/>
      <c r="BOT43" s="21"/>
      <c r="BOU43" s="21"/>
      <c r="BOV43" s="21"/>
      <c r="BOW43" s="21"/>
      <c r="BOX43" s="21"/>
      <c r="BOY43" s="21"/>
      <c r="BOZ43" s="21"/>
      <c r="BPA43" s="21"/>
      <c r="BPB43" s="21"/>
      <c r="BPC43" s="21"/>
      <c r="BPD43" s="21"/>
      <c r="BPE43" s="21"/>
      <c r="BPF43" s="21"/>
      <c r="BPG43" s="21"/>
      <c r="BPH43" s="21"/>
      <c r="BPI43" s="21"/>
      <c r="BPJ43" s="21"/>
      <c r="BPK43" s="21"/>
      <c r="BPL43" s="21"/>
      <c r="BPM43" s="21"/>
      <c r="BPN43" s="21"/>
      <c r="BPO43" s="21"/>
      <c r="BPP43" s="21"/>
      <c r="BPQ43" s="21"/>
      <c r="BPR43" s="21"/>
      <c r="BPS43" s="21"/>
      <c r="BPT43" s="21"/>
      <c r="BPU43" s="21"/>
      <c r="BPV43" s="21"/>
      <c r="BPW43" s="21"/>
      <c r="BPX43" s="21"/>
      <c r="BPY43" s="21"/>
      <c r="BPZ43" s="21"/>
      <c r="BQA43" s="21"/>
      <c r="BQB43" s="21"/>
      <c r="BQC43" s="21"/>
      <c r="BQD43" s="21"/>
      <c r="BQE43" s="21"/>
      <c r="BQF43" s="21"/>
      <c r="BQG43" s="21"/>
      <c r="BQH43" s="21"/>
      <c r="BQI43" s="21"/>
      <c r="BQJ43" s="21"/>
      <c r="BQK43" s="21"/>
      <c r="BQL43" s="21"/>
      <c r="BQM43" s="21"/>
      <c r="BQN43" s="21"/>
      <c r="BQO43" s="21"/>
      <c r="BQP43" s="21"/>
      <c r="BQQ43" s="21"/>
      <c r="BQR43" s="21"/>
      <c r="BQS43" s="21"/>
      <c r="BQT43" s="21"/>
      <c r="BQU43" s="21"/>
      <c r="BQV43" s="21"/>
      <c r="BQW43" s="21"/>
      <c r="BQX43" s="21"/>
      <c r="BQY43" s="21"/>
      <c r="BQZ43" s="21"/>
      <c r="BRA43" s="21"/>
      <c r="BRB43" s="21"/>
      <c r="BRC43" s="21"/>
      <c r="BRD43" s="21"/>
      <c r="BRE43" s="21"/>
      <c r="BRF43" s="21"/>
      <c r="BRG43" s="21"/>
      <c r="BRH43" s="21"/>
      <c r="BRI43" s="21"/>
      <c r="BRJ43" s="21"/>
      <c r="BRK43" s="21"/>
      <c r="BRL43" s="21"/>
      <c r="BRM43" s="21"/>
      <c r="BRN43" s="21"/>
      <c r="BRO43" s="21"/>
      <c r="BRP43" s="21"/>
      <c r="BRQ43" s="21"/>
      <c r="BRR43" s="21"/>
      <c r="BRS43" s="21"/>
      <c r="BRT43" s="21"/>
      <c r="BRU43" s="21"/>
      <c r="BRV43" s="21"/>
      <c r="BRW43" s="21"/>
      <c r="BRX43" s="21"/>
      <c r="BRY43" s="21"/>
      <c r="BRZ43" s="21"/>
      <c r="BSA43" s="21"/>
      <c r="BSB43" s="21"/>
      <c r="BSC43" s="21"/>
      <c r="BSD43" s="21"/>
      <c r="BSE43" s="21"/>
      <c r="BSF43" s="21"/>
      <c r="BSG43" s="21"/>
      <c r="BSH43" s="21"/>
      <c r="BSI43" s="21"/>
      <c r="BSJ43" s="21"/>
      <c r="BSK43" s="21"/>
      <c r="BSL43" s="21"/>
      <c r="BSM43" s="21"/>
      <c r="BSN43" s="21"/>
      <c r="BSO43" s="21"/>
      <c r="BSP43" s="21"/>
      <c r="BSQ43" s="21"/>
      <c r="BSR43" s="21"/>
      <c r="BSS43" s="21"/>
      <c r="BST43" s="21"/>
      <c r="BSU43" s="21"/>
      <c r="BSV43" s="21"/>
      <c r="BSW43" s="21"/>
      <c r="BSX43" s="21"/>
      <c r="BSY43" s="21"/>
      <c r="BSZ43" s="21"/>
      <c r="BTA43" s="21"/>
      <c r="BTB43" s="21"/>
      <c r="BTC43" s="21"/>
      <c r="BTD43" s="21"/>
      <c r="BTE43" s="21"/>
      <c r="BTF43" s="21"/>
      <c r="BTG43" s="21"/>
      <c r="BTH43" s="21"/>
      <c r="BTI43" s="21"/>
      <c r="BTJ43" s="21"/>
      <c r="BTK43" s="21"/>
      <c r="BTL43" s="21"/>
      <c r="BTM43" s="21"/>
      <c r="BTN43" s="21"/>
      <c r="BTO43" s="21"/>
      <c r="BTP43" s="21"/>
      <c r="BTQ43" s="21"/>
      <c r="BTR43" s="21"/>
      <c r="BTS43" s="21"/>
      <c r="BTT43" s="21"/>
      <c r="BTU43" s="21"/>
      <c r="BTV43" s="21"/>
      <c r="BTW43" s="21"/>
      <c r="BTX43" s="21"/>
      <c r="BTY43" s="21"/>
      <c r="BTZ43" s="21"/>
      <c r="BUA43" s="21"/>
      <c r="BUB43" s="21"/>
      <c r="BUC43" s="21"/>
      <c r="BUD43" s="21"/>
      <c r="BUE43" s="21"/>
      <c r="BUF43" s="21"/>
      <c r="BUG43" s="21"/>
      <c r="BUH43" s="21"/>
      <c r="BUI43" s="21"/>
      <c r="BUJ43" s="21"/>
      <c r="BUK43" s="21"/>
      <c r="BUL43" s="21"/>
      <c r="BUM43" s="21"/>
      <c r="BUN43" s="21"/>
      <c r="BUO43" s="21"/>
      <c r="BUP43" s="21"/>
      <c r="BUQ43" s="21"/>
      <c r="BUR43" s="21"/>
      <c r="BUS43" s="21"/>
      <c r="BUT43" s="21"/>
      <c r="BUU43" s="21"/>
      <c r="BUV43" s="21"/>
      <c r="BUW43" s="21"/>
      <c r="BUX43" s="21"/>
      <c r="BUY43" s="21"/>
      <c r="BUZ43" s="21"/>
      <c r="BVA43" s="21"/>
      <c r="BVB43" s="21"/>
      <c r="BVC43" s="21"/>
      <c r="BVD43" s="21"/>
      <c r="BVE43" s="21"/>
      <c r="BVF43" s="21"/>
      <c r="BVG43" s="21"/>
      <c r="BVH43" s="21"/>
      <c r="BVI43" s="21"/>
      <c r="BVJ43" s="21"/>
      <c r="BVK43" s="21"/>
      <c r="BVL43" s="21"/>
      <c r="BVM43" s="21"/>
      <c r="BVN43" s="21"/>
      <c r="BVO43" s="21"/>
      <c r="BVP43" s="21"/>
      <c r="BVQ43" s="21"/>
      <c r="BVR43" s="21"/>
      <c r="BVS43" s="21"/>
      <c r="BVT43" s="21"/>
      <c r="BVU43" s="21"/>
      <c r="BVV43" s="21"/>
      <c r="BVW43" s="21"/>
      <c r="BVX43" s="21"/>
      <c r="BVY43" s="21"/>
      <c r="BVZ43" s="21"/>
      <c r="BWA43" s="21"/>
      <c r="BWB43" s="21"/>
      <c r="BWC43" s="21"/>
      <c r="BWD43" s="21"/>
      <c r="BWE43" s="21"/>
      <c r="BWF43" s="21"/>
      <c r="BWG43" s="21"/>
      <c r="BWH43" s="21"/>
      <c r="BWI43" s="21"/>
      <c r="BWJ43" s="21"/>
      <c r="BWK43" s="21"/>
      <c r="BWL43" s="21"/>
      <c r="BWM43" s="21"/>
      <c r="BWN43" s="21"/>
      <c r="BWO43" s="21"/>
      <c r="BWP43" s="21"/>
      <c r="BWQ43" s="21"/>
      <c r="BWR43" s="21"/>
      <c r="BWS43" s="21"/>
      <c r="BWT43" s="21"/>
      <c r="BWU43" s="21"/>
      <c r="BWV43" s="21"/>
      <c r="BWW43" s="21"/>
      <c r="BWX43" s="21"/>
      <c r="BWY43" s="21"/>
      <c r="BWZ43" s="21"/>
      <c r="BXA43" s="21"/>
      <c r="BXB43" s="21"/>
      <c r="BXC43" s="21"/>
      <c r="BXD43" s="21"/>
      <c r="BXE43" s="21"/>
      <c r="BXF43" s="21"/>
      <c r="BXG43" s="21"/>
      <c r="BXH43" s="21"/>
      <c r="BXI43" s="21"/>
      <c r="BXJ43" s="21"/>
      <c r="BXK43" s="21"/>
      <c r="BXL43" s="21"/>
      <c r="BXM43" s="21"/>
      <c r="BXN43" s="21"/>
      <c r="BXO43" s="21"/>
      <c r="BXP43" s="21"/>
      <c r="BXQ43" s="21"/>
      <c r="BXR43" s="21"/>
      <c r="BXS43" s="21"/>
      <c r="BXT43" s="21"/>
      <c r="BXU43" s="21"/>
      <c r="BXV43" s="21"/>
      <c r="BXW43" s="21"/>
      <c r="BXX43" s="21"/>
      <c r="BXY43" s="21"/>
      <c r="BXZ43" s="21"/>
      <c r="BYA43" s="21"/>
      <c r="BYB43" s="21"/>
      <c r="BYC43" s="21"/>
      <c r="BYD43" s="21"/>
      <c r="BYE43" s="21"/>
      <c r="BYF43" s="21"/>
      <c r="BYG43" s="21"/>
      <c r="BYH43" s="21"/>
      <c r="BYI43" s="21"/>
      <c r="BYJ43" s="21"/>
      <c r="BYK43" s="21"/>
      <c r="BYL43" s="21"/>
      <c r="BYM43" s="21"/>
      <c r="BYN43" s="21"/>
      <c r="BYO43" s="21"/>
      <c r="BYP43" s="21"/>
      <c r="BYQ43" s="21"/>
      <c r="BYR43" s="21"/>
      <c r="BYS43" s="21"/>
      <c r="BYT43" s="21"/>
      <c r="BYU43" s="21"/>
      <c r="BYV43" s="21"/>
      <c r="BYW43" s="21"/>
      <c r="BYX43" s="21"/>
      <c r="BYY43" s="21"/>
      <c r="BYZ43" s="21"/>
      <c r="BZA43" s="21"/>
      <c r="BZB43" s="21"/>
      <c r="BZC43" s="21"/>
      <c r="BZD43" s="21"/>
      <c r="BZE43" s="21"/>
      <c r="BZF43" s="21"/>
      <c r="BZG43" s="21"/>
      <c r="BZH43" s="21"/>
      <c r="BZI43" s="21"/>
      <c r="BZJ43" s="21"/>
      <c r="BZK43" s="21"/>
      <c r="BZL43" s="21"/>
      <c r="BZM43" s="21"/>
      <c r="BZN43" s="21"/>
      <c r="BZO43" s="21"/>
      <c r="BZP43" s="21"/>
      <c r="BZQ43" s="21"/>
      <c r="BZR43" s="21"/>
      <c r="BZS43" s="21"/>
      <c r="BZT43" s="21"/>
      <c r="BZU43" s="21"/>
      <c r="BZV43" s="21"/>
      <c r="BZW43" s="21"/>
      <c r="BZX43" s="21"/>
      <c r="BZY43" s="21"/>
      <c r="BZZ43" s="21"/>
      <c r="CAA43" s="21"/>
      <c r="CAB43" s="21"/>
      <c r="CAC43" s="21"/>
      <c r="CAD43" s="21"/>
      <c r="CAE43" s="21"/>
      <c r="CAF43" s="21"/>
      <c r="CAG43" s="21"/>
      <c r="CAH43" s="21"/>
      <c r="CAI43" s="21"/>
      <c r="CAJ43" s="21"/>
      <c r="CAK43" s="21"/>
      <c r="CAL43" s="21"/>
      <c r="CAM43" s="21"/>
      <c r="CAN43" s="21"/>
      <c r="CAO43" s="21"/>
      <c r="CAP43" s="21"/>
      <c r="CAQ43" s="21"/>
      <c r="CAR43" s="21"/>
      <c r="CAS43" s="21"/>
      <c r="CAT43" s="21"/>
      <c r="CAU43" s="21"/>
      <c r="CAV43" s="21"/>
      <c r="CAW43" s="21"/>
      <c r="CAX43" s="21"/>
      <c r="CAY43" s="21"/>
      <c r="CAZ43" s="21"/>
      <c r="CBA43" s="21"/>
      <c r="CBB43" s="21"/>
      <c r="CBC43" s="21"/>
      <c r="CBD43" s="21"/>
      <c r="CBE43" s="21"/>
      <c r="CBF43" s="21"/>
      <c r="CBG43" s="21"/>
      <c r="CBH43" s="21"/>
      <c r="CBI43" s="21"/>
      <c r="CBJ43" s="21"/>
      <c r="CBK43" s="21"/>
      <c r="CBL43" s="21"/>
      <c r="CBM43" s="21"/>
      <c r="CBN43" s="21"/>
      <c r="CBO43" s="21"/>
      <c r="CBP43" s="21"/>
      <c r="CBQ43" s="21"/>
      <c r="CBR43" s="21"/>
      <c r="CBS43" s="21"/>
      <c r="CBT43" s="21"/>
      <c r="CBU43" s="21"/>
      <c r="CBV43" s="21"/>
      <c r="CBW43" s="21"/>
      <c r="CBX43" s="21"/>
      <c r="CBY43" s="21"/>
      <c r="CBZ43" s="21"/>
      <c r="CCA43" s="21"/>
      <c r="CCB43" s="21"/>
      <c r="CCC43" s="21"/>
      <c r="CCD43" s="21"/>
      <c r="CCE43" s="21"/>
      <c r="CCF43" s="21"/>
      <c r="CCG43" s="21"/>
      <c r="CCH43" s="21"/>
      <c r="CCI43" s="21"/>
      <c r="CCJ43" s="21"/>
      <c r="CCK43" s="21"/>
      <c r="CCL43" s="21"/>
      <c r="CCM43" s="21"/>
      <c r="CCN43" s="21"/>
      <c r="CCO43" s="21"/>
      <c r="CCP43" s="21"/>
      <c r="CCQ43" s="21"/>
      <c r="CCR43" s="21"/>
      <c r="CCS43" s="21"/>
      <c r="CCT43" s="21"/>
      <c r="CCU43" s="21"/>
      <c r="CCV43" s="21"/>
      <c r="CCW43" s="21"/>
      <c r="CCX43" s="21"/>
      <c r="CCY43" s="21"/>
      <c r="CCZ43" s="21"/>
      <c r="CDA43" s="21"/>
      <c r="CDB43" s="21"/>
      <c r="CDC43" s="21"/>
      <c r="CDD43" s="21"/>
      <c r="CDE43" s="21"/>
      <c r="CDF43" s="21"/>
      <c r="CDG43" s="21"/>
      <c r="CDH43" s="21"/>
      <c r="CDI43" s="21"/>
      <c r="CDJ43" s="21"/>
      <c r="CDK43" s="21"/>
      <c r="CDL43" s="21"/>
      <c r="CDM43" s="21"/>
      <c r="CDN43" s="21"/>
      <c r="CDO43" s="21"/>
      <c r="CDP43" s="21"/>
      <c r="CDQ43" s="21"/>
      <c r="CDR43" s="21"/>
      <c r="CDS43" s="21"/>
      <c r="CDT43" s="21"/>
      <c r="CDU43" s="21"/>
      <c r="CDV43" s="21"/>
      <c r="CDW43" s="21"/>
      <c r="CDX43" s="21"/>
      <c r="CDY43" s="21"/>
      <c r="CDZ43" s="21"/>
      <c r="CEA43" s="21"/>
      <c r="CEB43" s="21"/>
      <c r="CEC43" s="21"/>
      <c r="CED43" s="21"/>
      <c r="CEE43" s="21"/>
      <c r="CEF43" s="21"/>
      <c r="CEG43" s="21"/>
      <c r="CEH43" s="21"/>
      <c r="CEI43" s="21"/>
      <c r="CEJ43" s="21"/>
      <c r="CEK43" s="21"/>
      <c r="CEL43" s="21"/>
      <c r="CEM43" s="21"/>
      <c r="CEN43" s="21"/>
      <c r="CEO43" s="21"/>
      <c r="CEP43" s="21"/>
      <c r="CEQ43" s="21"/>
      <c r="CER43" s="21"/>
      <c r="CES43" s="21"/>
      <c r="CET43" s="21"/>
      <c r="CEU43" s="21"/>
      <c r="CEV43" s="21"/>
      <c r="CEW43" s="21"/>
      <c r="CEX43" s="21"/>
      <c r="CEY43" s="21"/>
      <c r="CEZ43" s="21"/>
      <c r="CFA43" s="21"/>
      <c r="CFB43" s="21"/>
      <c r="CFC43" s="21"/>
      <c r="CFD43" s="21"/>
      <c r="CFE43" s="21"/>
      <c r="CFF43" s="21"/>
      <c r="CFG43" s="21"/>
      <c r="CFH43" s="21"/>
      <c r="CFI43" s="21"/>
      <c r="CFJ43" s="21"/>
      <c r="CFK43" s="21"/>
      <c r="CFL43" s="21"/>
      <c r="CFM43" s="21"/>
      <c r="CFN43" s="21"/>
      <c r="CFO43" s="21"/>
      <c r="CFP43" s="21"/>
      <c r="CFQ43" s="21"/>
      <c r="CFR43" s="21"/>
      <c r="CFS43" s="21"/>
      <c r="CFT43" s="21"/>
      <c r="CFU43" s="21"/>
      <c r="CFV43" s="21"/>
      <c r="CFW43" s="21"/>
      <c r="CFX43" s="21"/>
      <c r="CFY43" s="21"/>
      <c r="CFZ43" s="21"/>
      <c r="CGA43" s="21"/>
      <c r="CGB43" s="21"/>
      <c r="CGC43" s="21"/>
      <c r="CGD43" s="21"/>
      <c r="CGE43" s="21"/>
      <c r="CGF43" s="21"/>
      <c r="CGG43" s="21"/>
      <c r="CGH43" s="21"/>
      <c r="CGI43" s="21"/>
      <c r="CGJ43" s="21"/>
      <c r="CGK43" s="21"/>
      <c r="CGL43" s="21"/>
      <c r="CGM43" s="21"/>
      <c r="CGN43" s="21"/>
      <c r="CGO43" s="21"/>
      <c r="CGP43" s="21"/>
      <c r="CGQ43" s="21"/>
      <c r="CGR43" s="21"/>
      <c r="CGS43" s="21"/>
      <c r="CGT43" s="21"/>
      <c r="CGU43" s="21"/>
      <c r="CGV43" s="21"/>
      <c r="CGW43" s="21"/>
      <c r="CGX43" s="21"/>
      <c r="CGY43" s="21"/>
      <c r="CGZ43" s="21"/>
      <c r="CHA43" s="21"/>
      <c r="CHB43" s="21"/>
      <c r="CHC43" s="21"/>
      <c r="CHD43" s="21"/>
      <c r="CHE43" s="21"/>
      <c r="CHF43" s="21"/>
      <c r="CHG43" s="21"/>
      <c r="CHH43" s="21"/>
      <c r="CHI43" s="21"/>
      <c r="CHJ43" s="21"/>
      <c r="CHK43" s="21"/>
      <c r="CHL43" s="21"/>
      <c r="CHM43" s="21"/>
      <c r="CHN43" s="21"/>
      <c r="CHO43" s="21"/>
      <c r="CHP43" s="21"/>
      <c r="CHQ43" s="21"/>
      <c r="CHR43" s="21"/>
      <c r="CHS43" s="21"/>
      <c r="CHT43" s="21"/>
      <c r="CHU43" s="21"/>
      <c r="CHV43" s="21"/>
      <c r="CHW43" s="21"/>
      <c r="CHX43" s="21"/>
      <c r="CHY43" s="21"/>
      <c r="CHZ43" s="21"/>
      <c r="CIA43" s="21"/>
      <c r="CIB43" s="21"/>
      <c r="CIC43" s="21"/>
      <c r="CID43" s="21"/>
      <c r="CIE43" s="21"/>
      <c r="CIF43" s="21"/>
      <c r="CIG43" s="21"/>
      <c r="CIH43" s="21"/>
      <c r="CII43" s="21"/>
      <c r="CIJ43" s="21"/>
      <c r="CIK43" s="21"/>
      <c r="CIL43" s="21"/>
      <c r="CIM43" s="21"/>
      <c r="CIN43" s="21"/>
      <c r="CIO43" s="21"/>
      <c r="CIP43" s="21"/>
      <c r="CIQ43" s="21"/>
      <c r="CIR43" s="21"/>
      <c r="CIS43" s="21"/>
      <c r="CIT43" s="21"/>
      <c r="CIU43" s="21"/>
      <c r="CIV43" s="21"/>
      <c r="CIW43" s="21"/>
      <c r="CIX43" s="21"/>
      <c r="CIY43" s="21"/>
      <c r="CIZ43" s="21"/>
      <c r="CJA43" s="21"/>
      <c r="CJB43" s="21"/>
      <c r="CJC43" s="21"/>
      <c r="CJD43" s="21"/>
      <c r="CJE43" s="21"/>
      <c r="CJF43" s="21"/>
      <c r="CJG43" s="21"/>
      <c r="CJH43" s="21"/>
      <c r="CJI43" s="21"/>
      <c r="CJJ43" s="21"/>
      <c r="CJK43" s="21"/>
      <c r="CJL43" s="21"/>
      <c r="CJM43" s="21"/>
      <c r="CJN43" s="21"/>
      <c r="CJO43" s="21"/>
      <c r="CJP43" s="21"/>
      <c r="CJQ43" s="21"/>
      <c r="CJR43" s="21"/>
      <c r="CJS43" s="21"/>
      <c r="CJT43" s="21"/>
      <c r="CJU43" s="21"/>
      <c r="CJV43" s="21"/>
      <c r="CJW43" s="21"/>
      <c r="CJX43" s="21"/>
      <c r="CJY43" s="21"/>
      <c r="CJZ43" s="21"/>
      <c r="CKA43" s="21"/>
      <c r="CKB43" s="21"/>
      <c r="CKC43" s="21"/>
      <c r="CKD43" s="21"/>
      <c r="CKE43" s="21"/>
      <c r="CKF43" s="21"/>
      <c r="CKG43" s="21"/>
      <c r="CKH43" s="21"/>
      <c r="CKI43" s="21"/>
      <c r="CKJ43" s="21"/>
      <c r="CKK43" s="21"/>
      <c r="CKL43" s="21"/>
      <c r="CKM43" s="21"/>
      <c r="CKN43" s="21"/>
      <c r="CKO43" s="21"/>
      <c r="CKP43" s="21"/>
      <c r="CKQ43" s="21"/>
      <c r="CKR43" s="21"/>
      <c r="CKS43" s="21"/>
      <c r="CKT43" s="21"/>
      <c r="CKU43" s="21"/>
      <c r="CKV43" s="21"/>
      <c r="CKW43" s="21"/>
      <c r="CKX43" s="21"/>
      <c r="CKY43" s="21"/>
      <c r="CKZ43" s="21"/>
      <c r="CLA43" s="21"/>
      <c r="CLB43" s="21"/>
      <c r="CLC43" s="21"/>
      <c r="CLD43" s="21"/>
      <c r="CLE43" s="21"/>
      <c r="CLF43" s="21"/>
      <c r="CLG43" s="21"/>
      <c r="CLH43" s="21"/>
      <c r="CLI43" s="21"/>
      <c r="CLJ43" s="21"/>
      <c r="CLK43" s="21"/>
      <c r="CLL43" s="21"/>
      <c r="CLM43" s="21"/>
      <c r="CLN43" s="21"/>
      <c r="CLO43" s="21"/>
      <c r="CLP43" s="21"/>
      <c r="CLQ43" s="21"/>
      <c r="CLR43" s="21"/>
      <c r="CLS43" s="21"/>
      <c r="CLT43" s="21"/>
      <c r="CLU43" s="21"/>
      <c r="CLV43" s="21"/>
      <c r="CLW43" s="21"/>
      <c r="CLX43" s="21"/>
      <c r="CLY43" s="21"/>
      <c r="CLZ43" s="21"/>
      <c r="CMA43" s="21"/>
      <c r="CMB43" s="21"/>
      <c r="CMC43" s="21"/>
      <c r="CMD43" s="21"/>
      <c r="CME43" s="21"/>
      <c r="CMF43" s="21"/>
      <c r="CMG43" s="21"/>
      <c r="CMH43" s="21"/>
      <c r="CMI43" s="21"/>
      <c r="CMJ43" s="21"/>
      <c r="CMK43" s="21"/>
      <c r="CML43" s="21"/>
      <c r="CMM43" s="21"/>
      <c r="CMN43" s="21"/>
      <c r="CMO43" s="21"/>
      <c r="CMP43" s="21"/>
      <c r="CMQ43" s="21"/>
      <c r="CMR43" s="21"/>
      <c r="CMS43" s="21"/>
      <c r="CMT43" s="21"/>
      <c r="CMU43" s="21"/>
      <c r="CMV43" s="21"/>
      <c r="CMW43" s="21"/>
      <c r="CMX43" s="21"/>
      <c r="CMY43" s="21"/>
      <c r="CMZ43" s="21"/>
      <c r="CNA43" s="21"/>
      <c r="CNB43" s="21"/>
      <c r="CNC43" s="21"/>
      <c r="CND43" s="21"/>
      <c r="CNE43" s="21"/>
      <c r="CNF43" s="21"/>
      <c r="CNG43" s="21"/>
      <c r="CNH43" s="21"/>
      <c r="CNI43" s="21"/>
      <c r="CNJ43" s="21"/>
      <c r="CNK43" s="21"/>
      <c r="CNL43" s="21"/>
      <c r="CNM43" s="21"/>
      <c r="CNN43" s="21"/>
      <c r="CNO43" s="21"/>
      <c r="CNP43" s="21"/>
      <c r="CNQ43" s="21"/>
      <c r="CNR43" s="21"/>
      <c r="CNS43" s="21"/>
      <c r="CNT43" s="21"/>
      <c r="CNU43" s="21"/>
      <c r="CNV43" s="21"/>
      <c r="CNW43" s="21"/>
      <c r="CNX43" s="21"/>
      <c r="CNY43" s="21"/>
      <c r="CNZ43" s="21"/>
      <c r="COA43" s="21"/>
      <c r="COB43" s="21"/>
      <c r="COC43" s="21"/>
      <c r="COD43" s="21"/>
      <c r="COE43" s="21"/>
      <c r="COF43" s="21"/>
      <c r="COG43" s="21"/>
      <c r="COH43" s="21"/>
      <c r="COI43" s="21"/>
      <c r="COJ43" s="21"/>
      <c r="COK43" s="21"/>
      <c r="COL43" s="21"/>
      <c r="COM43" s="21"/>
      <c r="CON43" s="21"/>
      <c r="COO43" s="21"/>
      <c r="COP43" s="21"/>
      <c r="COQ43" s="21"/>
      <c r="COR43" s="21"/>
      <c r="COS43" s="21"/>
      <c r="COT43" s="21"/>
      <c r="COU43" s="21"/>
      <c r="COV43" s="21"/>
      <c r="COW43" s="21"/>
      <c r="COX43" s="21"/>
      <c r="COY43" s="21"/>
      <c r="COZ43" s="21"/>
      <c r="CPA43" s="21"/>
      <c r="CPB43" s="21"/>
      <c r="CPC43" s="21"/>
      <c r="CPD43" s="21"/>
      <c r="CPE43" s="21"/>
      <c r="CPF43" s="21"/>
      <c r="CPG43" s="21"/>
      <c r="CPH43" s="21"/>
      <c r="CPI43" s="21"/>
      <c r="CPJ43" s="21"/>
      <c r="CPK43" s="21"/>
      <c r="CPL43" s="21"/>
      <c r="CPM43" s="21"/>
      <c r="CPN43" s="21"/>
      <c r="CPO43" s="21"/>
      <c r="CPP43" s="21"/>
      <c r="CPQ43" s="21"/>
      <c r="CPR43" s="21"/>
      <c r="CPS43" s="21"/>
      <c r="CPT43" s="21"/>
      <c r="CPU43" s="21"/>
      <c r="CPV43" s="21"/>
      <c r="CPW43" s="21"/>
      <c r="CPX43" s="21"/>
      <c r="CPY43" s="21"/>
      <c r="CPZ43" s="21"/>
      <c r="CQA43" s="21"/>
      <c r="CQB43" s="21"/>
      <c r="CQC43" s="21"/>
      <c r="CQD43" s="21"/>
      <c r="CQE43" s="21"/>
      <c r="CQF43" s="21"/>
      <c r="CQG43" s="21"/>
      <c r="CQH43" s="21"/>
      <c r="CQI43" s="21"/>
      <c r="CQJ43" s="21"/>
      <c r="CQK43" s="21"/>
      <c r="CQL43" s="21"/>
      <c r="CQM43" s="21"/>
      <c r="CQN43" s="21"/>
      <c r="CQO43" s="21"/>
      <c r="CQP43" s="21"/>
      <c r="CQQ43" s="21"/>
      <c r="CQR43" s="21"/>
      <c r="CQS43" s="21"/>
      <c r="CQT43" s="21"/>
      <c r="CQU43" s="21"/>
      <c r="CQV43" s="21"/>
      <c r="CQW43" s="21"/>
      <c r="CQX43" s="21"/>
      <c r="CQY43" s="21"/>
      <c r="CQZ43" s="21"/>
      <c r="CRA43" s="21"/>
      <c r="CRB43" s="21"/>
      <c r="CRC43" s="21"/>
      <c r="CRD43" s="21"/>
      <c r="CRE43" s="21"/>
      <c r="CRF43" s="21"/>
      <c r="CRG43" s="21"/>
      <c r="CRH43" s="21"/>
      <c r="CRI43" s="21"/>
      <c r="CRJ43" s="21"/>
      <c r="CRK43" s="21"/>
      <c r="CRL43" s="21"/>
      <c r="CRM43" s="21"/>
      <c r="CRN43" s="21"/>
      <c r="CRO43" s="21"/>
      <c r="CRP43" s="21"/>
      <c r="CRQ43" s="21"/>
      <c r="CRR43" s="21"/>
      <c r="CRS43" s="21"/>
      <c r="CRT43" s="21"/>
      <c r="CRU43" s="21"/>
      <c r="CRV43" s="21"/>
      <c r="CRW43" s="21"/>
      <c r="CRX43" s="21"/>
      <c r="CRY43" s="21"/>
      <c r="CRZ43" s="21"/>
      <c r="CSA43" s="21"/>
      <c r="CSB43" s="21"/>
      <c r="CSC43" s="21"/>
      <c r="CSD43" s="21"/>
      <c r="CSE43" s="21"/>
      <c r="CSF43" s="21"/>
      <c r="CSG43" s="21"/>
      <c r="CSH43" s="21"/>
      <c r="CSI43" s="21"/>
      <c r="CSJ43" s="21"/>
      <c r="CSK43" s="21"/>
      <c r="CSL43" s="21"/>
      <c r="CSM43" s="21"/>
      <c r="CSN43" s="21"/>
      <c r="CSO43" s="21"/>
      <c r="CSP43" s="21"/>
      <c r="CSQ43" s="21"/>
      <c r="CSR43" s="21"/>
      <c r="CSS43" s="21"/>
      <c r="CST43" s="21"/>
      <c r="CSU43" s="21"/>
      <c r="CSV43" s="21"/>
      <c r="CSW43" s="21"/>
      <c r="CSX43" s="21"/>
      <c r="CSY43" s="21"/>
      <c r="CSZ43" s="21"/>
      <c r="CTA43" s="21"/>
      <c r="CTB43" s="21"/>
      <c r="CTC43" s="21"/>
      <c r="CTD43" s="21"/>
      <c r="CTE43" s="21"/>
      <c r="CTF43" s="21"/>
      <c r="CTG43" s="21"/>
      <c r="CTH43" s="21"/>
      <c r="CTI43" s="21"/>
      <c r="CTJ43" s="21"/>
      <c r="CTK43" s="21"/>
      <c r="CTL43" s="21"/>
      <c r="CTM43" s="21"/>
      <c r="CTN43" s="21"/>
      <c r="CTO43" s="21"/>
      <c r="CTP43" s="21"/>
      <c r="CTQ43" s="21"/>
      <c r="CTR43" s="21"/>
      <c r="CTS43" s="21"/>
      <c r="CTT43" s="21"/>
      <c r="CTU43" s="21"/>
      <c r="CTV43" s="21"/>
      <c r="CTW43" s="21"/>
      <c r="CTX43" s="21"/>
      <c r="CTY43" s="21"/>
      <c r="CTZ43" s="21"/>
      <c r="CUA43" s="21"/>
      <c r="CUB43" s="21"/>
      <c r="CUC43" s="21"/>
      <c r="CUD43" s="21"/>
      <c r="CUE43" s="21"/>
      <c r="CUF43" s="21"/>
      <c r="CUG43" s="21"/>
      <c r="CUH43" s="21"/>
      <c r="CUI43" s="21"/>
      <c r="CUJ43" s="21"/>
      <c r="CUK43" s="21"/>
      <c r="CUL43" s="21"/>
      <c r="CUM43" s="21"/>
      <c r="CUN43" s="21"/>
      <c r="CUO43" s="21"/>
      <c r="CUP43" s="21"/>
      <c r="CUQ43" s="21"/>
      <c r="CUR43" s="21"/>
      <c r="CUS43" s="21"/>
      <c r="CUT43" s="21"/>
      <c r="CUU43" s="21"/>
      <c r="CUV43" s="21"/>
      <c r="CUW43" s="21"/>
      <c r="CUX43" s="21"/>
      <c r="CUY43" s="21"/>
      <c r="CUZ43" s="21"/>
      <c r="CVA43" s="21"/>
      <c r="CVB43" s="21"/>
      <c r="CVC43" s="21"/>
      <c r="CVD43" s="21"/>
      <c r="CVE43" s="21"/>
      <c r="CVF43" s="21"/>
      <c r="CVG43" s="21"/>
      <c r="CVH43" s="21"/>
      <c r="CVI43" s="21"/>
      <c r="CVJ43" s="21"/>
      <c r="CVK43" s="21"/>
      <c r="CVL43" s="21"/>
      <c r="CVM43" s="21"/>
      <c r="CVN43" s="21"/>
      <c r="CVO43" s="21"/>
      <c r="CVP43" s="21"/>
      <c r="CVQ43" s="21"/>
      <c r="CVR43" s="21"/>
      <c r="CVS43" s="21"/>
      <c r="CVT43" s="21"/>
      <c r="CVU43" s="21"/>
      <c r="CVV43" s="21"/>
      <c r="CVW43" s="21"/>
      <c r="CVX43" s="21"/>
      <c r="CVY43" s="21"/>
      <c r="CVZ43" s="21"/>
      <c r="CWA43" s="21"/>
      <c r="CWB43" s="21"/>
      <c r="CWC43" s="21"/>
      <c r="CWD43" s="21"/>
      <c r="CWE43" s="21"/>
      <c r="CWF43" s="21"/>
      <c r="CWG43" s="21"/>
      <c r="CWH43" s="21"/>
      <c r="CWI43" s="21"/>
      <c r="CWJ43" s="21"/>
      <c r="CWK43" s="21"/>
      <c r="CWL43" s="21"/>
      <c r="CWM43" s="21"/>
      <c r="CWN43" s="21"/>
      <c r="CWO43" s="21"/>
      <c r="CWP43" s="21"/>
      <c r="CWQ43" s="21"/>
      <c r="CWR43" s="21"/>
      <c r="CWS43" s="21"/>
      <c r="CWT43" s="21"/>
      <c r="CWU43" s="21"/>
      <c r="CWV43" s="21"/>
      <c r="CWW43" s="21"/>
      <c r="CWX43" s="21"/>
      <c r="CWY43" s="21"/>
      <c r="CWZ43" s="21"/>
      <c r="CXA43" s="21"/>
      <c r="CXB43" s="21"/>
      <c r="CXC43" s="21"/>
      <c r="CXD43" s="21"/>
      <c r="CXE43" s="21"/>
      <c r="CXF43" s="21"/>
      <c r="CXG43" s="21"/>
      <c r="CXH43" s="21"/>
      <c r="CXI43" s="21"/>
      <c r="CXJ43" s="21"/>
      <c r="CXK43" s="21"/>
      <c r="CXL43" s="21"/>
      <c r="CXM43" s="21"/>
      <c r="CXN43" s="21"/>
      <c r="CXO43" s="21"/>
      <c r="CXP43" s="21"/>
      <c r="CXQ43" s="21"/>
      <c r="CXR43" s="21"/>
      <c r="CXS43" s="21"/>
      <c r="CXT43" s="21"/>
      <c r="CXU43" s="21"/>
      <c r="CXV43" s="21"/>
      <c r="CXW43" s="21"/>
      <c r="CXX43" s="21"/>
      <c r="CXY43" s="21"/>
      <c r="CXZ43" s="21"/>
      <c r="CYA43" s="21"/>
      <c r="CYB43" s="21"/>
      <c r="CYC43" s="21"/>
      <c r="CYD43" s="21"/>
      <c r="CYE43" s="21"/>
      <c r="CYF43" s="21"/>
      <c r="CYG43" s="21"/>
      <c r="CYH43" s="21"/>
      <c r="CYI43" s="21"/>
      <c r="CYJ43" s="21"/>
      <c r="CYK43" s="21"/>
      <c r="CYL43" s="21"/>
      <c r="CYM43" s="21"/>
      <c r="CYN43" s="21"/>
      <c r="CYO43" s="21"/>
      <c r="CYP43" s="21"/>
      <c r="CYQ43" s="21"/>
      <c r="CYR43" s="21"/>
      <c r="CYS43" s="21"/>
      <c r="CYT43" s="21"/>
      <c r="CYU43" s="21"/>
      <c r="CYV43" s="21"/>
      <c r="CYW43" s="21"/>
      <c r="CYX43" s="21"/>
      <c r="CYY43" s="21"/>
      <c r="CYZ43" s="21"/>
      <c r="CZA43" s="21"/>
      <c r="CZB43" s="21"/>
      <c r="CZC43" s="21"/>
      <c r="CZD43" s="21"/>
      <c r="CZE43" s="21"/>
      <c r="CZF43" s="21"/>
      <c r="CZG43" s="21"/>
      <c r="CZH43" s="21"/>
      <c r="CZI43" s="21"/>
      <c r="CZJ43" s="21"/>
      <c r="CZK43" s="21"/>
      <c r="CZL43" s="21"/>
      <c r="CZM43" s="21"/>
      <c r="CZN43" s="21"/>
      <c r="CZO43" s="21"/>
      <c r="CZP43" s="21"/>
      <c r="CZQ43" s="21"/>
      <c r="CZR43" s="21"/>
      <c r="CZS43" s="21"/>
      <c r="CZT43" s="21"/>
      <c r="CZU43" s="21"/>
      <c r="CZV43" s="21"/>
      <c r="CZW43" s="21"/>
      <c r="CZX43" s="21"/>
      <c r="CZY43" s="21"/>
      <c r="CZZ43" s="21"/>
      <c r="DAA43" s="21"/>
      <c r="DAB43" s="21"/>
      <c r="DAC43" s="21"/>
      <c r="DAD43" s="21"/>
      <c r="DAE43" s="21"/>
      <c r="DAF43" s="21"/>
      <c r="DAG43" s="21"/>
      <c r="DAH43" s="21"/>
      <c r="DAI43" s="21"/>
      <c r="DAJ43" s="21"/>
      <c r="DAK43" s="21"/>
      <c r="DAL43" s="21"/>
      <c r="DAM43" s="21"/>
      <c r="DAN43" s="21"/>
      <c r="DAO43" s="21"/>
      <c r="DAP43" s="21"/>
      <c r="DAQ43" s="21"/>
      <c r="DAR43" s="21"/>
      <c r="DAS43" s="21"/>
      <c r="DAT43" s="21"/>
      <c r="DAU43" s="21"/>
      <c r="DAV43" s="21"/>
      <c r="DAW43" s="21"/>
      <c r="DAX43" s="21"/>
      <c r="DAY43" s="21"/>
      <c r="DAZ43" s="21"/>
      <c r="DBA43" s="21"/>
      <c r="DBB43" s="21"/>
      <c r="DBC43" s="21"/>
      <c r="DBD43" s="21"/>
      <c r="DBE43" s="21"/>
      <c r="DBF43" s="21"/>
      <c r="DBG43" s="21"/>
      <c r="DBH43" s="21"/>
      <c r="DBI43" s="21"/>
      <c r="DBJ43" s="21"/>
      <c r="DBK43" s="21"/>
      <c r="DBL43" s="21"/>
      <c r="DBM43" s="21"/>
      <c r="DBN43" s="21"/>
      <c r="DBO43" s="21"/>
      <c r="DBP43" s="21"/>
      <c r="DBQ43" s="21"/>
      <c r="DBR43" s="21"/>
      <c r="DBS43" s="21"/>
      <c r="DBT43" s="21"/>
      <c r="DBU43" s="21"/>
      <c r="DBV43" s="21"/>
      <c r="DBW43" s="21"/>
      <c r="DBX43" s="21"/>
      <c r="DBY43" s="21"/>
      <c r="DBZ43" s="21"/>
      <c r="DCA43" s="21"/>
      <c r="DCB43" s="21"/>
      <c r="DCC43" s="21"/>
      <c r="DCD43" s="21"/>
      <c r="DCE43" s="21"/>
      <c r="DCF43" s="21"/>
      <c r="DCG43" s="21"/>
      <c r="DCH43" s="21"/>
      <c r="DCI43" s="21"/>
      <c r="DCJ43" s="21"/>
      <c r="DCK43" s="21"/>
      <c r="DCL43" s="21"/>
      <c r="DCM43" s="21"/>
      <c r="DCN43" s="21"/>
      <c r="DCO43" s="21"/>
      <c r="DCP43" s="21"/>
      <c r="DCQ43" s="21"/>
      <c r="DCR43" s="21"/>
      <c r="DCS43" s="21"/>
      <c r="DCT43" s="21"/>
      <c r="DCU43" s="21"/>
      <c r="DCV43" s="21"/>
      <c r="DCW43" s="21"/>
      <c r="DCX43" s="21"/>
      <c r="DCY43" s="21"/>
      <c r="DCZ43" s="21"/>
      <c r="DDA43" s="21"/>
      <c r="DDB43" s="21"/>
      <c r="DDC43" s="21"/>
      <c r="DDD43" s="21"/>
      <c r="DDE43" s="21"/>
      <c r="DDF43" s="21"/>
      <c r="DDG43" s="21"/>
      <c r="DDH43" s="21"/>
      <c r="DDI43" s="21"/>
      <c r="DDJ43" s="21"/>
      <c r="DDK43" s="21"/>
      <c r="DDL43" s="21"/>
      <c r="DDM43" s="21"/>
      <c r="DDN43" s="21"/>
      <c r="DDO43" s="21"/>
      <c r="DDP43" s="21"/>
      <c r="DDQ43" s="21"/>
      <c r="DDR43" s="21"/>
      <c r="DDS43" s="21"/>
      <c r="DDT43" s="21"/>
      <c r="DDU43" s="21"/>
      <c r="DDV43" s="21"/>
      <c r="DDW43" s="21"/>
      <c r="DDX43" s="21"/>
      <c r="DDY43" s="21"/>
      <c r="DDZ43" s="21"/>
      <c r="DEA43" s="21"/>
      <c r="DEB43" s="21"/>
      <c r="DEC43" s="21"/>
      <c r="DED43" s="21"/>
      <c r="DEE43" s="21"/>
      <c r="DEF43" s="21"/>
      <c r="DEG43" s="21"/>
      <c r="DEH43" s="21"/>
      <c r="DEI43" s="21"/>
      <c r="DEJ43" s="21"/>
      <c r="DEK43" s="21"/>
      <c r="DEL43" s="21"/>
      <c r="DEM43" s="21"/>
      <c r="DEN43" s="21"/>
      <c r="DEO43" s="21"/>
      <c r="DEP43" s="21"/>
      <c r="DEQ43" s="21"/>
      <c r="DER43" s="21"/>
      <c r="DES43" s="21"/>
      <c r="DET43" s="21"/>
      <c r="DEU43" s="21"/>
      <c r="DEV43" s="21"/>
      <c r="DEW43" s="21"/>
      <c r="DEX43" s="21"/>
      <c r="DEY43" s="21"/>
      <c r="DEZ43" s="21"/>
      <c r="DFA43" s="21"/>
      <c r="DFB43" s="21"/>
      <c r="DFC43" s="21"/>
      <c r="DFD43" s="21"/>
      <c r="DFE43" s="21"/>
      <c r="DFF43" s="21"/>
      <c r="DFG43" s="21"/>
      <c r="DFH43" s="21"/>
      <c r="DFI43" s="21"/>
      <c r="DFJ43" s="21"/>
      <c r="DFK43" s="21"/>
      <c r="DFL43" s="21"/>
      <c r="DFM43" s="21"/>
      <c r="DFN43" s="21"/>
      <c r="DFO43" s="21"/>
      <c r="DFP43" s="21"/>
      <c r="DFQ43" s="21"/>
      <c r="DFR43" s="21"/>
      <c r="DFS43" s="21"/>
      <c r="DFT43" s="21"/>
      <c r="DFU43" s="21"/>
      <c r="DFV43" s="21"/>
      <c r="DFW43" s="21"/>
      <c r="DFX43" s="21"/>
      <c r="DFY43" s="21"/>
      <c r="DFZ43" s="21"/>
      <c r="DGA43" s="21"/>
      <c r="DGB43" s="21"/>
      <c r="DGC43" s="21"/>
      <c r="DGD43" s="21"/>
      <c r="DGE43" s="21"/>
      <c r="DGF43" s="21"/>
      <c r="DGG43" s="21"/>
      <c r="DGH43" s="21"/>
      <c r="DGI43" s="21"/>
      <c r="DGJ43" s="21"/>
      <c r="DGK43" s="21"/>
      <c r="DGL43" s="21"/>
      <c r="DGM43" s="21"/>
      <c r="DGN43" s="21"/>
      <c r="DGO43" s="21"/>
      <c r="DGP43" s="21"/>
      <c r="DGQ43" s="21"/>
      <c r="DGR43" s="21"/>
      <c r="DGS43" s="21"/>
      <c r="DGT43" s="21"/>
      <c r="DGU43" s="21"/>
      <c r="DGV43" s="21"/>
      <c r="DGW43" s="21"/>
      <c r="DGX43" s="21"/>
      <c r="DGY43" s="21"/>
      <c r="DGZ43" s="21"/>
      <c r="DHA43" s="21"/>
      <c r="DHB43" s="21"/>
      <c r="DHC43" s="21"/>
      <c r="DHD43" s="21"/>
      <c r="DHE43" s="21"/>
      <c r="DHF43" s="21"/>
      <c r="DHG43" s="21"/>
      <c r="DHH43" s="21"/>
      <c r="DHI43" s="21"/>
      <c r="DHJ43" s="21"/>
      <c r="DHK43" s="21"/>
      <c r="DHL43" s="21"/>
      <c r="DHM43" s="21"/>
      <c r="DHN43" s="21"/>
      <c r="DHO43" s="21"/>
      <c r="DHP43" s="21"/>
      <c r="DHQ43" s="21"/>
      <c r="DHR43" s="21"/>
      <c r="DHS43" s="21"/>
      <c r="DHT43" s="21"/>
      <c r="DHU43" s="21"/>
      <c r="DHV43" s="21"/>
      <c r="DHW43" s="21"/>
      <c r="DHX43" s="21"/>
      <c r="DHY43" s="21"/>
      <c r="DHZ43" s="21"/>
      <c r="DIA43" s="21"/>
      <c r="DIB43" s="21"/>
      <c r="DIC43" s="21"/>
      <c r="DID43" s="21"/>
      <c r="DIE43" s="21"/>
      <c r="DIF43" s="21"/>
      <c r="DIG43" s="21"/>
      <c r="DIH43" s="21"/>
      <c r="DII43" s="21"/>
      <c r="DIJ43" s="21"/>
      <c r="DIK43" s="21"/>
      <c r="DIL43" s="21"/>
      <c r="DIM43" s="21"/>
      <c r="DIN43" s="21"/>
      <c r="DIO43" s="21"/>
      <c r="DIP43" s="21"/>
      <c r="DIQ43" s="21"/>
      <c r="DIR43" s="21"/>
      <c r="DIS43" s="21"/>
      <c r="DIT43" s="21"/>
      <c r="DIU43" s="21"/>
      <c r="DIV43" s="21"/>
      <c r="DIW43" s="21"/>
      <c r="DIX43" s="21"/>
      <c r="DIY43" s="21"/>
      <c r="DIZ43" s="21"/>
      <c r="DJA43" s="21"/>
      <c r="DJB43" s="21"/>
      <c r="DJC43" s="21"/>
      <c r="DJD43" s="21"/>
      <c r="DJE43" s="21"/>
      <c r="DJF43" s="21"/>
      <c r="DJG43" s="21"/>
      <c r="DJH43" s="21"/>
      <c r="DJI43" s="21"/>
      <c r="DJJ43" s="21"/>
      <c r="DJK43" s="21"/>
      <c r="DJL43" s="21"/>
      <c r="DJM43" s="21"/>
      <c r="DJN43" s="21"/>
      <c r="DJO43" s="21"/>
      <c r="DJP43" s="21"/>
      <c r="DJQ43" s="21"/>
      <c r="DJR43" s="21"/>
      <c r="DJS43" s="21"/>
      <c r="DJT43" s="21"/>
      <c r="DJU43" s="21"/>
      <c r="DJV43" s="21"/>
      <c r="DJW43" s="21"/>
      <c r="DJX43" s="21"/>
      <c r="DJY43" s="21"/>
      <c r="DJZ43" s="21"/>
      <c r="DKA43" s="21"/>
      <c r="DKB43" s="21"/>
      <c r="DKC43" s="21"/>
      <c r="DKD43" s="21"/>
      <c r="DKE43" s="21"/>
      <c r="DKF43" s="21"/>
      <c r="DKG43" s="21"/>
      <c r="DKH43" s="21"/>
      <c r="DKI43" s="21"/>
      <c r="DKJ43" s="21"/>
      <c r="DKK43" s="21"/>
      <c r="DKL43" s="21"/>
      <c r="DKM43" s="21"/>
      <c r="DKN43" s="21"/>
      <c r="DKO43" s="21"/>
      <c r="DKP43" s="21"/>
      <c r="DKQ43" s="21"/>
      <c r="DKR43" s="21"/>
      <c r="DKS43" s="21"/>
      <c r="DKT43" s="21"/>
      <c r="DKU43" s="21"/>
      <c r="DKV43" s="21"/>
      <c r="DKW43" s="21"/>
      <c r="DKX43" s="21"/>
      <c r="DKY43" s="21"/>
      <c r="DKZ43" s="21"/>
      <c r="DLA43" s="21"/>
      <c r="DLB43" s="21"/>
      <c r="DLC43" s="21"/>
      <c r="DLD43" s="21"/>
      <c r="DLE43" s="21"/>
      <c r="DLF43" s="21"/>
      <c r="DLG43" s="21"/>
      <c r="DLH43" s="21"/>
      <c r="DLI43" s="21"/>
      <c r="DLJ43" s="21"/>
      <c r="DLK43" s="21"/>
      <c r="DLL43" s="21"/>
      <c r="DLM43" s="21"/>
      <c r="DLN43" s="21"/>
      <c r="DLO43" s="21"/>
      <c r="DLP43" s="21"/>
      <c r="DLQ43" s="21"/>
      <c r="DLR43" s="21"/>
      <c r="DLS43" s="21"/>
      <c r="DLT43" s="21"/>
      <c r="DLU43" s="21"/>
      <c r="DLV43" s="21"/>
      <c r="DLW43" s="21"/>
      <c r="DLX43" s="21"/>
      <c r="DLY43" s="21"/>
      <c r="DLZ43" s="21"/>
      <c r="DMA43" s="21"/>
      <c r="DMB43" s="21"/>
      <c r="DMC43" s="21"/>
      <c r="DMD43" s="21"/>
      <c r="DME43" s="21"/>
      <c r="DMF43" s="21"/>
      <c r="DMG43" s="21"/>
      <c r="DMH43" s="21"/>
      <c r="DMI43" s="21"/>
      <c r="DMJ43" s="21"/>
      <c r="DMK43" s="21"/>
      <c r="DML43" s="21"/>
      <c r="DMM43" s="21"/>
      <c r="DMN43" s="21"/>
      <c r="DMO43" s="21"/>
      <c r="DMP43" s="21"/>
      <c r="DMQ43" s="21"/>
      <c r="DMR43" s="21"/>
      <c r="DMS43" s="21"/>
      <c r="DMT43" s="21"/>
      <c r="DMU43" s="21"/>
      <c r="DMV43" s="21"/>
      <c r="DMW43" s="21"/>
      <c r="DMX43" s="21"/>
      <c r="DMY43" s="21"/>
      <c r="DMZ43" s="21"/>
      <c r="DNA43" s="21"/>
      <c r="DNB43" s="21"/>
      <c r="DNC43" s="21"/>
      <c r="DND43" s="21"/>
      <c r="DNE43" s="21"/>
      <c r="DNF43" s="21"/>
      <c r="DNG43" s="21"/>
      <c r="DNH43" s="21"/>
      <c r="DNI43" s="21"/>
      <c r="DNJ43" s="21"/>
      <c r="DNK43" s="21"/>
      <c r="DNL43" s="21"/>
      <c r="DNM43" s="21"/>
      <c r="DNN43" s="21"/>
      <c r="DNO43" s="21"/>
      <c r="DNP43" s="21"/>
      <c r="DNQ43" s="21"/>
      <c r="DNR43" s="21"/>
      <c r="DNS43" s="21"/>
      <c r="DNT43" s="21"/>
      <c r="DNU43" s="21"/>
      <c r="DNV43" s="21"/>
      <c r="DNW43" s="21"/>
      <c r="DNX43" s="21"/>
      <c r="DNY43" s="21"/>
      <c r="DNZ43" s="21"/>
      <c r="DOA43" s="21"/>
      <c r="DOB43" s="21"/>
      <c r="DOC43" s="21"/>
      <c r="DOD43" s="21"/>
      <c r="DOE43" s="21"/>
      <c r="DOF43" s="21"/>
      <c r="DOG43" s="21"/>
      <c r="DOH43" s="21"/>
      <c r="DOI43" s="21"/>
      <c r="DOJ43" s="21"/>
      <c r="DOK43" s="21"/>
      <c r="DOL43" s="21"/>
      <c r="DOM43" s="21"/>
      <c r="DON43" s="21"/>
      <c r="DOO43" s="21"/>
      <c r="DOP43" s="21"/>
      <c r="DOQ43" s="21"/>
      <c r="DOR43" s="21"/>
      <c r="DOS43" s="21"/>
      <c r="DOT43" s="21"/>
      <c r="DOU43" s="21"/>
      <c r="DOV43" s="21"/>
      <c r="DOW43" s="21"/>
      <c r="DOX43" s="21"/>
      <c r="DOY43" s="21"/>
      <c r="DOZ43" s="21"/>
      <c r="DPA43" s="21"/>
      <c r="DPB43" s="21"/>
      <c r="DPC43" s="21"/>
      <c r="DPD43" s="21"/>
      <c r="DPE43" s="21"/>
      <c r="DPF43" s="21"/>
      <c r="DPG43" s="21"/>
      <c r="DPH43" s="21"/>
      <c r="DPI43" s="21"/>
      <c r="DPJ43" s="21"/>
      <c r="DPK43" s="21"/>
      <c r="DPL43" s="21"/>
      <c r="DPM43" s="21"/>
      <c r="DPN43" s="21"/>
      <c r="DPO43" s="21"/>
      <c r="DPP43" s="21"/>
      <c r="DPQ43" s="21"/>
      <c r="DPR43" s="21"/>
      <c r="DPS43" s="21"/>
      <c r="DPT43" s="21"/>
      <c r="DPU43" s="21"/>
      <c r="DPV43" s="21"/>
      <c r="DPW43" s="21"/>
      <c r="DPX43" s="21"/>
      <c r="DPY43" s="21"/>
      <c r="DPZ43" s="21"/>
      <c r="DQA43" s="21"/>
      <c r="DQB43" s="21"/>
      <c r="DQC43" s="21"/>
      <c r="DQD43" s="21"/>
      <c r="DQE43" s="21"/>
      <c r="DQF43" s="21"/>
      <c r="DQG43" s="21"/>
      <c r="DQH43" s="21"/>
      <c r="DQI43" s="21"/>
      <c r="DQJ43" s="21"/>
      <c r="DQK43" s="21"/>
      <c r="DQL43" s="21"/>
      <c r="DQM43" s="21"/>
      <c r="DQN43" s="21"/>
      <c r="DQO43" s="21"/>
      <c r="DQP43" s="21"/>
      <c r="DQQ43" s="21"/>
      <c r="DQR43" s="21"/>
      <c r="DQS43" s="21"/>
      <c r="DQT43" s="21"/>
      <c r="DQU43" s="21"/>
      <c r="DQV43" s="21"/>
      <c r="DQW43" s="21"/>
      <c r="DQX43" s="21"/>
      <c r="DQY43" s="21"/>
      <c r="DQZ43" s="21"/>
      <c r="DRA43" s="21"/>
      <c r="DRB43" s="21"/>
      <c r="DRC43" s="21"/>
      <c r="DRD43" s="21"/>
      <c r="DRE43" s="21"/>
      <c r="DRF43" s="21"/>
      <c r="DRG43" s="21"/>
      <c r="DRH43" s="21"/>
      <c r="DRI43" s="21"/>
      <c r="DRJ43" s="21"/>
      <c r="DRK43" s="21"/>
      <c r="DRL43" s="21"/>
      <c r="DRM43" s="21"/>
      <c r="DRN43" s="21"/>
      <c r="DRO43" s="21"/>
      <c r="DRP43" s="21"/>
      <c r="DRQ43" s="21"/>
      <c r="DRR43" s="21"/>
      <c r="DRS43" s="21"/>
      <c r="DRT43" s="21"/>
      <c r="DRU43" s="21"/>
      <c r="DRV43" s="21"/>
      <c r="DRW43" s="21"/>
      <c r="DRX43" s="21"/>
      <c r="DRY43" s="21"/>
      <c r="DRZ43" s="21"/>
      <c r="DSA43" s="21"/>
      <c r="DSB43" s="21"/>
      <c r="DSC43" s="21"/>
      <c r="DSD43" s="21"/>
      <c r="DSE43" s="21"/>
      <c r="DSF43" s="21"/>
      <c r="DSG43" s="21"/>
      <c r="DSH43" s="21"/>
      <c r="DSI43" s="21"/>
      <c r="DSJ43" s="21"/>
      <c r="DSK43" s="21"/>
      <c r="DSL43" s="21"/>
      <c r="DSM43" s="21"/>
      <c r="DSN43" s="21"/>
      <c r="DSO43" s="21"/>
      <c r="DSP43" s="21"/>
      <c r="DSQ43" s="21"/>
      <c r="DSR43" s="21"/>
      <c r="DSS43" s="21"/>
      <c r="DST43" s="21"/>
      <c r="DSU43" s="21"/>
      <c r="DSV43" s="21"/>
      <c r="DSW43" s="21"/>
      <c r="DSX43" s="21"/>
      <c r="DSY43" s="21"/>
      <c r="DSZ43" s="21"/>
      <c r="DTA43" s="21"/>
      <c r="DTB43" s="21"/>
      <c r="DTC43" s="21"/>
      <c r="DTD43" s="21"/>
      <c r="DTE43" s="21"/>
      <c r="DTF43" s="21"/>
      <c r="DTG43" s="21"/>
      <c r="DTH43" s="21"/>
      <c r="DTI43" s="21"/>
      <c r="DTJ43" s="21"/>
      <c r="DTK43" s="21"/>
      <c r="DTL43" s="21"/>
      <c r="DTM43" s="21"/>
      <c r="DTN43" s="21"/>
      <c r="DTO43" s="21"/>
      <c r="DTP43" s="21"/>
      <c r="DTQ43" s="21"/>
      <c r="DTR43" s="21"/>
      <c r="DTS43" s="21"/>
      <c r="DTT43" s="21"/>
      <c r="DTU43" s="21"/>
      <c r="DTV43" s="21"/>
      <c r="DTW43" s="21"/>
      <c r="DTX43" s="21"/>
      <c r="DTY43" s="21"/>
      <c r="DTZ43" s="21"/>
      <c r="DUA43" s="21"/>
      <c r="DUB43" s="21"/>
      <c r="DUC43" s="21"/>
      <c r="DUD43" s="21"/>
      <c r="DUE43" s="21"/>
      <c r="DUF43" s="21"/>
      <c r="DUG43" s="21"/>
      <c r="DUH43" s="21"/>
      <c r="DUI43" s="21"/>
      <c r="DUJ43" s="21"/>
      <c r="DUK43" s="21"/>
      <c r="DUL43" s="21"/>
      <c r="DUM43" s="21"/>
      <c r="DUN43" s="21"/>
      <c r="DUO43" s="21"/>
      <c r="DUP43" s="21"/>
      <c r="DUQ43" s="21"/>
      <c r="DUR43" s="21"/>
      <c r="DUS43" s="21"/>
      <c r="DUT43" s="21"/>
      <c r="DUU43" s="21"/>
      <c r="DUV43" s="21"/>
      <c r="DUW43" s="21"/>
      <c r="DUX43" s="21"/>
      <c r="DUY43" s="21"/>
      <c r="DUZ43" s="21"/>
      <c r="DVA43" s="21"/>
      <c r="DVB43" s="21"/>
      <c r="DVC43" s="21"/>
      <c r="DVD43" s="21"/>
      <c r="DVE43" s="21"/>
      <c r="DVF43" s="21"/>
      <c r="DVG43" s="21"/>
      <c r="DVH43" s="21"/>
      <c r="DVI43" s="21"/>
      <c r="DVJ43" s="21"/>
      <c r="DVK43" s="21"/>
      <c r="DVL43" s="21"/>
      <c r="DVM43" s="21"/>
      <c r="DVN43" s="21"/>
      <c r="DVO43" s="21"/>
      <c r="DVP43" s="21"/>
      <c r="DVQ43" s="21"/>
      <c r="DVR43" s="21"/>
      <c r="DVS43" s="21"/>
      <c r="DVT43" s="21"/>
      <c r="DVU43" s="21"/>
      <c r="DVV43" s="21"/>
      <c r="DVW43" s="21"/>
      <c r="DVX43" s="21"/>
      <c r="DVY43" s="21"/>
      <c r="DVZ43" s="21"/>
      <c r="DWA43" s="21"/>
      <c r="DWB43" s="21"/>
      <c r="DWC43" s="21"/>
      <c r="DWD43" s="21"/>
      <c r="DWE43" s="21"/>
      <c r="DWF43" s="21"/>
      <c r="DWG43" s="21"/>
      <c r="DWH43" s="21"/>
      <c r="DWI43" s="21"/>
      <c r="DWJ43" s="21"/>
      <c r="DWK43" s="21"/>
      <c r="DWL43" s="21"/>
      <c r="DWM43" s="21"/>
      <c r="DWN43" s="21"/>
      <c r="DWO43" s="21"/>
      <c r="DWP43" s="21"/>
      <c r="DWQ43" s="21"/>
      <c r="DWR43" s="21"/>
      <c r="DWS43" s="21"/>
      <c r="DWT43" s="21"/>
      <c r="DWU43" s="21"/>
      <c r="DWV43" s="21"/>
      <c r="DWW43" s="21"/>
      <c r="DWX43" s="21"/>
      <c r="DWY43" s="21"/>
      <c r="DWZ43" s="21"/>
      <c r="DXA43" s="21"/>
      <c r="DXB43" s="21"/>
      <c r="DXC43" s="21"/>
      <c r="DXD43" s="21"/>
      <c r="DXE43" s="21"/>
      <c r="DXF43" s="21"/>
      <c r="DXG43" s="21"/>
      <c r="DXH43" s="21"/>
      <c r="DXI43" s="21"/>
      <c r="DXJ43" s="21"/>
      <c r="DXK43" s="21"/>
      <c r="DXL43" s="21"/>
      <c r="DXM43" s="21"/>
      <c r="DXN43" s="21"/>
      <c r="DXO43" s="21"/>
      <c r="DXP43" s="21"/>
      <c r="DXQ43" s="21"/>
      <c r="DXR43" s="21"/>
      <c r="DXS43" s="21"/>
      <c r="DXT43" s="21"/>
      <c r="DXU43" s="21"/>
      <c r="DXV43" s="21"/>
      <c r="DXW43" s="21"/>
      <c r="DXX43" s="21"/>
      <c r="DXY43" s="21"/>
      <c r="DXZ43" s="21"/>
      <c r="DYA43" s="21"/>
      <c r="DYB43" s="21"/>
      <c r="DYC43" s="21"/>
      <c r="DYD43" s="21"/>
      <c r="DYE43" s="21"/>
      <c r="DYF43" s="21"/>
      <c r="DYG43" s="21"/>
      <c r="DYH43" s="21"/>
      <c r="DYI43" s="21"/>
      <c r="DYJ43" s="21"/>
      <c r="DYK43" s="21"/>
      <c r="DYL43" s="21"/>
      <c r="DYM43" s="21"/>
      <c r="DYN43" s="21"/>
      <c r="DYO43" s="21"/>
      <c r="DYP43" s="21"/>
      <c r="DYQ43" s="21"/>
      <c r="DYR43" s="21"/>
      <c r="DYS43" s="21"/>
      <c r="DYT43" s="21"/>
      <c r="DYU43" s="21"/>
      <c r="DYV43" s="21"/>
      <c r="DYW43" s="21"/>
      <c r="DYX43" s="21"/>
      <c r="DYY43" s="21"/>
      <c r="DYZ43" s="21"/>
      <c r="DZA43" s="21"/>
      <c r="DZB43" s="21"/>
      <c r="DZC43" s="21"/>
      <c r="DZD43" s="21"/>
      <c r="DZE43" s="21"/>
      <c r="DZF43" s="21"/>
      <c r="DZG43" s="21"/>
      <c r="DZH43" s="21"/>
      <c r="DZI43" s="21"/>
      <c r="DZJ43" s="21"/>
      <c r="DZK43" s="21"/>
      <c r="DZL43" s="21"/>
      <c r="DZM43" s="21"/>
      <c r="DZN43" s="21"/>
      <c r="DZO43" s="21"/>
      <c r="DZP43" s="21"/>
      <c r="DZQ43" s="21"/>
      <c r="DZR43" s="21"/>
      <c r="DZS43" s="21"/>
      <c r="DZT43" s="21"/>
      <c r="DZU43" s="21"/>
      <c r="DZV43" s="21"/>
      <c r="DZW43" s="21"/>
      <c r="DZX43" s="21"/>
      <c r="DZY43" s="21"/>
      <c r="DZZ43" s="21"/>
      <c r="EAA43" s="21"/>
      <c r="EAB43" s="21"/>
      <c r="EAC43" s="21"/>
      <c r="EAD43" s="21"/>
      <c r="EAE43" s="21"/>
      <c r="EAF43" s="21"/>
      <c r="EAG43" s="21"/>
      <c r="EAH43" s="21"/>
      <c r="EAI43" s="21"/>
      <c r="EAJ43" s="21"/>
      <c r="EAK43" s="21"/>
      <c r="EAL43" s="21"/>
      <c r="EAM43" s="21"/>
      <c r="EAN43" s="21"/>
      <c r="EAO43" s="21"/>
      <c r="EAP43" s="21"/>
      <c r="EAQ43" s="21"/>
      <c r="EAR43" s="21"/>
      <c r="EAS43" s="21"/>
      <c r="EAT43" s="21"/>
      <c r="EAU43" s="21"/>
      <c r="EAV43" s="21"/>
      <c r="EAW43" s="21"/>
      <c r="EAX43" s="21"/>
      <c r="EAY43" s="21"/>
      <c r="EAZ43" s="21"/>
      <c r="EBA43" s="21"/>
      <c r="EBB43" s="21"/>
      <c r="EBC43" s="21"/>
      <c r="EBD43" s="21"/>
      <c r="EBE43" s="21"/>
      <c r="EBF43" s="21"/>
      <c r="EBG43" s="21"/>
      <c r="EBH43" s="21"/>
      <c r="EBI43" s="21"/>
      <c r="EBJ43" s="21"/>
      <c r="EBK43" s="21"/>
      <c r="EBL43" s="21"/>
      <c r="EBM43" s="21"/>
      <c r="EBN43" s="21"/>
      <c r="EBO43" s="21"/>
      <c r="EBP43" s="21"/>
      <c r="EBQ43" s="21"/>
      <c r="EBR43" s="21"/>
      <c r="EBS43" s="21"/>
      <c r="EBT43" s="21"/>
      <c r="EBU43" s="21"/>
      <c r="EBV43" s="21"/>
      <c r="EBW43" s="21"/>
      <c r="EBX43" s="21"/>
      <c r="EBY43" s="21"/>
      <c r="EBZ43" s="21"/>
      <c r="ECA43" s="21"/>
      <c r="ECB43" s="21"/>
      <c r="ECC43" s="21"/>
      <c r="ECD43" s="21"/>
      <c r="ECE43" s="21"/>
      <c r="ECF43" s="21"/>
      <c r="ECG43" s="21"/>
      <c r="ECH43" s="21"/>
      <c r="ECI43" s="21"/>
      <c r="ECJ43" s="21"/>
      <c r="ECK43" s="21"/>
      <c r="ECL43" s="21"/>
      <c r="ECM43" s="21"/>
      <c r="ECN43" s="21"/>
      <c r="ECO43" s="21"/>
      <c r="ECP43" s="21"/>
      <c r="ECQ43" s="21"/>
      <c r="ECR43" s="21"/>
      <c r="ECS43" s="21"/>
      <c r="ECT43" s="21"/>
      <c r="ECU43" s="21"/>
      <c r="ECV43" s="21"/>
      <c r="ECW43" s="21"/>
      <c r="ECX43" s="21"/>
      <c r="ECY43" s="21"/>
      <c r="ECZ43" s="21"/>
      <c r="EDA43" s="21"/>
      <c r="EDB43" s="21"/>
      <c r="EDC43" s="21"/>
      <c r="EDD43" s="21"/>
      <c r="EDE43" s="21"/>
      <c r="EDF43" s="21"/>
      <c r="EDG43" s="21"/>
      <c r="EDH43" s="21"/>
      <c r="EDI43" s="21"/>
      <c r="EDJ43" s="21"/>
      <c r="EDK43" s="21"/>
      <c r="EDL43" s="21"/>
      <c r="EDM43" s="21"/>
      <c r="EDN43" s="21"/>
      <c r="EDO43" s="21"/>
      <c r="EDP43" s="21"/>
      <c r="EDQ43" s="21"/>
      <c r="EDR43" s="21"/>
      <c r="EDS43" s="21"/>
      <c r="EDT43" s="21"/>
      <c r="EDU43" s="21"/>
      <c r="EDV43" s="21"/>
      <c r="EDW43" s="21"/>
      <c r="EDX43" s="21"/>
      <c r="EDY43" s="21"/>
      <c r="EDZ43" s="21"/>
      <c r="EEA43" s="21"/>
      <c r="EEB43" s="21"/>
      <c r="EEC43" s="21"/>
      <c r="EED43" s="21"/>
      <c r="EEE43" s="21"/>
      <c r="EEF43" s="21"/>
      <c r="EEG43" s="21"/>
      <c r="EEH43" s="21"/>
      <c r="EEI43" s="21"/>
      <c r="EEJ43" s="21"/>
      <c r="EEK43" s="21"/>
      <c r="EEL43" s="21"/>
      <c r="EEM43" s="21"/>
      <c r="EEN43" s="21"/>
      <c r="EEO43" s="21"/>
      <c r="EEP43" s="21"/>
      <c r="EEQ43" s="21"/>
      <c r="EER43" s="21"/>
      <c r="EES43" s="21"/>
      <c r="EET43" s="21"/>
      <c r="EEU43" s="21"/>
      <c r="EEV43" s="21"/>
      <c r="EEW43" s="21"/>
      <c r="EEX43" s="21"/>
      <c r="EEY43" s="21"/>
      <c r="EEZ43" s="21"/>
      <c r="EFA43" s="21"/>
      <c r="EFB43" s="21"/>
      <c r="EFC43" s="21"/>
      <c r="EFD43" s="21"/>
      <c r="EFE43" s="21"/>
      <c r="EFF43" s="21"/>
      <c r="EFG43" s="21"/>
      <c r="EFH43" s="21"/>
      <c r="EFI43" s="21"/>
      <c r="EFJ43" s="21"/>
      <c r="EFK43" s="21"/>
      <c r="EFL43" s="21"/>
      <c r="EFM43" s="21"/>
      <c r="EFN43" s="21"/>
      <c r="EFO43" s="21"/>
      <c r="EFP43" s="21"/>
      <c r="EFQ43" s="21"/>
      <c r="EFR43" s="21"/>
      <c r="EFS43" s="21"/>
      <c r="EFT43" s="21"/>
      <c r="EFU43" s="21"/>
      <c r="EFV43" s="21"/>
      <c r="EFW43" s="21"/>
      <c r="EFX43" s="21"/>
      <c r="EFY43" s="21"/>
      <c r="EFZ43" s="21"/>
      <c r="EGA43" s="21"/>
      <c r="EGB43" s="21"/>
      <c r="EGC43" s="21"/>
      <c r="EGD43" s="21"/>
      <c r="EGE43" s="21"/>
      <c r="EGF43" s="21"/>
      <c r="EGG43" s="21"/>
      <c r="EGH43" s="21"/>
      <c r="EGI43" s="21"/>
      <c r="EGJ43" s="21"/>
      <c r="EGK43" s="21"/>
      <c r="EGL43" s="21"/>
      <c r="EGM43" s="21"/>
      <c r="EGN43" s="21"/>
      <c r="EGO43" s="21"/>
      <c r="EGP43" s="21"/>
      <c r="EGQ43" s="21"/>
      <c r="EGR43" s="21"/>
      <c r="EGS43" s="21"/>
      <c r="EGT43" s="21"/>
      <c r="EGU43" s="21"/>
      <c r="EGV43" s="21"/>
      <c r="EGW43" s="21"/>
      <c r="EGX43" s="21"/>
      <c r="EGY43" s="21"/>
      <c r="EGZ43" s="21"/>
      <c r="EHA43" s="21"/>
      <c r="EHB43" s="21"/>
      <c r="EHC43" s="21"/>
      <c r="EHD43" s="21"/>
      <c r="EHE43" s="21"/>
      <c r="EHF43" s="21"/>
      <c r="EHG43" s="21"/>
      <c r="EHH43" s="21"/>
      <c r="EHI43" s="21"/>
      <c r="EHJ43" s="21"/>
      <c r="EHK43" s="21"/>
      <c r="EHL43" s="21"/>
      <c r="EHM43" s="21"/>
      <c r="EHN43" s="21"/>
      <c r="EHO43" s="21"/>
      <c r="EHP43" s="21"/>
      <c r="EHQ43" s="21"/>
      <c r="EHR43" s="21"/>
      <c r="EHS43" s="21"/>
      <c r="EHT43" s="21"/>
      <c r="EHU43" s="21"/>
      <c r="EHV43" s="21"/>
      <c r="EHW43" s="21"/>
      <c r="EHX43" s="21"/>
      <c r="EHY43" s="21"/>
      <c r="EHZ43" s="21"/>
      <c r="EIA43" s="21"/>
      <c r="EIB43" s="21"/>
      <c r="EIC43" s="21"/>
      <c r="EID43" s="21"/>
      <c r="EIE43" s="21"/>
      <c r="EIF43" s="21"/>
      <c r="EIG43" s="21"/>
      <c r="EIH43" s="21"/>
      <c r="EII43" s="21"/>
      <c r="EIJ43" s="21"/>
      <c r="EIK43" s="21"/>
      <c r="EIL43" s="21"/>
      <c r="EIM43" s="21"/>
      <c r="EIN43" s="21"/>
      <c r="EIO43" s="21"/>
      <c r="EIP43" s="21"/>
      <c r="EIQ43" s="21"/>
      <c r="EIR43" s="21"/>
      <c r="EIS43" s="21"/>
      <c r="EIT43" s="21"/>
      <c r="EIU43" s="21"/>
      <c r="EIV43" s="21"/>
      <c r="EIW43" s="21"/>
      <c r="EIX43" s="21"/>
      <c r="EIY43" s="21"/>
      <c r="EIZ43" s="21"/>
      <c r="EJA43" s="21"/>
      <c r="EJB43" s="21"/>
      <c r="EJC43" s="21"/>
      <c r="EJD43" s="21"/>
      <c r="EJE43" s="21"/>
      <c r="EJF43" s="21"/>
      <c r="EJG43" s="21"/>
      <c r="EJH43" s="21"/>
      <c r="EJI43" s="21"/>
      <c r="EJJ43" s="21"/>
      <c r="EJK43" s="21"/>
      <c r="EJL43" s="21"/>
      <c r="EJM43" s="21"/>
      <c r="EJN43" s="21"/>
      <c r="EJO43" s="21"/>
      <c r="EJP43" s="21"/>
      <c r="EJQ43" s="21"/>
      <c r="EJR43" s="21"/>
      <c r="EJS43" s="21"/>
      <c r="EJT43" s="21"/>
      <c r="EJU43" s="21"/>
      <c r="EJV43" s="21"/>
      <c r="EJW43" s="21"/>
      <c r="EJX43" s="21"/>
      <c r="EJY43" s="21"/>
      <c r="EJZ43" s="21"/>
      <c r="EKA43" s="21"/>
      <c r="EKB43" s="21"/>
      <c r="EKC43" s="21"/>
      <c r="EKD43" s="21"/>
      <c r="EKE43" s="21"/>
      <c r="EKF43" s="21"/>
      <c r="EKG43" s="21"/>
      <c r="EKH43" s="21"/>
      <c r="EKI43" s="21"/>
      <c r="EKJ43" s="21"/>
      <c r="EKK43" s="21"/>
      <c r="EKL43" s="21"/>
      <c r="EKM43" s="21"/>
      <c r="EKN43" s="21"/>
      <c r="EKO43" s="21"/>
      <c r="EKP43" s="21"/>
      <c r="EKQ43" s="21"/>
      <c r="EKR43" s="21"/>
      <c r="EKS43" s="21"/>
      <c r="EKT43" s="21"/>
      <c r="EKU43" s="21"/>
      <c r="EKV43" s="21"/>
      <c r="EKW43" s="21"/>
      <c r="EKX43" s="21"/>
      <c r="EKY43" s="21"/>
      <c r="EKZ43" s="21"/>
      <c r="ELA43" s="21"/>
      <c r="ELB43" s="21"/>
      <c r="ELC43" s="21"/>
      <c r="ELD43" s="21"/>
      <c r="ELE43" s="21"/>
      <c r="ELF43" s="21"/>
      <c r="ELG43" s="21"/>
      <c r="ELH43" s="21"/>
      <c r="ELI43" s="21"/>
      <c r="ELJ43" s="21"/>
      <c r="ELK43" s="21"/>
      <c r="ELL43" s="21"/>
      <c r="ELM43" s="21"/>
      <c r="ELN43" s="21"/>
      <c r="ELO43" s="21"/>
      <c r="ELP43" s="21"/>
      <c r="ELQ43" s="21"/>
      <c r="ELR43" s="21"/>
      <c r="ELS43" s="21"/>
      <c r="ELT43" s="21"/>
      <c r="ELU43" s="21"/>
      <c r="ELV43" s="21"/>
      <c r="ELW43" s="21"/>
      <c r="ELX43" s="21"/>
      <c r="ELY43" s="21"/>
      <c r="ELZ43" s="21"/>
      <c r="EMA43" s="21"/>
      <c r="EMB43" s="21"/>
      <c r="EMC43" s="21"/>
      <c r="EMD43" s="21"/>
      <c r="EME43" s="21"/>
      <c r="EMF43" s="21"/>
      <c r="EMG43" s="21"/>
      <c r="EMH43" s="21"/>
      <c r="EMI43" s="21"/>
      <c r="EMJ43" s="21"/>
      <c r="EMK43" s="21"/>
      <c r="EML43" s="21"/>
      <c r="EMM43" s="21"/>
      <c r="EMN43" s="21"/>
      <c r="EMO43" s="21"/>
      <c r="EMP43" s="21"/>
      <c r="EMQ43" s="21"/>
      <c r="EMR43" s="21"/>
      <c r="EMS43" s="21"/>
      <c r="EMT43" s="21"/>
      <c r="EMU43" s="21"/>
      <c r="EMV43" s="21"/>
      <c r="EMW43" s="21"/>
      <c r="EMX43" s="21"/>
      <c r="EMY43" s="21"/>
      <c r="EMZ43" s="21"/>
      <c r="ENA43" s="21"/>
      <c r="ENB43" s="21"/>
      <c r="ENC43" s="21"/>
      <c r="END43" s="21"/>
      <c r="ENE43" s="21"/>
      <c r="ENF43" s="21"/>
      <c r="ENG43" s="21"/>
      <c r="ENH43" s="21"/>
      <c r="ENI43" s="21"/>
      <c r="ENJ43" s="21"/>
      <c r="ENK43" s="21"/>
      <c r="ENL43" s="21"/>
      <c r="ENM43" s="21"/>
      <c r="ENN43" s="21"/>
      <c r="ENO43" s="21"/>
      <c r="ENP43" s="21"/>
      <c r="ENQ43" s="21"/>
      <c r="ENR43" s="21"/>
      <c r="ENS43" s="21"/>
      <c r="ENT43" s="21"/>
      <c r="ENU43" s="21"/>
      <c r="ENV43" s="21"/>
      <c r="ENW43" s="21"/>
      <c r="ENX43" s="21"/>
      <c r="ENY43" s="21"/>
      <c r="ENZ43" s="21"/>
      <c r="EOA43" s="21"/>
      <c r="EOB43" s="21"/>
      <c r="EOC43" s="21"/>
      <c r="EOD43" s="21"/>
      <c r="EOE43" s="21"/>
      <c r="EOF43" s="21"/>
      <c r="EOG43" s="21"/>
      <c r="EOH43" s="21"/>
      <c r="EOI43" s="21"/>
      <c r="EOJ43" s="21"/>
      <c r="EOK43" s="21"/>
      <c r="EOL43" s="21"/>
      <c r="EOM43" s="21"/>
      <c r="EON43" s="21"/>
      <c r="EOO43" s="21"/>
      <c r="EOP43" s="21"/>
      <c r="EOQ43" s="21"/>
      <c r="EOR43" s="21"/>
      <c r="EOS43" s="21"/>
      <c r="EOT43" s="21"/>
      <c r="EOU43" s="21"/>
      <c r="EOV43" s="21"/>
      <c r="EOW43" s="21"/>
      <c r="EOX43" s="21"/>
      <c r="EOY43" s="21"/>
      <c r="EOZ43" s="21"/>
      <c r="EPA43" s="21"/>
      <c r="EPB43" s="21"/>
      <c r="EPC43" s="21"/>
      <c r="EPD43" s="21"/>
      <c r="EPE43" s="21"/>
      <c r="EPF43" s="21"/>
      <c r="EPG43" s="21"/>
      <c r="EPH43" s="21"/>
      <c r="EPI43" s="21"/>
      <c r="EPJ43" s="21"/>
      <c r="EPK43" s="21"/>
      <c r="EPL43" s="21"/>
      <c r="EPM43" s="21"/>
      <c r="EPN43" s="21"/>
      <c r="EPO43" s="21"/>
      <c r="EPP43" s="21"/>
      <c r="EPQ43" s="21"/>
      <c r="EPR43" s="21"/>
      <c r="EPS43" s="21"/>
      <c r="EPT43" s="21"/>
      <c r="EPU43" s="21"/>
      <c r="EPV43" s="21"/>
      <c r="EPW43" s="21"/>
      <c r="EPX43" s="21"/>
      <c r="EPY43" s="21"/>
      <c r="EPZ43" s="21"/>
      <c r="EQA43" s="21"/>
      <c r="EQB43" s="21"/>
      <c r="EQC43" s="21"/>
      <c r="EQD43" s="21"/>
      <c r="EQE43" s="21"/>
      <c r="EQF43" s="21"/>
      <c r="EQG43" s="21"/>
      <c r="EQH43" s="21"/>
      <c r="EQI43" s="21"/>
      <c r="EQJ43" s="21"/>
      <c r="EQK43" s="21"/>
      <c r="EQL43" s="21"/>
      <c r="EQM43" s="21"/>
      <c r="EQN43" s="21"/>
      <c r="EQO43" s="21"/>
      <c r="EQP43" s="21"/>
      <c r="EQQ43" s="21"/>
      <c r="EQR43" s="21"/>
      <c r="EQS43" s="21"/>
      <c r="EQT43" s="21"/>
      <c r="EQU43" s="21"/>
      <c r="EQV43" s="21"/>
      <c r="EQW43" s="21"/>
      <c r="EQX43" s="21"/>
      <c r="EQY43" s="21"/>
      <c r="EQZ43" s="21"/>
      <c r="ERA43" s="21"/>
      <c r="ERB43" s="21"/>
      <c r="ERC43" s="21"/>
      <c r="ERD43" s="21"/>
      <c r="ERE43" s="21"/>
      <c r="ERF43" s="21"/>
      <c r="ERG43" s="21"/>
      <c r="ERH43" s="21"/>
      <c r="ERI43" s="21"/>
      <c r="ERJ43" s="21"/>
      <c r="ERK43" s="21"/>
      <c r="ERL43" s="21"/>
      <c r="ERM43" s="21"/>
      <c r="ERN43" s="21"/>
      <c r="ERO43" s="21"/>
      <c r="ERP43" s="21"/>
      <c r="ERQ43" s="21"/>
      <c r="ERR43" s="21"/>
      <c r="ERS43" s="21"/>
      <c r="ERT43" s="21"/>
      <c r="ERU43" s="21"/>
      <c r="ERV43" s="21"/>
      <c r="ERW43" s="21"/>
      <c r="ERX43" s="21"/>
      <c r="ERY43" s="21"/>
      <c r="ERZ43" s="21"/>
      <c r="ESA43" s="21"/>
      <c r="ESB43" s="21"/>
      <c r="ESC43" s="21"/>
      <c r="ESD43" s="21"/>
      <c r="ESE43" s="21"/>
      <c r="ESF43" s="21"/>
      <c r="ESG43" s="21"/>
      <c r="ESH43" s="21"/>
      <c r="ESI43" s="21"/>
      <c r="ESJ43" s="21"/>
      <c r="ESK43" s="21"/>
      <c r="ESL43" s="21"/>
      <c r="ESM43" s="21"/>
      <c r="ESN43" s="21"/>
      <c r="ESO43" s="21"/>
      <c r="ESP43" s="21"/>
      <c r="ESQ43" s="21"/>
      <c r="ESR43" s="21"/>
      <c r="ESS43" s="21"/>
      <c r="EST43" s="21"/>
      <c r="ESU43" s="21"/>
      <c r="ESV43" s="21"/>
      <c r="ESW43" s="21"/>
      <c r="ESX43" s="21"/>
      <c r="ESY43" s="21"/>
      <c r="ESZ43" s="21"/>
      <c r="ETA43" s="21"/>
      <c r="ETB43" s="21"/>
      <c r="ETC43" s="21"/>
      <c r="ETD43" s="21"/>
      <c r="ETE43" s="21"/>
      <c r="ETF43" s="21"/>
      <c r="ETG43" s="21"/>
      <c r="ETH43" s="21"/>
      <c r="ETI43" s="21"/>
      <c r="ETJ43" s="21"/>
      <c r="ETK43" s="21"/>
      <c r="ETL43" s="21"/>
      <c r="ETM43" s="21"/>
      <c r="ETN43" s="21"/>
      <c r="ETO43" s="21"/>
      <c r="ETP43" s="21"/>
      <c r="ETQ43" s="21"/>
      <c r="ETR43" s="21"/>
      <c r="ETS43" s="21"/>
      <c r="ETT43" s="21"/>
      <c r="ETU43" s="21"/>
      <c r="ETV43" s="21"/>
      <c r="ETW43" s="21"/>
      <c r="ETX43" s="21"/>
      <c r="ETY43" s="21"/>
      <c r="ETZ43" s="21"/>
      <c r="EUA43" s="21"/>
      <c r="EUB43" s="21"/>
      <c r="EUC43" s="21"/>
      <c r="EUD43" s="21"/>
      <c r="EUE43" s="21"/>
      <c r="EUF43" s="21"/>
      <c r="EUG43" s="21"/>
      <c r="EUH43" s="21"/>
      <c r="EUI43" s="21"/>
      <c r="EUJ43" s="21"/>
      <c r="EUK43" s="21"/>
      <c r="EUL43" s="21"/>
      <c r="EUM43" s="21"/>
      <c r="EUN43" s="21"/>
      <c r="EUO43" s="21"/>
      <c r="EUP43" s="21"/>
      <c r="EUQ43" s="21"/>
      <c r="EUR43" s="21"/>
      <c r="EUS43" s="21"/>
      <c r="EUT43" s="21"/>
      <c r="EUU43" s="21"/>
      <c r="EUV43" s="21"/>
      <c r="EUW43" s="21"/>
      <c r="EUX43" s="21"/>
      <c r="EUY43" s="21"/>
      <c r="EUZ43" s="21"/>
      <c r="EVA43" s="21"/>
      <c r="EVB43" s="21"/>
      <c r="EVC43" s="21"/>
      <c r="EVD43" s="21"/>
      <c r="EVE43" s="21"/>
      <c r="EVF43" s="21"/>
      <c r="EVG43" s="21"/>
      <c r="EVH43" s="21"/>
      <c r="EVI43" s="21"/>
      <c r="EVJ43" s="21"/>
      <c r="EVK43" s="21"/>
      <c r="EVL43" s="21"/>
      <c r="EVM43" s="21"/>
      <c r="EVN43" s="21"/>
      <c r="EVO43" s="21"/>
      <c r="EVP43" s="21"/>
      <c r="EVQ43" s="21"/>
      <c r="EVR43" s="21"/>
      <c r="EVS43" s="21"/>
      <c r="EVT43" s="21"/>
      <c r="EVU43" s="21"/>
      <c r="EVV43" s="21"/>
      <c r="EVW43" s="21"/>
      <c r="EVX43" s="21"/>
      <c r="EVY43" s="21"/>
      <c r="EVZ43" s="21"/>
      <c r="EWA43" s="21"/>
      <c r="EWB43" s="21"/>
      <c r="EWC43" s="21"/>
      <c r="EWD43" s="21"/>
      <c r="EWE43" s="21"/>
      <c r="EWF43" s="21"/>
      <c r="EWG43" s="21"/>
      <c r="EWH43" s="21"/>
      <c r="EWI43" s="21"/>
      <c r="EWJ43" s="21"/>
      <c r="EWK43" s="21"/>
      <c r="EWL43" s="21"/>
      <c r="EWM43" s="21"/>
      <c r="EWN43" s="21"/>
      <c r="EWO43" s="21"/>
      <c r="EWP43" s="21"/>
      <c r="EWQ43" s="21"/>
      <c r="EWR43" s="21"/>
      <c r="EWS43" s="21"/>
      <c r="EWT43" s="21"/>
      <c r="EWU43" s="21"/>
      <c r="EWV43" s="21"/>
      <c r="EWW43" s="21"/>
      <c r="EWX43" s="21"/>
      <c r="EWY43" s="21"/>
      <c r="EWZ43" s="21"/>
      <c r="EXA43" s="21"/>
      <c r="EXB43" s="21"/>
      <c r="EXC43" s="21"/>
      <c r="EXD43" s="21"/>
      <c r="EXE43" s="21"/>
      <c r="EXF43" s="21"/>
      <c r="EXG43" s="21"/>
      <c r="EXH43" s="21"/>
      <c r="EXI43" s="21"/>
      <c r="EXJ43" s="21"/>
      <c r="EXK43" s="21"/>
      <c r="EXL43" s="21"/>
      <c r="EXM43" s="21"/>
      <c r="EXN43" s="21"/>
      <c r="EXO43" s="21"/>
      <c r="EXP43" s="21"/>
      <c r="EXQ43" s="21"/>
      <c r="EXR43" s="21"/>
      <c r="EXS43" s="21"/>
      <c r="EXT43" s="21"/>
      <c r="EXU43" s="21"/>
      <c r="EXV43" s="21"/>
      <c r="EXW43" s="21"/>
      <c r="EXX43" s="21"/>
      <c r="EXY43" s="21"/>
      <c r="EXZ43" s="21"/>
      <c r="EYA43" s="21"/>
      <c r="EYB43" s="21"/>
      <c r="EYC43" s="21"/>
      <c r="EYD43" s="21"/>
      <c r="EYE43" s="21"/>
      <c r="EYF43" s="21"/>
      <c r="EYG43" s="21"/>
      <c r="EYH43" s="21"/>
      <c r="EYI43" s="21"/>
      <c r="EYJ43" s="21"/>
      <c r="EYK43" s="21"/>
      <c r="EYL43" s="21"/>
      <c r="EYM43" s="21"/>
      <c r="EYN43" s="21"/>
      <c r="EYO43" s="21"/>
      <c r="EYP43" s="21"/>
      <c r="EYQ43" s="21"/>
      <c r="EYR43" s="21"/>
      <c r="EYS43" s="21"/>
      <c r="EYT43" s="21"/>
      <c r="EYU43" s="21"/>
      <c r="EYV43" s="21"/>
      <c r="EYW43" s="21"/>
      <c r="EYX43" s="21"/>
      <c r="EYY43" s="21"/>
      <c r="EYZ43" s="21"/>
      <c r="EZA43" s="21"/>
      <c r="EZB43" s="21"/>
      <c r="EZC43" s="21"/>
      <c r="EZD43" s="21"/>
      <c r="EZE43" s="21"/>
      <c r="EZF43" s="21"/>
      <c r="EZG43" s="21"/>
      <c r="EZH43" s="21"/>
      <c r="EZI43" s="21"/>
      <c r="EZJ43" s="21"/>
      <c r="EZK43" s="21"/>
      <c r="EZL43" s="21"/>
      <c r="EZM43" s="21"/>
      <c r="EZN43" s="21"/>
      <c r="EZO43" s="21"/>
      <c r="EZP43" s="21"/>
      <c r="EZQ43" s="21"/>
      <c r="EZR43" s="21"/>
      <c r="EZS43" s="21"/>
      <c r="EZT43" s="21"/>
      <c r="EZU43" s="21"/>
      <c r="EZV43" s="21"/>
      <c r="EZW43" s="21"/>
      <c r="EZX43" s="21"/>
      <c r="EZY43" s="21"/>
      <c r="EZZ43" s="21"/>
      <c r="FAA43" s="21"/>
      <c r="FAB43" s="21"/>
      <c r="FAC43" s="21"/>
      <c r="FAD43" s="21"/>
      <c r="FAE43" s="21"/>
      <c r="FAF43" s="21"/>
      <c r="FAG43" s="21"/>
      <c r="FAH43" s="21"/>
      <c r="FAI43" s="21"/>
      <c r="FAJ43" s="21"/>
      <c r="FAK43" s="21"/>
      <c r="FAL43" s="21"/>
      <c r="FAM43" s="21"/>
      <c r="FAN43" s="21"/>
      <c r="FAO43" s="21"/>
      <c r="FAP43" s="21"/>
      <c r="FAQ43" s="21"/>
      <c r="FAR43" s="21"/>
      <c r="FAS43" s="21"/>
      <c r="FAT43" s="21"/>
      <c r="FAU43" s="21"/>
      <c r="FAV43" s="21"/>
      <c r="FAW43" s="21"/>
      <c r="FAX43" s="21"/>
      <c r="FAY43" s="21"/>
      <c r="FAZ43" s="21"/>
      <c r="FBA43" s="21"/>
      <c r="FBB43" s="21"/>
      <c r="FBC43" s="21"/>
      <c r="FBD43" s="21"/>
      <c r="FBE43" s="21"/>
      <c r="FBF43" s="21"/>
      <c r="FBG43" s="21"/>
      <c r="FBH43" s="21"/>
      <c r="FBI43" s="21"/>
      <c r="FBJ43" s="21"/>
      <c r="FBK43" s="21"/>
      <c r="FBL43" s="21"/>
      <c r="FBM43" s="21"/>
      <c r="FBN43" s="21"/>
      <c r="FBO43" s="21"/>
      <c r="FBP43" s="21"/>
      <c r="FBQ43" s="21"/>
      <c r="FBR43" s="21"/>
      <c r="FBS43" s="21"/>
      <c r="FBT43" s="21"/>
      <c r="FBU43" s="21"/>
      <c r="FBV43" s="21"/>
      <c r="FBW43" s="21"/>
      <c r="FBX43" s="21"/>
      <c r="FBY43" s="21"/>
      <c r="FBZ43" s="21"/>
      <c r="FCA43" s="21"/>
      <c r="FCB43" s="21"/>
      <c r="FCC43" s="21"/>
      <c r="FCD43" s="21"/>
      <c r="FCE43" s="21"/>
      <c r="FCF43" s="21"/>
      <c r="FCG43" s="21"/>
      <c r="FCH43" s="21"/>
      <c r="FCI43" s="21"/>
      <c r="FCJ43" s="21"/>
      <c r="FCK43" s="21"/>
      <c r="FCL43" s="21"/>
      <c r="FCM43" s="21"/>
      <c r="FCN43" s="21"/>
      <c r="FCO43" s="21"/>
      <c r="FCP43" s="21"/>
      <c r="FCQ43" s="21"/>
      <c r="FCR43" s="21"/>
      <c r="FCS43" s="21"/>
      <c r="FCT43" s="21"/>
      <c r="FCU43" s="21"/>
      <c r="FCV43" s="21"/>
      <c r="FCW43" s="21"/>
      <c r="FCX43" s="21"/>
      <c r="FCY43" s="21"/>
      <c r="FCZ43" s="21"/>
      <c r="FDA43" s="21"/>
      <c r="FDB43" s="21"/>
      <c r="FDC43" s="21"/>
      <c r="FDD43" s="21"/>
      <c r="FDE43" s="21"/>
      <c r="FDF43" s="21"/>
      <c r="FDG43" s="21"/>
      <c r="FDH43" s="21"/>
      <c r="FDI43" s="21"/>
      <c r="FDJ43" s="21"/>
      <c r="FDK43" s="21"/>
      <c r="FDL43" s="21"/>
      <c r="FDM43" s="21"/>
      <c r="FDN43" s="21"/>
      <c r="FDO43" s="21"/>
      <c r="FDP43" s="21"/>
      <c r="FDQ43" s="21"/>
      <c r="FDR43" s="21"/>
      <c r="FDS43" s="21"/>
      <c r="FDT43" s="21"/>
      <c r="FDU43" s="21"/>
      <c r="FDV43" s="21"/>
      <c r="FDW43" s="21"/>
      <c r="FDX43" s="21"/>
      <c r="FDY43" s="21"/>
      <c r="FDZ43" s="21"/>
      <c r="FEA43" s="21"/>
      <c r="FEB43" s="21"/>
      <c r="FEC43" s="21"/>
      <c r="FED43" s="21"/>
      <c r="FEE43" s="21"/>
      <c r="FEF43" s="21"/>
      <c r="FEG43" s="21"/>
      <c r="FEH43" s="21"/>
      <c r="FEI43" s="21"/>
      <c r="FEJ43" s="21"/>
      <c r="FEK43" s="21"/>
      <c r="FEL43" s="21"/>
      <c r="FEM43" s="21"/>
      <c r="FEN43" s="21"/>
      <c r="FEO43" s="21"/>
      <c r="FEP43" s="21"/>
      <c r="FEQ43" s="21"/>
      <c r="FER43" s="21"/>
      <c r="FES43" s="21"/>
      <c r="FET43" s="21"/>
      <c r="FEU43" s="21"/>
      <c r="FEV43" s="21"/>
      <c r="FEW43" s="21"/>
      <c r="FEX43" s="21"/>
      <c r="FEY43" s="21"/>
      <c r="FEZ43" s="21"/>
      <c r="FFA43" s="21"/>
      <c r="FFB43" s="21"/>
      <c r="FFC43" s="21"/>
      <c r="FFD43" s="21"/>
      <c r="FFE43" s="21"/>
      <c r="FFF43" s="21"/>
      <c r="FFG43" s="21"/>
      <c r="FFH43" s="21"/>
      <c r="FFI43" s="21"/>
      <c r="FFJ43" s="21"/>
      <c r="FFK43" s="21"/>
      <c r="FFL43" s="21"/>
      <c r="FFM43" s="21"/>
      <c r="FFN43" s="21"/>
      <c r="FFO43" s="21"/>
      <c r="FFP43" s="21"/>
      <c r="FFQ43" s="21"/>
      <c r="FFR43" s="21"/>
      <c r="FFS43" s="21"/>
      <c r="FFT43" s="21"/>
      <c r="FFU43" s="21"/>
      <c r="FFV43" s="21"/>
      <c r="FFW43" s="21"/>
      <c r="FFX43" s="21"/>
      <c r="FFY43" s="21"/>
      <c r="FFZ43" s="21"/>
      <c r="FGA43" s="21"/>
      <c r="FGB43" s="21"/>
      <c r="FGC43" s="21"/>
      <c r="FGD43" s="21"/>
      <c r="FGE43" s="21"/>
      <c r="FGF43" s="21"/>
      <c r="FGG43" s="21"/>
      <c r="FGH43" s="21"/>
      <c r="FGI43" s="21"/>
      <c r="FGJ43" s="21"/>
      <c r="FGK43" s="21"/>
      <c r="FGL43" s="21"/>
      <c r="FGM43" s="21"/>
      <c r="FGN43" s="21"/>
      <c r="FGO43" s="21"/>
      <c r="FGP43" s="21"/>
      <c r="FGQ43" s="21"/>
      <c r="FGR43" s="21"/>
      <c r="FGS43" s="21"/>
      <c r="FGT43" s="21"/>
      <c r="FGU43" s="21"/>
      <c r="FGV43" s="21"/>
      <c r="FGW43" s="21"/>
      <c r="FGX43" s="21"/>
      <c r="FGY43" s="21"/>
      <c r="FGZ43" s="21"/>
      <c r="FHA43" s="21"/>
      <c r="FHB43" s="21"/>
      <c r="FHC43" s="21"/>
      <c r="FHD43" s="21"/>
      <c r="FHE43" s="21"/>
      <c r="FHF43" s="21"/>
      <c r="FHG43" s="21"/>
      <c r="FHH43" s="21"/>
      <c r="FHI43" s="21"/>
      <c r="FHJ43" s="21"/>
      <c r="FHK43" s="21"/>
      <c r="FHL43" s="21"/>
      <c r="FHM43" s="21"/>
      <c r="FHN43" s="21"/>
      <c r="FHO43" s="21"/>
      <c r="FHP43" s="21"/>
      <c r="FHQ43" s="21"/>
      <c r="FHR43" s="21"/>
      <c r="FHS43" s="21"/>
      <c r="FHT43" s="21"/>
      <c r="FHU43" s="21"/>
      <c r="FHV43" s="21"/>
      <c r="FHW43" s="21"/>
      <c r="FHX43" s="21"/>
      <c r="FHY43" s="21"/>
      <c r="FHZ43" s="21"/>
      <c r="FIA43" s="21"/>
      <c r="FIB43" s="21"/>
      <c r="FIC43" s="21"/>
      <c r="FID43" s="21"/>
      <c r="FIE43" s="21"/>
      <c r="FIF43" s="21"/>
      <c r="FIG43" s="21"/>
      <c r="FIH43" s="21"/>
      <c r="FII43" s="21"/>
      <c r="FIJ43" s="21"/>
      <c r="FIK43" s="21"/>
      <c r="FIL43" s="21"/>
      <c r="FIM43" s="21"/>
      <c r="FIN43" s="21"/>
      <c r="FIO43" s="21"/>
      <c r="FIP43" s="21"/>
      <c r="FIQ43" s="21"/>
      <c r="FIR43" s="21"/>
      <c r="FIS43" s="21"/>
      <c r="FIT43" s="21"/>
      <c r="FIU43" s="21"/>
      <c r="FIV43" s="21"/>
      <c r="FIW43" s="21"/>
      <c r="FIX43" s="21"/>
      <c r="FIY43" s="21"/>
      <c r="FIZ43" s="21"/>
      <c r="FJA43" s="21"/>
      <c r="FJB43" s="21"/>
      <c r="FJC43" s="21"/>
      <c r="FJD43" s="21"/>
      <c r="FJE43" s="21"/>
      <c r="FJF43" s="21"/>
      <c r="FJG43" s="21"/>
      <c r="FJH43" s="21"/>
      <c r="FJI43" s="21"/>
      <c r="FJJ43" s="21"/>
      <c r="FJK43" s="21"/>
      <c r="FJL43" s="21"/>
      <c r="FJM43" s="21"/>
      <c r="FJN43" s="21"/>
      <c r="FJO43" s="21"/>
      <c r="FJP43" s="21"/>
      <c r="FJQ43" s="21"/>
      <c r="FJR43" s="21"/>
      <c r="FJS43" s="21"/>
      <c r="FJT43" s="21"/>
      <c r="FJU43" s="21"/>
      <c r="FJV43" s="21"/>
      <c r="FJW43" s="21"/>
      <c r="FJX43" s="21"/>
      <c r="FJY43" s="21"/>
      <c r="FJZ43" s="21"/>
      <c r="FKA43" s="21"/>
      <c r="FKB43" s="21"/>
      <c r="FKC43" s="21"/>
      <c r="FKD43" s="21"/>
      <c r="FKE43" s="21"/>
      <c r="FKF43" s="21"/>
      <c r="FKG43" s="21"/>
      <c r="FKH43" s="21"/>
      <c r="FKI43" s="21"/>
      <c r="FKJ43" s="21"/>
      <c r="FKK43" s="21"/>
      <c r="FKL43" s="21"/>
      <c r="FKM43" s="21"/>
      <c r="FKN43" s="21"/>
      <c r="FKO43" s="21"/>
      <c r="FKP43" s="21"/>
      <c r="FKQ43" s="21"/>
      <c r="FKR43" s="21"/>
      <c r="FKS43" s="21"/>
      <c r="FKT43" s="21"/>
      <c r="FKU43" s="21"/>
      <c r="FKV43" s="21"/>
      <c r="FKW43" s="21"/>
      <c r="FKX43" s="21"/>
      <c r="FKY43" s="21"/>
      <c r="FKZ43" s="21"/>
      <c r="FLA43" s="21"/>
      <c r="FLB43" s="21"/>
      <c r="FLC43" s="21"/>
      <c r="FLD43" s="21"/>
      <c r="FLE43" s="21"/>
      <c r="FLF43" s="21"/>
      <c r="FLG43" s="21"/>
      <c r="FLH43" s="21"/>
      <c r="FLI43" s="21"/>
      <c r="FLJ43" s="21"/>
      <c r="FLK43" s="21"/>
      <c r="FLL43" s="21"/>
      <c r="FLM43" s="21"/>
      <c r="FLN43" s="21"/>
      <c r="FLO43" s="21"/>
      <c r="FLP43" s="21"/>
      <c r="FLQ43" s="21"/>
      <c r="FLR43" s="21"/>
      <c r="FLS43" s="21"/>
      <c r="FLT43" s="21"/>
      <c r="FLU43" s="21"/>
      <c r="FLV43" s="21"/>
      <c r="FLW43" s="21"/>
      <c r="FLX43" s="21"/>
      <c r="FLY43" s="21"/>
      <c r="FLZ43" s="21"/>
      <c r="FMA43" s="21"/>
      <c r="FMB43" s="21"/>
      <c r="FMC43" s="21"/>
      <c r="FMD43" s="21"/>
      <c r="FME43" s="21"/>
      <c r="FMF43" s="21"/>
      <c r="FMG43" s="21"/>
      <c r="FMH43" s="21"/>
      <c r="FMI43" s="21"/>
      <c r="FMJ43" s="21"/>
      <c r="FMK43" s="21"/>
      <c r="FML43" s="21"/>
      <c r="FMM43" s="21"/>
      <c r="FMN43" s="21"/>
      <c r="FMO43" s="21"/>
      <c r="FMP43" s="21"/>
      <c r="FMQ43" s="21"/>
      <c r="FMR43" s="21"/>
      <c r="FMS43" s="21"/>
      <c r="FMT43" s="21"/>
      <c r="FMU43" s="21"/>
      <c r="FMV43" s="21"/>
      <c r="FMW43" s="21"/>
      <c r="FMX43" s="21"/>
      <c r="FMY43" s="21"/>
      <c r="FMZ43" s="21"/>
      <c r="FNA43" s="21"/>
      <c r="FNB43" s="21"/>
      <c r="FNC43" s="21"/>
      <c r="FND43" s="21"/>
      <c r="FNE43" s="21"/>
      <c r="FNF43" s="21"/>
      <c r="FNG43" s="21"/>
      <c r="FNH43" s="21"/>
      <c r="FNI43" s="21"/>
      <c r="FNJ43" s="21"/>
      <c r="FNK43" s="21"/>
      <c r="FNL43" s="21"/>
      <c r="FNM43" s="21"/>
      <c r="FNN43" s="21"/>
      <c r="FNO43" s="21"/>
      <c r="FNP43" s="21"/>
      <c r="FNQ43" s="21"/>
      <c r="FNR43" s="21"/>
      <c r="FNS43" s="21"/>
      <c r="FNT43" s="21"/>
      <c r="FNU43" s="21"/>
      <c r="FNV43" s="21"/>
      <c r="FNW43" s="21"/>
      <c r="FNX43" s="21"/>
      <c r="FNY43" s="21"/>
      <c r="FNZ43" s="21"/>
      <c r="FOA43" s="21"/>
      <c r="FOB43" s="21"/>
      <c r="FOC43" s="21"/>
      <c r="FOD43" s="21"/>
      <c r="FOE43" s="21"/>
      <c r="FOF43" s="21"/>
      <c r="FOG43" s="21"/>
      <c r="FOH43" s="21"/>
      <c r="FOI43" s="21"/>
      <c r="FOJ43" s="21"/>
      <c r="FOK43" s="21"/>
      <c r="FOL43" s="21"/>
      <c r="FOM43" s="21"/>
      <c r="FON43" s="21"/>
      <c r="FOO43" s="21"/>
      <c r="FOP43" s="21"/>
      <c r="FOQ43" s="21"/>
      <c r="FOR43" s="21"/>
      <c r="FOS43" s="21"/>
      <c r="FOT43" s="21"/>
      <c r="FOU43" s="21"/>
      <c r="FOV43" s="21"/>
      <c r="FOW43" s="21"/>
      <c r="FOX43" s="21"/>
      <c r="FOY43" s="21"/>
      <c r="FOZ43" s="21"/>
      <c r="FPA43" s="21"/>
      <c r="FPB43" s="21"/>
      <c r="FPC43" s="21"/>
      <c r="FPD43" s="21"/>
      <c r="FPE43" s="21"/>
      <c r="FPF43" s="21"/>
      <c r="FPG43" s="21"/>
      <c r="FPH43" s="21"/>
      <c r="FPI43" s="21"/>
      <c r="FPJ43" s="21"/>
      <c r="FPK43" s="21"/>
      <c r="FPL43" s="21"/>
      <c r="FPM43" s="21"/>
      <c r="FPN43" s="21"/>
      <c r="FPO43" s="21"/>
      <c r="FPP43" s="21"/>
      <c r="FPQ43" s="21"/>
      <c r="FPR43" s="21"/>
      <c r="FPS43" s="21"/>
      <c r="FPT43" s="21"/>
      <c r="FPU43" s="21"/>
      <c r="FPV43" s="21"/>
      <c r="FPW43" s="21"/>
      <c r="FPX43" s="21"/>
      <c r="FPY43" s="21"/>
      <c r="FPZ43" s="21"/>
      <c r="FQA43" s="21"/>
      <c r="FQB43" s="21"/>
      <c r="FQC43" s="21"/>
      <c r="FQD43" s="21"/>
      <c r="FQE43" s="21"/>
      <c r="FQF43" s="21"/>
      <c r="FQG43" s="21"/>
      <c r="FQH43" s="21"/>
      <c r="FQI43" s="21"/>
      <c r="FQJ43" s="21"/>
      <c r="FQK43" s="21"/>
      <c r="FQL43" s="21"/>
      <c r="FQM43" s="21"/>
      <c r="FQN43" s="21"/>
      <c r="FQO43" s="21"/>
      <c r="FQP43" s="21"/>
      <c r="FQQ43" s="21"/>
      <c r="FQR43" s="21"/>
      <c r="FQS43" s="21"/>
      <c r="FQT43" s="21"/>
      <c r="FQU43" s="21"/>
      <c r="FQV43" s="21"/>
      <c r="FQW43" s="21"/>
      <c r="FQX43" s="21"/>
      <c r="FQY43" s="21"/>
      <c r="FQZ43" s="21"/>
      <c r="FRA43" s="21"/>
      <c r="FRB43" s="21"/>
      <c r="FRC43" s="21"/>
      <c r="FRD43" s="21"/>
      <c r="FRE43" s="21"/>
      <c r="FRF43" s="21"/>
      <c r="FRG43" s="21"/>
      <c r="FRH43" s="21"/>
      <c r="FRI43" s="21"/>
      <c r="FRJ43" s="21"/>
      <c r="FRK43" s="21"/>
      <c r="FRL43" s="21"/>
      <c r="FRM43" s="21"/>
      <c r="FRN43" s="21"/>
      <c r="FRO43" s="21"/>
      <c r="FRP43" s="21"/>
      <c r="FRQ43" s="21"/>
      <c r="FRR43" s="21"/>
      <c r="FRS43" s="21"/>
      <c r="FRT43" s="21"/>
      <c r="FRU43" s="21"/>
      <c r="FRV43" s="21"/>
      <c r="FRW43" s="21"/>
      <c r="FRX43" s="21"/>
      <c r="FRY43" s="21"/>
      <c r="FRZ43" s="21"/>
      <c r="FSA43" s="21"/>
      <c r="FSB43" s="21"/>
      <c r="FSC43" s="21"/>
      <c r="FSD43" s="21"/>
      <c r="FSE43" s="21"/>
      <c r="FSF43" s="21"/>
      <c r="FSG43" s="21"/>
      <c r="FSH43" s="21"/>
      <c r="FSI43" s="21"/>
      <c r="FSJ43" s="21"/>
      <c r="FSK43" s="21"/>
      <c r="FSL43" s="21"/>
      <c r="FSM43" s="21"/>
      <c r="FSN43" s="21"/>
      <c r="FSO43" s="21"/>
      <c r="FSP43" s="21"/>
      <c r="FSQ43" s="21"/>
      <c r="FSR43" s="21"/>
      <c r="FSS43" s="21"/>
      <c r="FST43" s="21"/>
      <c r="FSU43" s="21"/>
      <c r="FSV43" s="21"/>
      <c r="FSW43" s="21"/>
      <c r="FSX43" s="21"/>
      <c r="FSY43" s="21"/>
      <c r="FSZ43" s="21"/>
      <c r="FTA43" s="21"/>
      <c r="FTB43" s="21"/>
      <c r="FTC43" s="21"/>
      <c r="FTD43" s="21"/>
      <c r="FTE43" s="21"/>
      <c r="FTF43" s="21"/>
      <c r="FTG43" s="21"/>
      <c r="FTH43" s="21"/>
      <c r="FTI43" s="21"/>
      <c r="FTJ43" s="21"/>
      <c r="FTK43" s="21"/>
      <c r="FTL43" s="21"/>
      <c r="FTM43" s="21"/>
      <c r="FTN43" s="21"/>
      <c r="FTO43" s="21"/>
      <c r="FTP43" s="21"/>
      <c r="FTQ43" s="21"/>
      <c r="FTR43" s="21"/>
      <c r="FTS43" s="21"/>
      <c r="FTT43" s="21"/>
      <c r="FTU43" s="21"/>
      <c r="FTV43" s="21"/>
      <c r="FTW43" s="21"/>
      <c r="FTX43" s="21"/>
      <c r="FTY43" s="21"/>
      <c r="FTZ43" s="21"/>
      <c r="FUA43" s="21"/>
      <c r="FUB43" s="21"/>
      <c r="FUC43" s="21"/>
      <c r="FUD43" s="21"/>
      <c r="FUE43" s="21"/>
      <c r="FUF43" s="21"/>
      <c r="FUG43" s="21"/>
      <c r="FUH43" s="21"/>
      <c r="FUI43" s="21"/>
      <c r="FUJ43" s="21"/>
      <c r="FUK43" s="21"/>
      <c r="FUL43" s="21"/>
      <c r="FUM43" s="21"/>
      <c r="FUN43" s="21"/>
      <c r="FUO43" s="21"/>
      <c r="FUP43" s="21"/>
      <c r="FUQ43" s="21"/>
      <c r="FUR43" s="21"/>
      <c r="FUS43" s="21"/>
      <c r="FUT43" s="21"/>
      <c r="FUU43" s="21"/>
      <c r="FUV43" s="21"/>
      <c r="FUW43" s="21"/>
      <c r="FUX43" s="21"/>
      <c r="FUY43" s="21"/>
      <c r="FUZ43" s="21"/>
      <c r="FVA43" s="21"/>
      <c r="FVB43" s="21"/>
      <c r="FVC43" s="21"/>
      <c r="FVD43" s="21"/>
      <c r="FVE43" s="21"/>
      <c r="FVF43" s="21"/>
      <c r="FVG43" s="21"/>
      <c r="FVH43" s="21"/>
      <c r="FVI43" s="21"/>
      <c r="FVJ43" s="21"/>
      <c r="FVK43" s="21"/>
      <c r="FVL43" s="21"/>
      <c r="FVM43" s="21"/>
      <c r="FVN43" s="21"/>
      <c r="FVO43" s="21"/>
      <c r="FVP43" s="21"/>
      <c r="FVQ43" s="21"/>
      <c r="FVR43" s="21"/>
      <c r="FVS43" s="21"/>
      <c r="FVT43" s="21"/>
      <c r="FVU43" s="21"/>
      <c r="FVV43" s="21"/>
      <c r="FVW43" s="21"/>
      <c r="FVX43" s="21"/>
      <c r="FVY43" s="21"/>
      <c r="FVZ43" s="21"/>
      <c r="FWA43" s="21"/>
      <c r="FWB43" s="21"/>
      <c r="FWC43" s="21"/>
      <c r="FWD43" s="21"/>
      <c r="FWE43" s="21"/>
      <c r="FWF43" s="21"/>
      <c r="FWG43" s="21"/>
      <c r="FWH43" s="21"/>
      <c r="FWI43" s="21"/>
      <c r="FWJ43" s="21"/>
      <c r="FWK43" s="21"/>
      <c r="FWL43" s="21"/>
      <c r="FWM43" s="21"/>
      <c r="FWN43" s="21"/>
      <c r="FWO43" s="21"/>
      <c r="FWP43" s="21"/>
      <c r="FWQ43" s="21"/>
      <c r="FWR43" s="21"/>
      <c r="FWS43" s="21"/>
      <c r="FWT43" s="21"/>
      <c r="FWU43" s="21"/>
      <c r="FWV43" s="21"/>
      <c r="FWW43" s="21"/>
      <c r="FWX43" s="21"/>
      <c r="FWY43" s="21"/>
      <c r="FWZ43" s="21"/>
      <c r="FXA43" s="21"/>
      <c r="FXB43" s="21"/>
      <c r="FXC43" s="21"/>
      <c r="FXD43" s="21"/>
      <c r="FXE43" s="21"/>
      <c r="FXF43" s="21"/>
      <c r="FXG43" s="21"/>
      <c r="FXH43" s="21"/>
      <c r="FXI43" s="21"/>
      <c r="FXJ43" s="21"/>
      <c r="FXK43" s="21"/>
      <c r="FXL43" s="21"/>
      <c r="FXM43" s="21"/>
      <c r="FXN43" s="21"/>
      <c r="FXO43" s="21"/>
      <c r="FXP43" s="21"/>
      <c r="FXQ43" s="21"/>
      <c r="FXR43" s="21"/>
      <c r="FXS43" s="21"/>
      <c r="FXT43" s="21"/>
      <c r="FXU43" s="21"/>
      <c r="FXV43" s="21"/>
      <c r="FXW43" s="21"/>
      <c r="FXX43" s="21"/>
      <c r="FXY43" s="21"/>
      <c r="FXZ43" s="21"/>
      <c r="FYA43" s="21"/>
      <c r="FYB43" s="21"/>
      <c r="FYC43" s="21"/>
      <c r="FYD43" s="21"/>
      <c r="FYE43" s="21"/>
      <c r="FYF43" s="21"/>
      <c r="FYG43" s="21"/>
      <c r="FYH43" s="21"/>
      <c r="FYI43" s="21"/>
      <c r="FYJ43" s="21"/>
      <c r="FYK43" s="21"/>
      <c r="FYL43" s="21"/>
      <c r="FYM43" s="21"/>
      <c r="FYN43" s="21"/>
      <c r="FYO43" s="21"/>
      <c r="FYP43" s="21"/>
      <c r="FYQ43" s="21"/>
      <c r="FYR43" s="21"/>
      <c r="FYS43" s="21"/>
      <c r="FYT43" s="21"/>
      <c r="FYU43" s="21"/>
      <c r="FYV43" s="21"/>
      <c r="FYW43" s="21"/>
      <c r="FYX43" s="21"/>
      <c r="FYY43" s="21"/>
      <c r="FYZ43" s="21"/>
      <c r="FZA43" s="21"/>
      <c r="FZB43" s="21"/>
      <c r="FZC43" s="21"/>
      <c r="FZD43" s="21"/>
      <c r="FZE43" s="21"/>
      <c r="FZF43" s="21"/>
      <c r="FZG43" s="21"/>
      <c r="FZH43" s="21"/>
      <c r="FZI43" s="21"/>
      <c r="FZJ43" s="21"/>
      <c r="FZK43" s="21"/>
      <c r="FZL43" s="21"/>
      <c r="FZM43" s="21"/>
      <c r="FZN43" s="21"/>
      <c r="FZO43" s="21"/>
      <c r="FZP43" s="21"/>
      <c r="FZQ43" s="21"/>
      <c r="FZR43" s="21"/>
      <c r="FZS43" s="21"/>
      <c r="FZT43" s="21"/>
      <c r="FZU43" s="21"/>
      <c r="FZV43" s="21"/>
      <c r="FZW43" s="21"/>
      <c r="FZX43" s="21"/>
      <c r="FZY43" s="21"/>
      <c r="FZZ43" s="21"/>
      <c r="GAA43" s="21"/>
      <c r="GAB43" s="21"/>
      <c r="GAC43" s="21"/>
      <c r="GAD43" s="21"/>
      <c r="GAE43" s="21"/>
      <c r="GAF43" s="21"/>
      <c r="GAG43" s="21"/>
      <c r="GAH43" s="21"/>
      <c r="GAI43" s="21"/>
      <c r="GAJ43" s="21"/>
      <c r="GAK43" s="21"/>
      <c r="GAL43" s="21"/>
      <c r="GAM43" s="21"/>
      <c r="GAN43" s="21"/>
      <c r="GAO43" s="21"/>
      <c r="GAP43" s="21"/>
      <c r="GAQ43" s="21"/>
      <c r="GAR43" s="21"/>
      <c r="GAS43" s="21"/>
      <c r="GAT43" s="21"/>
      <c r="GAU43" s="21"/>
      <c r="GAV43" s="21"/>
      <c r="GAW43" s="21"/>
      <c r="GAX43" s="21"/>
      <c r="GAY43" s="21"/>
      <c r="GAZ43" s="21"/>
      <c r="GBA43" s="21"/>
      <c r="GBB43" s="21"/>
      <c r="GBC43" s="21"/>
      <c r="GBD43" s="21"/>
      <c r="GBE43" s="21"/>
      <c r="GBF43" s="21"/>
      <c r="GBG43" s="21"/>
      <c r="GBH43" s="21"/>
      <c r="GBI43" s="21"/>
      <c r="GBJ43" s="21"/>
      <c r="GBK43" s="21"/>
      <c r="GBL43" s="21"/>
      <c r="GBM43" s="21"/>
      <c r="GBN43" s="21"/>
      <c r="GBO43" s="21"/>
      <c r="GBP43" s="21"/>
      <c r="GBQ43" s="21"/>
      <c r="GBR43" s="21"/>
      <c r="GBS43" s="21"/>
      <c r="GBT43" s="21"/>
      <c r="GBU43" s="21"/>
      <c r="GBV43" s="21"/>
      <c r="GBW43" s="21"/>
      <c r="GBX43" s="21"/>
      <c r="GBY43" s="21"/>
      <c r="GBZ43" s="21"/>
      <c r="GCA43" s="21"/>
      <c r="GCB43" s="21"/>
      <c r="GCC43" s="21"/>
      <c r="GCD43" s="21"/>
      <c r="GCE43" s="21"/>
      <c r="GCF43" s="21"/>
      <c r="GCG43" s="21"/>
      <c r="GCH43" s="21"/>
      <c r="GCI43" s="21"/>
      <c r="GCJ43" s="21"/>
      <c r="GCK43" s="21"/>
      <c r="GCL43" s="21"/>
      <c r="GCM43" s="21"/>
      <c r="GCN43" s="21"/>
      <c r="GCO43" s="21"/>
      <c r="GCP43" s="21"/>
      <c r="GCQ43" s="21"/>
      <c r="GCR43" s="21"/>
      <c r="GCS43" s="21"/>
      <c r="GCT43" s="21"/>
      <c r="GCU43" s="21"/>
      <c r="GCV43" s="21"/>
      <c r="GCW43" s="21"/>
      <c r="GCX43" s="21"/>
      <c r="GCY43" s="21"/>
      <c r="GCZ43" s="21"/>
      <c r="GDA43" s="21"/>
      <c r="GDB43" s="21"/>
      <c r="GDC43" s="21"/>
      <c r="GDD43" s="21"/>
      <c r="GDE43" s="21"/>
      <c r="GDF43" s="21"/>
      <c r="GDG43" s="21"/>
      <c r="GDH43" s="21"/>
      <c r="GDI43" s="21"/>
      <c r="GDJ43" s="21"/>
      <c r="GDK43" s="21"/>
      <c r="GDL43" s="21"/>
      <c r="GDM43" s="21"/>
      <c r="GDN43" s="21"/>
      <c r="GDO43" s="21"/>
      <c r="GDP43" s="21"/>
      <c r="GDQ43" s="21"/>
      <c r="GDR43" s="21"/>
      <c r="GDS43" s="21"/>
      <c r="GDT43" s="21"/>
      <c r="GDU43" s="21"/>
      <c r="GDV43" s="21"/>
      <c r="GDW43" s="21"/>
      <c r="GDX43" s="21"/>
      <c r="GDY43" s="21"/>
      <c r="GDZ43" s="21"/>
      <c r="GEA43" s="21"/>
      <c r="GEB43" s="21"/>
      <c r="GEC43" s="21"/>
      <c r="GED43" s="21"/>
      <c r="GEE43" s="21"/>
      <c r="GEF43" s="21"/>
      <c r="GEG43" s="21"/>
      <c r="GEH43" s="21"/>
      <c r="GEI43" s="21"/>
      <c r="GEJ43" s="21"/>
      <c r="GEK43" s="21"/>
      <c r="GEL43" s="21"/>
      <c r="GEM43" s="21"/>
      <c r="GEN43" s="21"/>
      <c r="GEO43" s="21"/>
      <c r="GEP43" s="21"/>
      <c r="GEQ43" s="21"/>
      <c r="GER43" s="21"/>
      <c r="GES43" s="21"/>
      <c r="GET43" s="21"/>
      <c r="GEU43" s="21"/>
      <c r="GEV43" s="21"/>
      <c r="GEW43" s="21"/>
      <c r="GEX43" s="21"/>
      <c r="GEY43" s="21"/>
      <c r="GEZ43" s="21"/>
      <c r="GFA43" s="21"/>
      <c r="GFB43" s="21"/>
      <c r="GFC43" s="21"/>
      <c r="GFD43" s="21"/>
      <c r="GFE43" s="21"/>
      <c r="GFF43" s="21"/>
      <c r="GFG43" s="21"/>
      <c r="GFH43" s="21"/>
      <c r="GFI43" s="21"/>
      <c r="GFJ43" s="21"/>
      <c r="GFK43" s="21"/>
      <c r="GFL43" s="21"/>
      <c r="GFM43" s="21"/>
      <c r="GFN43" s="21"/>
      <c r="GFO43" s="21"/>
      <c r="GFP43" s="21"/>
      <c r="GFQ43" s="21"/>
      <c r="GFR43" s="21"/>
      <c r="GFS43" s="21"/>
      <c r="GFT43" s="21"/>
      <c r="GFU43" s="21"/>
      <c r="GFV43" s="21"/>
      <c r="GFW43" s="21"/>
      <c r="GFX43" s="21"/>
      <c r="GFY43" s="21"/>
      <c r="GFZ43" s="21"/>
      <c r="GGA43" s="21"/>
      <c r="GGB43" s="21"/>
      <c r="GGC43" s="21"/>
      <c r="GGD43" s="21"/>
      <c r="GGE43" s="21"/>
      <c r="GGF43" s="21"/>
      <c r="GGG43" s="21"/>
      <c r="GGH43" s="21"/>
      <c r="GGI43" s="21"/>
      <c r="GGJ43" s="21"/>
      <c r="GGK43" s="21"/>
      <c r="GGL43" s="21"/>
      <c r="GGM43" s="21"/>
      <c r="GGN43" s="21"/>
      <c r="GGO43" s="21"/>
      <c r="GGP43" s="21"/>
      <c r="GGQ43" s="21"/>
      <c r="GGR43" s="21"/>
      <c r="GGS43" s="21"/>
      <c r="GGT43" s="21"/>
      <c r="GGU43" s="21"/>
      <c r="GGV43" s="21"/>
      <c r="GGW43" s="21"/>
      <c r="GGX43" s="21"/>
      <c r="GGY43" s="21"/>
      <c r="GGZ43" s="21"/>
      <c r="GHA43" s="21"/>
      <c r="GHB43" s="21"/>
      <c r="GHC43" s="21"/>
      <c r="GHD43" s="21"/>
      <c r="GHE43" s="21"/>
      <c r="GHF43" s="21"/>
      <c r="GHG43" s="21"/>
      <c r="GHH43" s="21"/>
      <c r="GHI43" s="21"/>
      <c r="GHJ43" s="21"/>
      <c r="GHK43" s="21"/>
      <c r="GHL43" s="21"/>
      <c r="GHM43" s="21"/>
      <c r="GHN43" s="21"/>
      <c r="GHO43" s="21"/>
      <c r="GHP43" s="21"/>
      <c r="GHQ43" s="21"/>
      <c r="GHR43" s="21"/>
      <c r="GHS43" s="21"/>
      <c r="GHT43" s="21"/>
      <c r="GHU43" s="21"/>
      <c r="GHV43" s="21"/>
      <c r="GHW43" s="21"/>
      <c r="GHX43" s="21"/>
      <c r="GHY43" s="21"/>
      <c r="GHZ43" s="21"/>
      <c r="GIA43" s="21"/>
      <c r="GIB43" s="21"/>
      <c r="GIC43" s="21"/>
      <c r="GID43" s="21"/>
      <c r="GIE43" s="21"/>
      <c r="GIF43" s="21"/>
      <c r="GIG43" s="21"/>
      <c r="GIH43" s="21"/>
      <c r="GII43" s="21"/>
      <c r="GIJ43" s="21"/>
      <c r="GIK43" s="21"/>
      <c r="GIL43" s="21"/>
      <c r="GIM43" s="21"/>
      <c r="GIN43" s="21"/>
      <c r="GIO43" s="21"/>
      <c r="GIP43" s="21"/>
      <c r="GIQ43" s="21"/>
      <c r="GIR43" s="21"/>
      <c r="GIS43" s="21"/>
      <c r="GIT43" s="21"/>
      <c r="GIU43" s="21"/>
      <c r="GIV43" s="21"/>
      <c r="GIW43" s="21"/>
      <c r="GIX43" s="21"/>
      <c r="GIY43" s="21"/>
      <c r="GIZ43" s="21"/>
      <c r="GJA43" s="21"/>
      <c r="GJB43" s="21"/>
      <c r="GJC43" s="21"/>
      <c r="GJD43" s="21"/>
      <c r="GJE43" s="21"/>
      <c r="GJF43" s="21"/>
      <c r="GJG43" s="21"/>
      <c r="GJH43" s="21"/>
      <c r="GJI43" s="21"/>
      <c r="GJJ43" s="21"/>
      <c r="GJK43" s="21"/>
      <c r="GJL43" s="21"/>
      <c r="GJM43" s="21"/>
      <c r="GJN43" s="21"/>
      <c r="GJO43" s="21"/>
      <c r="GJP43" s="21"/>
      <c r="GJQ43" s="21"/>
      <c r="GJR43" s="21"/>
      <c r="GJS43" s="21"/>
      <c r="GJT43" s="21"/>
      <c r="GJU43" s="21"/>
      <c r="GJV43" s="21"/>
      <c r="GJW43" s="21"/>
      <c r="GJX43" s="21"/>
      <c r="GJY43" s="21"/>
      <c r="GJZ43" s="21"/>
      <c r="GKA43" s="21"/>
      <c r="GKB43" s="21"/>
      <c r="GKC43" s="21"/>
      <c r="GKD43" s="21"/>
      <c r="GKE43" s="21"/>
      <c r="GKF43" s="21"/>
      <c r="GKG43" s="21"/>
      <c r="GKH43" s="21"/>
      <c r="GKI43" s="21"/>
      <c r="GKJ43" s="21"/>
      <c r="GKK43" s="21"/>
      <c r="GKL43" s="21"/>
      <c r="GKM43" s="21"/>
      <c r="GKN43" s="21"/>
      <c r="GKO43" s="21"/>
      <c r="GKP43" s="21"/>
      <c r="GKQ43" s="21"/>
      <c r="GKR43" s="21"/>
      <c r="GKS43" s="21"/>
      <c r="GKT43" s="21"/>
      <c r="GKU43" s="21"/>
      <c r="GKV43" s="21"/>
      <c r="GKW43" s="21"/>
      <c r="GKX43" s="21"/>
      <c r="GKY43" s="21"/>
      <c r="GKZ43" s="21"/>
      <c r="GLA43" s="21"/>
      <c r="GLB43" s="21"/>
      <c r="GLC43" s="21"/>
      <c r="GLD43" s="21"/>
      <c r="GLE43" s="21"/>
      <c r="GLF43" s="21"/>
      <c r="GLG43" s="21"/>
      <c r="GLH43" s="21"/>
      <c r="GLI43" s="21"/>
      <c r="GLJ43" s="21"/>
      <c r="GLK43" s="21"/>
      <c r="GLL43" s="21"/>
      <c r="GLM43" s="21"/>
      <c r="GLN43" s="21"/>
      <c r="GLO43" s="21"/>
      <c r="GLP43" s="21"/>
      <c r="GLQ43" s="21"/>
      <c r="GLR43" s="21"/>
      <c r="GLS43" s="21"/>
      <c r="GLT43" s="21"/>
      <c r="GLU43" s="21"/>
      <c r="GLV43" s="21"/>
      <c r="GLW43" s="21"/>
      <c r="GLX43" s="21"/>
      <c r="GLY43" s="21"/>
      <c r="GLZ43" s="21"/>
      <c r="GMA43" s="21"/>
      <c r="GMB43" s="21"/>
      <c r="GMC43" s="21"/>
      <c r="GMD43" s="21"/>
      <c r="GME43" s="21"/>
      <c r="GMF43" s="21"/>
      <c r="GMG43" s="21"/>
      <c r="GMH43" s="21"/>
      <c r="GMI43" s="21"/>
      <c r="GMJ43" s="21"/>
      <c r="GMK43" s="21"/>
      <c r="GML43" s="21"/>
      <c r="GMM43" s="21"/>
      <c r="GMN43" s="21"/>
      <c r="GMO43" s="21"/>
      <c r="GMP43" s="21"/>
      <c r="GMQ43" s="21"/>
      <c r="GMR43" s="21"/>
      <c r="GMS43" s="21"/>
      <c r="GMT43" s="21"/>
      <c r="GMU43" s="21"/>
      <c r="GMV43" s="21"/>
      <c r="GMW43" s="21"/>
      <c r="GMX43" s="21"/>
      <c r="GMY43" s="21"/>
      <c r="GMZ43" s="21"/>
      <c r="GNA43" s="21"/>
      <c r="GNB43" s="21"/>
      <c r="GNC43" s="21"/>
      <c r="GND43" s="21"/>
      <c r="GNE43" s="21"/>
      <c r="GNF43" s="21"/>
      <c r="GNG43" s="21"/>
      <c r="GNH43" s="21"/>
      <c r="GNI43" s="21"/>
      <c r="GNJ43" s="21"/>
      <c r="GNK43" s="21"/>
      <c r="GNL43" s="21"/>
      <c r="GNM43" s="21"/>
      <c r="GNN43" s="21"/>
      <c r="GNO43" s="21"/>
      <c r="GNP43" s="21"/>
      <c r="GNQ43" s="21"/>
      <c r="GNR43" s="21"/>
      <c r="GNS43" s="21"/>
      <c r="GNT43" s="21"/>
      <c r="GNU43" s="21"/>
      <c r="GNV43" s="21"/>
      <c r="GNW43" s="21"/>
      <c r="GNX43" s="21"/>
      <c r="GNY43" s="21"/>
      <c r="GNZ43" s="21"/>
      <c r="GOA43" s="21"/>
      <c r="GOB43" s="21"/>
      <c r="GOC43" s="21"/>
      <c r="GOD43" s="21"/>
      <c r="GOE43" s="21"/>
      <c r="GOF43" s="21"/>
      <c r="GOG43" s="21"/>
      <c r="GOH43" s="21"/>
      <c r="GOI43" s="21"/>
      <c r="GOJ43" s="21"/>
      <c r="GOK43" s="21"/>
      <c r="GOL43" s="21"/>
      <c r="GOM43" s="21"/>
      <c r="GON43" s="21"/>
      <c r="GOO43" s="21"/>
      <c r="GOP43" s="21"/>
      <c r="GOQ43" s="21"/>
      <c r="GOR43" s="21"/>
      <c r="GOS43" s="21"/>
      <c r="GOT43" s="21"/>
      <c r="GOU43" s="21"/>
      <c r="GOV43" s="21"/>
      <c r="GOW43" s="21"/>
      <c r="GOX43" s="21"/>
      <c r="GOY43" s="21"/>
      <c r="GOZ43" s="21"/>
      <c r="GPA43" s="21"/>
      <c r="GPB43" s="21"/>
      <c r="GPC43" s="21"/>
      <c r="GPD43" s="21"/>
      <c r="GPE43" s="21"/>
      <c r="GPF43" s="21"/>
      <c r="GPG43" s="21"/>
      <c r="GPH43" s="21"/>
      <c r="GPI43" s="21"/>
      <c r="GPJ43" s="21"/>
      <c r="GPK43" s="21"/>
      <c r="GPL43" s="21"/>
      <c r="GPM43" s="21"/>
      <c r="GPN43" s="21"/>
      <c r="GPO43" s="21"/>
      <c r="GPP43" s="21"/>
      <c r="GPQ43" s="21"/>
      <c r="GPR43" s="21"/>
      <c r="GPS43" s="21"/>
      <c r="GPT43" s="21"/>
      <c r="GPU43" s="21"/>
      <c r="GPV43" s="21"/>
      <c r="GPW43" s="21"/>
      <c r="GPX43" s="21"/>
      <c r="GPY43" s="21"/>
      <c r="GPZ43" s="21"/>
      <c r="GQA43" s="21"/>
      <c r="GQB43" s="21"/>
      <c r="GQC43" s="21"/>
      <c r="GQD43" s="21"/>
      <c r="GQE43" s="21"/>
      <c r="GQF43" s="21"/>
      <c r="GQG43" s="21"/>
      <c r="GQH43" s="21"/>
      <c r="GQI43" s="21"/>
      <c r="GQJ43" s="21"/>
      <c r="GQK43" s="21"/>
      <c r="GQL43" s="21"/>
      <c r="GQM43" s="21"/>
      <c r="GQN43" s="21"/>
      <c r="GQO43" s="21"/>
      <c r="GQP43" s="21"/>
      <c r="GQQ43" s="21"/>
      <c r="GQR43" s="21"/>
      <c r="GQS43" s="21"/>
      <c r="GQT43" s="21"/>
      <c r="GQU43" s="21"/>
      <c r="GQV43" s="21"/>
      <c r="GQW43" s="21"/>
      <c r="GQX43" s="21"/>
      <c r="GQY43" s="21"/>
      <c r="GQZ43" s="21"/>
      <c r="GRA43" s="21"/>
      <c r="GRB43" s="21"/>
      <c r="GRC43" s="21"/>
      <c r="GRD43" s="21"/>
      <c r="GRE43" s="21"/>
      <c r="GRF43" s="21"/>
      <c r="GRG43" s="21"/>
      <c r="GRH43" s="21"/>
      <c r="GRI43" s="21"/>
      <c r="GRJ43" s="21"/>
      <c r="GRK43" s="21"/>
      <c r="GRL43" s="21"/>
      <c r="GRM43" s="21"/>
      <c r="GRN43" s="21"/>
      <c r="GRO43" s="21"/>
      <c r="GRP43" s="21"/>
      <c r="GRQ43" s="21"/>
      <c r="GRR43" s="21"/>
      <c r="GRS43" s="21"/>
      <c r="GRT43" s="21"/>
      <c r="GRU43" s="21"/>
      <c r="GRV43" s="21"/>
      <c r="GRW43" s="21"/>
      <c r="GRX43" s="21"/>
      <c r="GRY43" s="21"/>
      <c r="GRZ43" s="21"/>
      <c r="GSA43" s="21"/>
      <c r="GSB43" s="21"/>
      <c r="GSC43" s="21"/>
      <c r="GSD43" s="21"/>
      <c r="GSE43" s="21"/>
      <c r="GSF43" s="21"/>
      <c r="GSG43" s="21"/>
      <c r="GSH43" s="21"/>
      <c r="GSI43" s="21"/>
      <c r="GSJ43" s="21"/>
      <c r="GSK43" s="21"/>
      <c r="GSL43" s="21"/>
      <c r="GSM43" s="21"/>
      <c r="GSN43" s="21"/>
      <c r="GSO43" s="21"/>
      <c r="GSP43" s="21"/>
      <c r="GSQ43" s="21"/>
      <c r="GSR43" s="21"/>
      <c r="GSS43" s="21"/>
      <c r="GST43" s="21"/>
      <c r="GSU43" s="21"/>
      <c r="GSV43" s="21"/>
      <c r="GSW43" s="21"/>
      <c r="GSX43" s="21"/>
      <c r="GSY43" s="21"/>
      <c r="GSZ43" s="21"/>
      <c r="GTA43" s="21"/>
      <c r="GTB43" s="21"/>
      <c r="GTC43" s="21"/>
      <c r="GTD43" s="21"/>
      <c r="GTE43" s="21"/>
      <c r="GTF43" s="21"/>
      <c r="GTG43" s="21"/>
      <c r="GTH43" s="21"/>
      <c r="GTI43" s="21"/>
      <c r="GTJ43" s="21"/>
      <c r="GTK43" s="21"/>
      <c r="GTL43" s="21"/>
      <c r="GTM43" s="21"/>
      <c r="GTN43" s="21"/>
      <c r="GTO43" s="21"/>
      <c r="GTP43" s="21"/>
      <c r="GTQ43" s="21"/>
      <c r="GTR43" s="21"/>
      <c r="GTS43" s="21"/>
      <c r="GTT43" s="21"/>
      <c r="GTU43" s="21"/>
      <c r="GTV43" s="21"/>
      <c r="GTW43" s="21"/>
      <c r="GTX43" s="21"/>
      <c r="GTY43" s="21"/>
      <c r="GTZ43" s="21"/>
      <c r="GUA43" s="21"/>
      <c r="GUB43" s="21"/>
      <c r="GUC43" s="21"/>
      <c r="GUD43" s="21"/>
      <c r="GUE43" s="21"/>
      <c r="GUF43" s="21"/>
      <c r="GUG43" s="21"/>
      <c r="GUH43" s="21"/>
      <c r="GUI43" s="21"/>
      <c r="GUJ43" s="21"/>
      <c r="GUK43" s="21"/>
      <c r="GUL43" s="21"/>
      <c r="GUM43" s="21"/>
      <c r="GUN43" s="21"/>
      <c r="GUO43" s="21"/>
      <c r="GUP43" s="21"/>
      <c r="GUQ43" s="21"/>
      <c r="GUR43" s="21"/>
      <c r="GUS43" s="21"/>
      <c r="GUT43" s="21"/>
      <c r="GUU43" s="21"/>
      <c r="GUV43" s="21"/>
      <c r="GUW43" s="21"/>
      <c r="GUX43" s="21"/>
      <c r="GUY43" s="21"/>
      <c r="GUZ43" s="21"/>
      <c r="GVA43" s="21"/>
      <c r="GVB43" s="21"/>
      <c r="GVC43" s="21"/>
      <c r="GVD43" s="21"/>
      <c r="GVE43" s="21"/>
      <c r="GVF43" s="21"/>
      <c r="GVG43" s="21"/>
      <c r="GVH43" s="21"/>
      <c r="GVI43" s="21"/>
      <c r="GVJ43" s="21"/>
      <c r="GVK43" s="21"/>
      <c r="GVL43" s="21"/>
      <c r="GVM43" s="21"/>
      <c r="GVN43" s="21"/>
      <c r="GVO43" s="21"/>
      <c r="GVP43" s="21"/>
      <c r="GVQ43" s="21"/>
      <c r="GVR43" s="21"/>
      <c r="GVS43" s="21"/>
      <c r="GVT43" s="21"/>
      <c r="GVU43" s="21"/>
      <c r="GVV43" s="21"/>
      <c r="GVW43" s="21"/>
      <c r="GVX43" s="21"/>
      <c r="GVY43" s="21"/>
      <c r="GVZ43" s="21"/>
      <c r="GWA43" s="21"/>
      <c r="GWB43" s="21"/>
      <c r="GWC43" s="21"/>
      <c r="GWD43" s="21"/>
      <c r="GWE43" s="21"/>
      <c r="GWF43" s="21"/>
      <c r="GWG43" s="21"/>
      <c r="GWH43" s="21"/>
      <c r="GWI43" s="21"/>
      <c r="GWJ43" s="21"/>
      <c r="GWK43" s="21"/>
      <c r="GWL43" s="21"/>
      <c r="GWM43" s="21"/>
      <c r="GWN43" s="21"/>
      <c r="GWO43" s="21"/>
      <c r="GWP43" s="21"/>
      <c r="GWQ43" s="21"/>
      <c r="GWR43" s="21"/>
      <c r="GWS43" s="21"/>
      <c r="GWT43" s="21"/>
      <c r="GWU43" s="21"/>
      <c r="GWV43" s="21"/>
      <c r="GWW43" s="21"/>
      <c r="GWX43" s="21"/>
      <c r="GWY43" s="21"/>
      <c r="GWZ43" s="21"/>
      <c r="GXA43" s="21"/>
      <c r="GXB43" s="21"/>
      <c r="GXC43" s="21"/>
      <c r="GXD43" s="21"/>
      <c r="GXE43" s="21"/>
      <c r="GXF43" s="21"/>
      <c r="GXG43" s="21"/>
      <c r="GXH43" s="21"/>
      <c r="GXI43" s="21"/>
      <c r="GXJ43" s="21"/>
      <c r="GXK43" s="21"/>
      <c r="GXL43" s="21"/>
      <c r="GXM43" s="21"/>
      <c r="GXN43" s="21"/>
      <c r="GXO43" s="21"/>
      <c r="GXP43" s="21"/>
      <c r="GXQ43" s="21"/>
      <c r="GXR43" s="21"/>
      <c r="GXS43" s="21"/>
      <c r="GXT43" s="21"/>
      <c r="GXU43" s="21"/>
      <c r="GXV43" s="21"/>
      <c r="GXW43" s="21"/>
      <c r="GXX43" s="21"/>
      <c r="GXY43" s="21"/>
      <c r="GXZ43" s="21"/>
      <c r="GYA43" s="21"/>
      <c r="GYB43" s="21"/>
      <c r="GYC43" s="21"/>
      <c r="GYD43" s="21"/>
      <c r="GYE43" s="21"/>
      <c r="GYF43" s="21"/>
      <c r="GYG43" s="21"/>
      <c r="GYH43" s="21"/>
      <c r="GYI43" s="21"/>
      <c r="GYJ43" s="21"/>
      <c r="GYK43" s="21"/>
      <c r="GYL43" s="21"/>
      <c r="GYM43" s="21"/>
      <c r="GYN43" s="21"/>
      <c r="GYO43" s="21"/>
      <c r="GYP43" s="21"/>
      <c r="GYQ43" s="21"/>
      <c r="GYR43" s="21"/>
      <c r="GYS43" s="21"/>
      <c r="GYT43" s="21"/>
      <c r="GYU43" s="21"/>
      <c r="GYV43" s="21"/>
      <c r="GYW43" s="21"/>
      <c r="GYX43" s="21"/>
      <c r="GYY43" s="21"/>
      <c r="GYZ43" s="21"/>
      <c r="GZA43" s="21"/>
      <c r="GZB43" s="21"/>
      <c r="GZC43" s="21"/>
      <c r="GZD43" s="21"/>
      <c r="GZE43" s="21"/>
      <c r="GZF43" s="21"/>
      <c r="GZG43" s="21"/>
      <c r="GZH43" s="21"/>
      <c r="GZI43" s="21"/>
      <c r="GZJ43" s="21"/>
      <c r="GZK43" s="21"/>
      <c r="GZL43" s="21"/>
      <c r="GZM43" s="21"/>
      <c r="GZN43" s="21"/>
      <c r="GZO43" s="21"/>
      <c r="GZP43" s="21"/>
      <c r="GZQ43" s="21"/>
      <c r="GZR43" s="21"/>
      <c r="GZS43" s="21"/>
      <c r="GZT43" s="21"/>
      <c r="GZU43" s="21"/>
      <c r="GZV43" s="21"/>
      <c r="GZW43" s="21"/>
      <c r="GZX43" s="21"/>
      <c r="GZY43" s="21"/>
      <c r="GZZ43" s="21"/>
      <c r="HAA43" s="21"/>
      <c r="HAB43" s="21"/>
      <c r="HAC43" s="21"/>
      <c r="HAD43" s="21"/>
      <c r="HAE43" s="21"/>
      <c r="HAF43" s="21"/>
      <c r="HAG43" s="21"/>
      <c r="HAH43" s="21"/>
      <c r="HAI43" s="21"/>
      <c r="HAJ43" s="21"/>
      <c r="HAK43" s="21"/>
      <c r="HAL43" s="21"/>
      <c r="HAM43" s="21"/>
      <c r="HAN43" s="21"/>
      <c r="HAO43" s="21"/>
      <c r="HAP43" s="21"/>
      <c r="HAQ43" s="21"/>
      <c r="HAR43" s="21"/>
      <c r="HAS43" s="21"/>
      <c r="HAT43" s="21"/>
      <c r="HAU43" s="21"/>
      <c r="HAV43" s="21"/>
      <c r="HAW43" s="21"/>
      <c r="HAX43" s="21"/>
      <c r="HAY43" s="21"/>
      <c r="HAZ43" s="21"/>
      <c r="HBA43" s="21"/>
      <c r="HBB43" s="21"/>
      <c r="HBC43" s="21"/>
      <c r="HBD43" s="21"/>
      <c r="HBE43" s="21"/>
      <c r="HBF43" s="21"/>
      <c r="HBG43" s="21"/>
      <c r="HBH43" s="21"/>
      <c r="HBI43" s="21"/>
      <c r="HBJ43" s="21"/>
      <c r="HBK43" s="21"/>
      <c r="HBL43" s="21"/>
      <c r="HBM43" s="21"/>
      <c r="HBN43" s="21"/>
      <c r="HBO43" s="21"/>
      <c r="HBP43" s="21"/>
      <c r="HBQ43" s="21"/>
      <c r="HBR43" s="21"/>
      <c r="HBS43" s="21"/>
      <c r="HBT43" s="21"/>
      <c r="HBU43" s="21"/>
      <c r="HBV43" s="21"/>
      <c r="HBW43" s="21"/>
      <c r="HBX43" s="21"/>
      <c r="HBY43" s="21"/>
      <c r="HBZ43" s="21"/>
      <c r="HCA43" s="21"/>
      <c r="HCB43" s="21"/>
      <c r="HCC43" s="21"/>
      <c r="HCD43" s="21"/>
      <c r="HCE43" s="21"/>
      <c r="HCF43" s="21"/>
      <c r="HCG43" s="21"/>
      <c r="HCH43" s="21"/>
      <c r="HCI43" s="21"/>
      <c r="HCJ43" s="21"/>
      <c r="HCK43" s="21"/>
      <c r="HCL43" s="21"/>
      <c r="HCM43" s="21"/>
      <c r="HCN43" s="21"/>
      <c r="HCO43" s="21"/>
      <c r="HCP43" s="21"/>
      <c r="HCQ43" s="21"/>
      <c r="HCR43" s="21"/>
      <c r="HCS43" s="21"/>
      <c r="HCT43" s="21"/>
      <c r="HCU43" s="21"/>
      <c r="HCV43" s="21"/>
      <c r="HCW43" s="21"/>
      <c r="HCX43" s="21"/>
      <c r="HCY43" s="21"/>
      <c r="HCZ43" s="21"/>
      <c r="HDA43" s="21"/>
      <c r="HDB43" s="21"/>
      <c r="HDC43" s="21"/>
      <c r="HDD43" s="21"/>
      <c r="HDE43" s="21"/>
      <c r="HDF43" s="21"/>
      <c r="HDG43" s="21"/>
      <c r="HDH43" s="21"/>
      <c r="HDI43" s="21"/>
      <c r="HDJ43" s="21"/>
      <c r="HDK43" s="21"/>
      <c r="HDL43" s="21"/>
      <c r="HDM43" s="21"/>
      <c r="HDN43" s="21"/>
      <c r="HDO43" s="21"/>
      <c r="HDP43" s="21"/>
      <c r="HDQ43" s="21"/>
      <c r="HDR43" s="21"/>
      <c r="HDS43" s="21"/>
      <c r="HDT43" s="21"/>
      <c r="HDU43" s="21"/>
      <c r="HDV43" s="21"/>
      <c r="HDW43" s="21"/>
      <c r="HDX43" s="21"/>
      <c r="HDY43" s="21"/>
      <c r="HDZ43" s="21"/>
      <c r="HEA43" s="21"/>
      <c r="HEB43" s="21"/>
      <c r="HEC43" s="21"/>
      <c r="HED43" s="21"/>
      <c r="HEE43" s="21"/>
      <c r="HEF43" s="21"/>
      <c r="HEG43" s="21"/>
      <c r="HEH43" s="21"/>
      <c r="HEI43" s="21"/>
      <c r="HEJ43" s="21"/>
      <c r="HEK43" s="21"/>
      <c r="HEL43" s="21"/>
      <c r="HEM43" s="21"/>
      <c r="HEN43" s="21"/>
      <c r="HEO43" s="21"/>
      <c r="HEP43" s="21"/>
      <c r="HEQ43" s="21"/>
      <c r="HER43" s="21"/>
      <c r="HES43" s="21"/>
      <c r="HET43" s="21"/>
      <c r="HEU43" s="21"/>
      <c r="HEV43" s="21"/>
      <c r="HEW43" s="21"/>
      <c r="HEX43" s="21"/>
      <c r="HEY43" s="21"/>
      <c r="HEZ43" s="21"/>
      <c r="HFA43" s="21"/>
      <c r="HFB43" s="21"/>
      <c r="HFC43" s="21"/>
      <c r="HFD43" s="21"/>
      <c r="HFE43" s="21"/>
      <c r="HFF43" s="21"/>
      <c r="HFG43" s="21"/>
      <c r="HFH43" s="21"/>
      <c r="HFI43" s="21"/>
      <c r="HFJ43" s="21"/>
      <c r="HFK43" s="21"/>
      <c r="HFL43" s="21"/>
      <c r="HFM43" s="21"/>
      <c r="HFN43" s="21"/>
      <c r="HFO43" s="21"/>
      <c r="HFP43" s="21"/>
      <c r="HFQ43" s="21"/>
      <c r="HFR43" s="21"/>
      <c r="HFS43" s="21"/>
      <c r="HFT43" s="21"/>
      <c r="HFU43" s="21"/>
      <c r="HFV43" s="21"/>
      <c r="HFW43" s="21"/>
      <c r="HFX43" s="21"/>
      <c r="HFY43" s="21"/>
      <c r="HFZ43" s="21"/>
      <c r="HGA43" s="21"/>
      <c r="HGB43" s="21"/>
      <c r="HGC43" s="21"/>
      <c r="HGD43" s="21"/>
      <c r="HGE43" s="21"/>
      <c r="HGF43" s="21"/>
      <c r="HGG43" s="21"/>
      <c r="HGH43" s="21"/>
      <c r="HGI43" s="21"/>
      <c r="HGJ43" s="21"/>
      <c r="HGK43" s="21"/>
      <c r="HGL43" s="21"/>
      <c r="HGM43" s="21"/>
      <c r="HGN43" s="21"/>
      <c r="HGO43" s="21"/>
      <c r="HGP43" s="21"/>
      <c r="HGQ43" s="21"/>
      <c r="HGR43" s="21"/>
      <c r="HGS43" s="21"/>
      <c r="HGT43" s="21"/>
      <c r="HGU43" s="21"/>
      <c r="HGV43" s="21"/>
      <c r="HGW43" s="21"/>
      <c r="HGX43" s="21"/>
      <c r="HGY43" s="21"/>
      <c r="HGZ43" s="21"/>
      <c r="HHA43" s="21"/>
      <c r="HHB43" s="21"/>
      <c r="HHC43" s="21"/>
      <c r="HHD43" s="21"/>
      <c r="HHE43" s="21"/>
      <c r="HHF43" s="21"/>
      <c r="HHG43" s="21"/>
      <c r="HHH43" s="21"/>
      <c r="HHI43" s="21"/>
      <c r="HHJ43" s="21"/>
      <c r="HHK43" s="21"/>
      <c r="HHL43" s="21"/>
      <c r="HHM43" s="21"/>
      <c r="HHN43" s="21"/>
      <c r="HHO43" s="21"/>
      <c r="HHP43" s="21"/>
      <c r="HHQ43" s="21"/>
      <c r="HHR43" s="21"/>
      <c r="HHS43" s="21"/>
      <c r="HHT43" s="21"/>
      <c r="HHU43" s="21"/>
      <c r="HHV43" s="21"/>
      <c r="HHW43" s="21"/>
      <c r="HHX43" s="21"/>
      <c r="HHY43" s="21"/>
      <c r="HHZ43" s="21"/>
      <c r="HIA43" s="21"/>
      <c r="HIB43" s="21"/>
      <c r="HIC43" s="21"/>
      <c r="HID43" s="21"/>
      <c r="HIE43" s="21"/>
      <c r="HIF43" s="21"/>
      <c r="HIG43" s="21"/>
      <c r="HIH43" s="21"/>
      <c r="HII43" s="21"/>
      <c r="HIJ43" s="21"/>
      <c r="HIK43" s="21"/>
      <c r="HIL43" s="21"/>
      <c r="HIM43" s="21"/>
      <c r="HIN43" s="21"/>
      <c r="HIO43" s="21"/>
      <c r="HIP43" s="21"/>
      <c r="HIQ43" s="21"/>
      <c r="HIR43" s="21"/>
      <c r="HIS43" s="21"/>
      <c r="HIT43" s="21"/>
      <c r="HIU43" s="21"/>
      <c r="HIV43" s="21"/>
      <c r="HIW43" s="21"/>
      <c r="HIX43" s="21"/>
      <c r="HIY43" s="21"/>
      <c r="HIZ43" s="21"/>
      <c r="HJA43" s="21"/>
      <c r="HJB43" s="21"/>
      <c r="HJC43" s="21"/>
      <c r="HJD43" s="21"/>
      <c r="HJE43" s="21"/>
      <c r="HJF43" s="21"/>
      <c r="HJG43" s="21"/>
      <c r="HJH43" s="21"/>
      <c r="HJI43" s="21"/>
      <c r="HJJ43" s="21"/>
      <c r="HJK43" s="21"/>
      <c r="HJL43" s="21"/>
      <c r="HJM43" s="21"/>
      <c r="HJN43" s="21"/>
      <c r="HJO43" s="21"/>
      <c r="HJP43" s="21"/>
      <c r="HJQ43" s="21"/>
      <c r="HJR43" s="21"/>
      <c r="HJS43" s="21"/>
      <c r="HJT43" s="21"/>
      <c r="HJU43" s="21"/>
      <c r="HJV43" s="21"/>
      <c r="HJW43" s="21"/>
      <c r="HJX43" s="21"/>
      <c r="HJY43" s="21"/>
      <c r="HJZ43" s="21"/>
      <c r="HKA43" s="21"/>
      <c r="HKB43" s="21"/>
      <c r="HKC43" s="21"/>
      <c r="HKD43" s="21"/>
      <c r="HKE43" s="21"/>
      <c r="HKF43" s="21"/>
      <c r="HKG43" s="21"/>
      <c r="HKH43" s="21"/>
      <c r="HKI43" s="21"/>
      <c r="HKJ43" s="21"/>
      <c r="HKK43" s="21"/>
      <c r="HKL43" s="21"/>
      <c r="HKM43" s="21"/>
      <c r="HKN43" s="21"/>
      <c r="HKO43" s="21"/>
      <c r="HKP43" s="21"/>
      <c r="HKQ43" s="21"/>
      <c r="HKR43" s="21"/>
      <c r="HKS43" s="21"/>
      <c r="HKT43" s="21"/>
      <c r="HKU43" s="21"/>
      <c r="HKV43" s="21"/>
      <c r="HKW43" s="21"/>
      <c r="HKX43" s="21"/>
      <c r="HKY43" s="21"/>
      <c r="HKZ43" s="21"/>
      <c r="HLA43" s="21"/>
      <c r="HLB43" s="21"/>
      <c r="HLC43" s="21"/>
      <c r="HLD43" s="21"/>
      <c r="HLE43" s="21"/>
      <c r="HLF43" s="21"/>
      <c r="HLG43" s="21"/>
      <c r="HLH43" s="21"/>
      <c r="HLI43" s="21"/>
      <c r="HLJ43" s="21"/>
      <c r="HLK43" s="21"/>
      <c r="HLL43" s="21"/>
      <c r="HLM43" s="21"/>
      <c r="HLN43" s="21"/>
      <c r="HLO43" s="21"/>
      <c r="HLP43" s="21"/>
      <c r="HLQ43" s="21"/>
      <c r="HLR43" s="21"/>
      <c r="HLS43" s="21"/>
      <c r="HLT43" s="21"/>
      <c r="HLU43" s="21"/>
      <c r="HLV43" s="21"/>
      <c r="HLW43" s="21"/>
      <c r="HLX43" s="21"/>
      <c r="HLY43" s="21"/>
      <c r="HLZ43" s="21"/>
      <c r="HMA43" s="21"/>
      <c r="HMB43" s="21"/>
      <c r="HMC43" s="21"/>
      <c r="HMD43" s="21"/>
      <c r="HME43" s="21"/>
      <c r="HMF43" s="21"/>
      <c r="HMG43" s="21"/>
      <c r="HMH43" s="21"/>
      <c r="HMI43" s="21"/>
      <c r="HMJ43" s="21"/>
      <c r="HMK43" s="21"/>
      <c r="HML43" s="21"/>
      <c r="HMM43" s="21"/>
      <c r="HMN43" s="21"/>
      <c r="HMO43" s="21"/>
      <c r="HMP43" s="21"/>
      <c r="HMQ43" s="21"/>
      <c r="HMR43" s="21"/>
      <c r="HMS43" s="21"/>
      <c r="HMT43" s="21"/>
      <c r="HMU43" s="21"/>
      <c r="HMV43" s="21"/>
      <c r="HMW43" s="21"/>
      <c r="HMX43" s="21"/>
      <c r="HMY43" s="21"/>
      <c r="HMZ43" s="21"/>
      <c r="HNA43" s="21"/>
      <c r="HNB43" s="21"/>
      <c r="HNC43" s="21"/>
      <c r="HND43" s="21"/>
      <c r="HNE43" s="21"/>
      <c r="HNF43" s="21"/>
      <c r="HNG43" s="21"/>
      <c r="HNH43" s="21"/>
      <c r="HNI43" s="21"/>
      <c r="HNJ43" s="21"/>
      <c r="HNK43" s="21"/>
      <c r="HNL43" s="21"/>
      <c r="HNM43" s="21"/>
      <c r="HNN43" s="21"/>
      <c r="HNO43" s="21"/>
      <c r="HNP43" s="21"/>
      <c r="HNQ43" s="21"/>
      <c r="HNR43" s="21"/>
      <c r="HNS43" s="21"/>
      <c r="HNT43" s="21"/>
      <c r="HNU43" s="21"/>
      <c r="HNV43" s="21"/>
      <c r="HNW43" s="21"/>
      <c r="HNX43" s="21"/>
      <c r="HNY43" s="21"/>
      <c r="HNZ43" s="21"/>
      <c r="HOA43" s="21"/>
      <c r="HOB43" s="21"/>
      <c r="HOC43" s="21"/>
      <c r="HOD43" s="21"/>
      <c r="HOE43" s="21"/>
      <c r="HOF43" s="21"/>
      <c r="HOG43" s="21"/>
      <c r="HOH43" s="21"/>
      <c r="HOI43" s="21"/>
      <c r="HOJ43" s="21"/>
      <c r="HOK43" s="21"/>
      <c r="HOL43" s="21"/>
      <c r="HOM43" s="21"/>
      <c r="HON43" s="21"/>
      <c r="HOO43" s="21"/>
      <c r="HOP43" s="21"/>
      <c r="HOQ43" s="21"/>
      <c r="HOR43" s="21"/>
      <c r="HOS43" s="21"/>
      <c r="HOT43" s="21"/>
      <c r="HOU43" s="21"/>
      <c r="HOV43" s="21"/>
      <c r="HOW43" s="21"/>
      <c r="HOX43" s="21"/>
      <c r="HOY43" s="21"/>
      <c r="HOZ43" s="21"/>
      <c r="HPA43" s="21"/>
      <c r="HPB43" s="21"/>
      <c r="HPC43" s="21"/>
      <c r="HPD43" s="21"/>
      <c r="HPE43" s="21"/>
      <c r="HPF43" s="21"/>
      <c r="HPG43" s="21"/>
      <c r="HPH43" s="21"/>
      <c r="HPI43" s="21"/>
      <c r="HPJ43" s="21"/>
      <c r="HPK43" s="21"/>
      <c r="HPL43" s="21"/>
      <c r="HPM43" s="21"/>
      <c r="HPN43" s="21"/>
      <c r="HPO43" s="21"/>
      <c r="HPP43" s="21"/>
      <c r="HPQ43" s="21"/>
      <c r="HPR43" s="21"/>
      <c r="HPS43" s="21"/>
      <c r="HPT43" s="21"/>
      <c r="HPU43" s="21"/>
      <c r="HPV43" s="21"/>
      <c r="HPW43" s="21"/>
      <c r="HPX43" s="21"/>
      <c r="HPY43" s="21"/>
      <c r="HPZ43" s="21"/>
      <c r="HQA43" s="21"/>
      <c r="HQB43" s="21"/>
      <c r="HQC43" s="21"/>
      <c r="HQD43" s="21"/>
      <c r="HQE43" s="21"/>
      <c r="HQF43" s="21"/>
      <c r="HQG43" s="21"/>
      <c r="HQH43" s="21"/>
      <c r="HQI43" s="21"/>
      <c r="HQJ43" s="21"/>
      <c r="HQK43" s="21"/>
      <c r="HQL43" s="21"/>
      <c r="HQM43" s="21"/>
      <c r="HQN43" s="21"/>
      <c r="HQO43" s="21"/>
      <c r="HQP43" s="21"/>
      <c r="HQQ43" s="21"/>
      <c r="HQR43" s="21"/>
      <c r="HQS43" s="21"/>
      <c r="HQT43" s="21"/>
      <c r="HQU43" s="21"/>
      <c r="HQV43" s="21"/>
      <c r="HQW43" s="21"/>
      <c r="HQX43" s="21"/>
      <c r="HQY43" s="21"/>
      <c r="HQZ43" s="21"/>
      <c r="HRA43" s="21"/>
      <c r="HRB43" s="21"/>
      <c r="HRC43" s="21"/>
      <c r="HRD43" s="21"/>
      <c r="HRE43" s="21"/>
      <c r="HRF43" s="21"/>
      <c r="HRG43" s="21"/>
      <c r="HRH43" s="21"/>
      <c r="HRI43" s="21"/>
      <c r="HRJ43" s="21"/>
      <c r="HRK43" s="21"/>
      <c r="HRL43" s="21"/>
      <c r="HRM43" s="21"/>
      <c r="HRN43" s="21"/>
      <c r="HRO43" s="21"/>
      <c r="HRP43" s="21"/>
      <c r="HRQ43" s="21"/>
      <c r="HRR43" s="21"/>
      <c r="HRS43" s="21"/>
      <c r="HRT43" s="21"/>
      <c r="HRU43" s="21"/>
      <c r="HRV43" s="21"/>
      <c r="HRW43" s="21"/>
      <c r="HRX43" s="21"/>
      <c r="HRY43" s="21"/>
      <c r="HRZ43" s="21"/>
      <c r="HSA43" s="21"/>
      <c r="HSB43" s="21"/>
      <c r="HSC43" s="21"/>
      <c r="HSD43" s="21"/>
      <c r="HSE43" s="21"/>
      <c r="HSF43" s="21"/>
      <c r="HSG43" s="21"/>
      <c r="HSH43" s="21"/>
      <c r="HSI43" s="21"/>
      <c r="HSJ43" s="21"/>
      <c r="HSK43" s="21"/>
      <c r="HSL43" s="21"/>
      <c r="HSM43" s="21"/>
      <c r="HSN43" s="21"/>
      <c r="HSO43" s="21"/>
      <c r="HSP43" s="21"/>
      <c r="HSQ43" s="21"/>
      <c r="HSR43" s="21"/>
      <c r="HSS43" s="21"/>
      <c r="HST43" s="21"/>
      <c r="HSU43" s="21"/>
      <c r="HSV43" s="21"/>
      <c r="HSW43" s="21"/>
      <c r="HSX43" s="21"/>
      <c r="HSY43" s="21"/>
      <c r="HSZ43" s="21"/>
      <c r="HTA43" s="21"/>
      <c r="HTB43" s="21"/>
      <c r="HTC43" s="21"/>
      <c r="HTD43" s="21"/>
      <c r="HTE43" s="21"/>
      <c r="HTF43" s="21"/>
      <c r="HTG43" s="21"/>
      <c r="HTH43" s="21"/>
      <c r="HTI43" s="21"/>
      <c r="HTJ43" s="21"/>
      <c r="HTK43" s="21"/>
      <c r="HTL43" s="21"/>
      <c r="HTM43" s="21"/>
      <c r="HTN43" s="21"/>
      <c r="HTO43" s="21"/>
      <c r="HTP43" s="21"/>
      <c r="HTQ43" s="21"/>
      <c r="HTR43" s="21"/>
      <c r="HTS43" s="21"/>
      <c r="HTT43" s="21"/>
      <c r="HTU43" s="21"/>
      <c r="HTV43" s="21"/>
      <c r="HTW43" s="21"/>
      <c r="HTX43" s="21"/>
      <c r="HTY43" s="21"/>
      <c r="HTZ43" s="21"/>
      <c r="HUA43" s="21"/>
      <c r="HUB43" s="21"/>
      <c r="HUC43" s="21"/>
      <c r="HUD43" s="21"/>
      <c r="HUE43" s="21"/>
      <c r="HUF43" s="21"/>
      <c r="HUG43" s="21"/>
      <c r="HUH43" s="21"/>
      <c r="HUI43" s="21"/>
      <c r="HUJ43" s="21"/>
      <c r="HUK43" s="21"/>
      <c r="HUL43" s="21"/>
      <c r="HUM43" s="21"/>
      <c r="HUN43" s="21"/>
      <c r="HUO43" s="21"/>
      <c r="HUP43" s="21"/>
      <c r="HUQ43" s="21"/>
      <c r="HUR43" s="21"/>
      <c r="HUS43" s="21"/>
      <c r="HUT43" s="21"/>
      <c r="HUU43" s="21"/>
      <c r="HUV43" s="21"/>
      <c r="HUW43" s="21"/>
      <c r="HUX43" s="21"/>
      <c r="HUY43" s="21"/>
      <c r="HUZ43" s="21"/>
      <c r="HVA43" s="21"/>
      <c r="HVB43" s="21"/>
      <c r="HVC43" s="21"/>
      <c r="HVD43" s="21"/>
      <c r="HVE43" s="21"/>
      <c r="HVF43" s="21"/>
      <c r="HVG43" s="21"/>
      <c r="HVH43" s="21"/>
      <c r="HVI43" s="21"/>
      <c r="HVJ43" s="21"/>
      <c r="HVK43" s="21"/>
      <c r="HVL43" s="21"/>
      <c r="HVM43" s="21"/>
      <c r="HVN43" s="21"/>
      <c r="HVO43" s="21"/>
      <c r="HVP43" s="21"/>
      <c r="HVQ43" s="21"/>
      <c r="HVR43" s="21"/>
      <c r="HVS43" s="21"/>
      <c r="HVT43" s="21"/>
      <c r="HVU43" s="21"/>
      <c r="HVV43" s="21"/>
      <c r="HVW43" s="21"/>
      <c r="HVX43" s="21"/>
      <c r="HVY43" s="21"/>
      <c r="HVZ43" s="21"/>
      <c r="HWA43" s="21"/>
      <c r="HWB43" s="21"/>
      <c r="HWC43" s="21"/>
      <c r="HWD43" s="21"/>
      <c r="HWE43" s="21"/>
      <c r="HWF43" s="21"/>
      <c r="HWG43" s="21"/>
      <c r="HWH43" s="21"/>
      <c r="HWI43" s="21"/>
      <c r="HWJ43" s="21"/>
      <c r="HWK43" s="21"/>
      <c r="HWL43" s="21"/>
      <c r="HWM43" s="21"/>
      <c r="HWN43" s="21"/>
      <c r="HWO43" s="21"/>
      <c r="HWP43" s="21"/>
      <c r="HWQ43" s="21"/>
      <c r="HWR43" s="21"/>
      <c r="HWS43" s="21"/>
      <c r="HWT43" s="21"/>
      <c r="HWU43" s="21"/>
      <c r="HWV43" s="21"/>
      <c r="HWW43" s="21"/>
      <c r="HWX43" s="21"/>
      <c r="HWY43" s="21"/>
      <c r="HWZ43" s="21"/>
      <c r="HXA43" s="21"/>
      <c r="HXB43" s="21"/>
      <c r="HXC43" s="21"/>
      <c r="HXD43" s="21"/>
      <c r="HXE43" s="21"/>
      <c r="HXF43" s="21"/>
      <c r="HXG43" s="21"/>
      <c r="HXH43" s="21"/>
      <c r="HXI43" s="21"/>
      <c r="HXJ43" s="21"/>
      <c r="HXK43" s="21"/>
      <c r="HXL43" s="21"/>
      <c r="HXM43" s="21"/>
      <c r="HXN43" s="21"/>
      <c r="HXO43" s="21"/>
      <c r="HXP43" s="21"/>
      <c r="HXQ43" s="21"/>
      <c r="HXR43" s="21"/>
      <c r="HXS43" s="21"/>
      <c r="HXT43" s="21"/>
      <c r="HXU43" s="21"/>
      <c r="HXV43" s="21"/>
      <c r="HXW43" s="21"/>
      <c r="HXX43" s="21"/>
      <c r="HXY43" s="21"/>
      <c r="HXZ43" s="21"/>
      <c r="HYA43" s="21"/>
      <c r="HYB43" s="21"/>
      <c r="HYC43" s="21"/>
      <c r="HYD43" s="21"/>
      <c r="HYE43" s="21"/>
      <c r="HYF43" s="21"/>
      <c r="HYG43" s="21"/>
      <c r="HYH43" s="21"/>
      <c r="HYI43" s="21"/>
      <c r="HYJ43" s="21"/>
      <c r="HYK43" s="21"/>
      <c r="HYL43" s="21"/>
      <c r="HYM43" s="21"/>
      <c r="HYN43" s="21"/>
      <c r="HYO43" s="21"/>
      <c r="HYP43" s="21"/>
      <c r="HYQ43" s="21"/>
      <c r="HYR43" s="21"/>
      <c r="HYS43" s="21"/>
      <c r="HYT43" s="21"/>
      <c r="HYU43" s="21"/>
      <c r="HYV43" s="21"/>
      <c r="HYW43" s="21"/>
      <c r="HYX43" s="21"/>
      <c r="HYY43" s="21"/>
      <c r="HYZ43" s="21"/>
      <c r="HZA43" s="21"/>
      <c r="HZB43" s="21"/>
      <c r="HZC43" s="21"/>
      <c r="HZD43" s="21"/>
      <c r="HZE43" s="21"/>
      <c r="HZF43" s="21"/>
      <c r="HZG43" s="21"/>
      <c r="HZH43" s="21"/>
      <c r="HZI43" s="21"/>
      <c r="HZJ43" s="21"/>
      <c r="HZK43" s="21"/>
      <c r="HZL43" s="21"/>
      <c r="HZM43" s="21"/>
      <c r="HZN43" s="21"/>
      <c r="HZO43" s="21"/>
      <c r="HZP43" s="21"/>
      <c r="HZQ43" s="21"/>
      <c r="HZR43" s="21"/>
      <c r="HZS43" s="21"/>
      <c r="HZT43" s="21"/>
      <c r="HZU43" s="21"/>
      <c r="HZV43" s="21"/>
      <c r="HZW43" s="21"/>
      <c r="HZX43" s="21"/>
      <c r="HZY43" s="21"/>
      <c r="HZZ43" s="21"/>
      <c r="IAA43" s="21"/>
      <c r="IAB43" s="21"/>
      <c r="IAC43" s="21"/>
      <c r="IAD43" s="21"/>
      <c r="IAE43" s="21"/>
      <c r="IAF43" s="21"/>
      <c r="IAG43" s="21"/>
      <c r="IAH43" s="21"/>
      <c r="IAI43" s="21"/>
      <c r="IAJ43" s="21"/>
      <c r="IAK43" s="21"/>
      <c r="IAL43" s="21"/>
      <c r="IAM43" s="21"/>
      <c r="IAN43" s="21"/>
      <c r="IAO43" s="21"/>
      <c r="IAP43" s="21"/>
      <c r="IAQ43" s="21"/>
      <c r="IAR43" s="21"/>
      <c r="IAS43" s="21"/>
      <c r="IAT43" s="21"/>
      <c r="IAU43" s="21"/>
      <c r="IAV43" s="21"/>
      <c r="IAW43" s="21"/>
      <c r="IAX43" s="21"/>
      <c r="IAY43" s="21"/>
      <c r="IAZ43" s="21"/>
      <c r="IBA43" s="21"/>
      <c r="IBB43" s="21"/>
      <c r="IBC43" s="21"/>
      <c r="IBD43" s="21"/>
      <c r="IBE43" s="21"/>
      <c r="IBF43" s="21"/>
      <c r="IBG43" s="21"/>
      <c r="IBH43" s="21"/>
      <c r="IBI43" s="21"/>
      <c r="IBJ43" s="21"/>
      <c r="IBK43" s="21"/>
      <c r="IBL43" s="21"/>
      <c r="IBM43" s="21"/>
      <c r="IBN43" s="21"/>
      <c r="IBO43" s="21"/>
      <c r="IBP43" s="21"/>
      <c r="IBQ43" s="21"/>
      <c r="IBR43" s="21"/>
      <c r="IBS43" s="21"/>
      <c r="IBT43" s="21"/>
      <c r="IBU43" s="21"/>
      <c r="IBV43" s="21"/>
      <c r="IBW43" s="21"/>
      <c r="IBX43" s="21"/>
      <c r="IBY43" s="21"/>
      <c r="IBZ43" s="21"/>
      <c r="ICA43" s="21"/>
      <c r="ICB43" s="21"/>
      <c r="ICC43" s="21"/>
      <c r="ICD43" s="21"/>
      <c r="ICE43" s="21"/>
      <c r="ICF43" s="21"/>
      <c r="ICG43" s="21"/>
      <c r="ICH43" s="21"/>
      <c r="ICI43" s="21"/>
      <c r="ICJ43" s="21"/>
      <c r="ICK43" s="21"/>
      <c r="ICL43" s="21"/>
      <c r="ICM43" s="21"/>
      <c r="ICN43" s="21"/>
      <c r="ICO43" s="21"/>
      <c r="ICP43" s="21"/>
      <c r="ICQ43" s="21"/>
      <c r="ICR43" s="21"/>
      <c r="ICS43" s="21"/>
      <c r="ICT43" s="21"/>
      <c r="ICU43" s="21"/>
      <c r="ICV43" s="21"/>
      <c r="ICW43" s="21"/>
      <c r="ICX43" s="21"/>
      <c r="ICY43" s="21"/>
      <c r="ICZ43" s="21"/>
      <c r="IDA43" s="21"/>
      <c r="IDB43" s="21"/>
      <c r="IDC43" s="21"/>
      <c r="IDD43" s="21"/>
      <c r="IDE43" s="21"/>
      <c r="IDF43" s="21"/>
      <c r="IDG43" s="21"/>
      <c r="IDH43" s="21"/>
      <c r="IDI43" s="21"/>
      <c r="IDJ43" s="21"/>
      <c r="IDK43" s="21"/>
      <c r="IDL43" s="21"/>
      <c r="IDM43" s="21"/>
      <c r="IDN43" s="21"/>
      <c r="IDO43" s="21"/>
      <c r="IDP43" s="21"/>
      <c r="IDQ43" s="21"/>
      <c r="IDR43" s="21"/>
      <c r="IDS43" s="21"/>
      <c r="IDT43" s="21"/>
      <c r="IDU43" s="21"/>
      <c r="IDV43" s="21"/>
      <c r="IDW43" s="21"/>
      <c r="IDX43" s="21"/>
      <c r="IDY43" s="21"/>
      <c r="IDZ43" s="21"/>
      <c r="IEA43" s="21"/>
      <c r="IEB43" s="21"/>
      <c r="IEC43" s="21"/>
      <c r="IED43" s="21"/>
      <c r="IEE43" s="21"/>
      <c r="IEF43" s="21"/>
      <c r="IEG43" s="21"/>
      <c r="IEH43" s="21"/>
      <c r="IEI43" s="21"/>
      <c r="IEJ43" s="21"/>
      <c r="IEK43" s="21"/>
      <c r="IEL43" s="21"/>
      <c r="IEM43" s="21"/>
      <c r="IEN43" s="21"/>
      <c r="IEO43" s="21"/>
      <c r="IEP43" s="21"/>
      <c r="IEQ43" s="21"/>
      <c r="IER43" s="21"/>
      <c r="IES43" s="21"/>
      <c r="IET43" s="21"/>
      <c r="IEU43" s="21"/>
      <c r="IEV43" s="21"/>
      <c r="IEW43" s="21"/>
      <c r="IEX43" s="21"/>
      <c r="IEY43" s="21"/>
      <c r="IEZ43" s="21"/>
      <c r="IFA43" s="21"/>
      <c r="IFB43" s="21"/>
      <c r="IFC43" s="21"/>
      <c r="IFD43" s="21"/>
      <c r="IFE43" s="21"/>
      <c r="IFF43" s="21"/>
      <c r="IFG43" s="21"/>
      <c r="IFH43" s="21"/>
      <c r="IFI43" s="21"/>
      <c r="IFJ43" s="21"/>
      <c r="IFK43" s="21"/>
      <c r="IFL43" s="21"/>
      <c r="IFM43" s="21"/>
      <c r="IFN43" s="21"/>
      <c r="IFO43" s="21"/>
      <c r="IFP43" s="21"/>
      <c r="IFQ43" s="21"/>
      <c r="IFR43" s="21"/>
      <c r="IFS43" s="21"/>
      <c r="IFT43" s="21"/>
      <c r="IFU43" s="21"/>
      <c r="IFV43" s="21"/>
      <c r="IFW43" s="21"/>
      <c r="IFX43" s="21"/>
      <c r="IFY43" s="21"/>
      <c r="IFZ43" s="21"/>
      <c r="IGA43" s="21"/>
      <c r="IGB43" s="21"/>
      <c r="IGC43" s="21"/>
      <c r="IGD43" s="21"/>
      <c r="IGE43" s="21"/>
      <c r="IGF43" s="21"/>
      <c r="IGG43" s="21"/>
      <c r="IGH43" s="21"/>
      <c r="IGI43" s="21"/>
      <c r="IGJ43" s="21"/>
      <c r="IGK43" s="21"/>
      <c r="IGL43" s="21"/>
      <c r="IGM43" s="21"/>
      <c r="IGN43" s="21"/>
      <c r="IGO43" s="21"/>
      <c r="IGP43" s="21"/>
      <c r="IGQ43" s="21"/>
      <c r="IGR43" s="21"/>
      <c r="IGS43" s="21"/>
      <c r="IGT43" s="21"/>
      <c r="IGU43" s="21"/>
      <c r="IGV43" s="21"/>
      <c r="IGW43" s="21"/>
      <c r="IGX43" s="21"/>
      <c r="IGY43" s="21"/>
      <c r="IGZ43" s="21"/>
      <c r="IHA43" s="21"/>
      <c r="IHB43" s="21"/>
      <c r="IHC43" s="21"/>
      <c r="IHD43" s="21"/>
      <c r="IHE43" s="21"/>
      <c r="IHF43" s="21"/>
      <c r="IHG43" s="21"/>
      <c r="IHH43" s="21"/>
      <c r="IHI43" s="21"/>
      <c r="IHJ43" s="21"/>
      <c r="IHK43" s="21"/>
      <c r="IHL43" s="21"/>
      <c r="IHM43" s="21"/>
      <c r="IHN43" s="21"/>
      <c r="IHO43" s="21"/>
      <c r="IHP43" s="21"/>
      <c r="IHQ43" s="21"/>
      <c r="IHR43" s="21"/>
      <c r="IHS43" s="21"/>
      <c r="IHT43" s="21"/>
      <c r="IHU43" s="21"/>
      <c r="IHV43" s="21"/>
      <c r="IHW43" s="21"/>
      <c r="IHX43" s="21"/>
      <c r="IHY43" s="21"/>
      <c r="IHZ43" s="21"/>
      <c r="IIA43" s="21"/>
      <c r="IIB43" s="21"/>
      <c r="IIC43" s="21"/>
      <c r="IID43" s="21"/>
      <c r="IIE43" s="21"/>
      <c r="IIF43" s="21"/>
      <c r="IIG43" s="21"/>
      <c r="IIH43" s="21"/>
      <c r="III43" s="21"/>
      <c r="IIJ43" s="21"/>
      <c r="IIK43" s="21"/>
      <c r="IIL43" s="21"/>
      <c r="IIM43" s="21"/>
      <c r="IIN43" s="21"/>
      <c r="IIO43" s="21"/>
      <c r="IIP43" s="21"/>
      <c r="IIQ43" s="21"/>
      <c r="IIR43" s="21"/>
      <c r="IIS43" s="21"/>
      <c r="IIT43" s="21"/>
      <c r="IIU43" s="21"/>
      <c r="IIV43" s="21"/>
      <c r="IIW43" s="21"/>
      <c r="IIX43" s="21"/>
      <c r="IIY43" s="21"/>
      <c r="IIZ43" s="21"/>
      <c r="IJA43" s="21"/>
      <c r="IJB43" s="21"/>
      <c r="IJC43" s="21"/>
      <c r="IJD43" s="21"/>
      <c r="IJE43" s="21"/>
      <c r="IJF43" s="21"/>
      <c r="IJG43" s="21"/>
      <c r="IJH43" s="21"/>
      <c r="IJI43" s="21"/>
      <c r="IJJ43" s="21"/>
      <c r="IJK43" s="21"/>
      <c r="IJL43" s="21"/>
      <c r="IJM43" s="21"/>
      <c r="IJN43" s="21"/>
      <c r="IJO43" s="21"/>
      <c r="IJP43" s="21"/>
      <c r="IJQ43" s="21"/>
      <c r="IJR43" s="21"/>
      <c r="IJS43" s="21"/>
      <c r="IJT43" s="21"/>
      <c r="IJU43" s="21"/>
      <c r="IJV43" s="21"/>
      <c r="IJW43" s="21"/>
      <c r="IJX43" s="21"/>
      <c r="IJY43" s="21"/>
      <c r="IJZ43" s="21"/>
      <c r="IKA43" s="21"/>
      <c r="IKB43" s="21"/>
      <c r="IKC43" s="21"/>
      <c r="IKD43" s="21"/>
      <c r="IKE43" s="21"/>
      <c r="IKF43" s="21"/>
      <c r="IKG43" s="21"/>
      <c r="IKH43" s="21"/>
      <c r="IKI43" s="21"/>
      <c r="IKJ43" s="21"/>
      <c r="IKK43" s="21"/>
      <c r="IKL43" s="21"/>
      <c r="IKM43" s="21"/>
      <c r="IKN43" s="21"/>
      <c r="IKO43" s="21"/>
      <c r="IKP43" s="21"/>
      <c r="IKQ43" s="21"/>
      <c r="IKR43" s="21"/>
      <c r="IKS43" s="21"/>
      <c r="IKT43" s="21"/>
      <c r="IKU43" s="21"/>
      <c r="IKV43" s="21"/>
      <c r="IKW43" s="21"/>
      <c r="IKX43" s="21"/>
      <c r="IKY43" s="21"/>
      <c r="IKZ43" s="21"/>
      <c r="ILA43" s="21"/>
      <c r="ILB43" s="21"/>
      <c r="ILC43" s="21"/>
      <c r="ILD43" s="21"/>
      <c r="ILE43" s="21"/>
      <c r="ILF43" s="21"/>
      <c r="ILG43" s="21"/>
      <c r="ILH43" s="21"/>
      <c r="ILI43" s="21"/>
      <c r="ILJ43" s="21"/>
      <c r="ILK43" s="21"/>
      <c r="ILL43" s="21"/>
      <c r="ILM43" s="21"/>
      <c r="ILN43" s="21"/>
      <c r="ILO43" s="21"/>
      <c r="ILP43" s="21"/>
      <c r="ILQ43" s="21"/>
      <c r="ILR43" s="21"/>
      <c r="ILS43" s="21"/>
      <c r="ILT43" s="21"/>
      <c r="ILU43" s="21"/>
      <c r="ILV43" s="21"/>
      <c r="ILW43" s="21"/>
      <c r="ILX43" s="21"/>
      <c r="ILY43" s="21"/>
      <c r="ILZ43" s="21"/>
      <c r="IMA43" s="21"/>
      <c r="IMB43" s="21"/>
      <c r="IMC43" s="21"/>
      <c r="IMD43" s="21"/>
      <c r="IME43" s="21"/>
      <c r="IMF43" s="21"/>
      <c r="IMG43" s="21"/>
      <c r="IMH43" s="21"/>
      <c r="IMI43" s="21"/>
      <c r="IMJ43" s="21"/>
      <c r="IMK43" s="21"/>
      <c r="IML43" s="21"/>
      <c r="IMM43" s="21"/>
      <c r="IMN43" s="21"/>
      <c r="IMO43" s="21"/>
      <c r="IMP43" s="21"/>
      <c r="IMQ43" s="21"/>
      <c r="IMR43" s="21"/>
      <c r="IMS43" s="21"/>
      <c r="IMT43" s="21"/>
      <c r="IMU43" s="21"/>
      <c r="IMV43" s="21"/>
      <c r="IMW43" s="21"/>
      <c r="IMX43" s="21"/>
      <c r="IMY43" s="21"/>
      <c r="IMZ43" s="21"/>
      <c r="INA43" s="21"/>
      <c r="INB43" s="21"/>
      <c r="INC43" s="21"/>
      <c r="IND43" s="21"/>
      <c r="INE43" s="21"/>
      <c r="INF43" s="21"/>
      <c r="ING43" s="21"/>
      <c r="INH43" s="21"/>
      <c r="INI43" s="21"/>
      <c r="INJ43" s="21"/>
      <c r="INK43" s="21"/>
      <c r="INL43" s="21"/>
      <c r="INM43" s="21"/>
      <c r="INN43" s="21"/>
      <c r="INO43" s="21"/>
      <c r="INP43" s="21"/>
      <c r="INQ43" s="21"/>
      <c r="INR43" s="21"/>
      <c r="INS43" s="21"/>
      <c r="INT43" s="21"/>
      <c r="INU43" s="21"/>
      <c r="INV43" s="21"/>
      <c r="INW43" s="21"/>
      <c r="INX43" s="21"/>
      <c r="INY43" s="21"/>
      <c r="INZ43" s="21"/>
      <c r="IOA43" s="21"/>
      <c r="IOB43" s="21"/>
      <c r="IOC43" s="21"/>
      <c r="IOD43" s="21"/>
      <c r="IOE43" s="21"/>
      <c r="IOF43" s="21"/>
      <c r="IOG43" s="21"/>
      <c r="IOH43" s="21"/>
      <c r="IOI43" s="21"/>
      <c r="IOJ43" s="21"/>
      <c r="IOK43" s="21"/>
      <c r="IOL43" s="21"/>
      <c r="IOM43" s="21"/>
      <c r="ION43" s="21"/>
      <c r="IOO43" s="21"/>
      <c r="IOP43" s="21"/>
      <c r="IOQ43" s="21"/>
      <c r="IOR43" s="21"/>
      <c r="IOS43" s="21"/>
      <c r="IOT43" s="21"/>
      <c r="IOU43" s="21"/>
      <c r="IOV43" s="21"/>
      <c r="IOW43" s="21"/>
      <c r="IOX43" s="21"/>
      <c r="IOY43" s="21"/>
      <c r="IOZ43" s="21"/>
      <c r="IPA43" s="21"/>
      <c r="IPB43" s="21"/>
      <c r="IPC43" s="21"/>
      <c r="IPD43" s="21"/>
      <c r="IPE43" s="21"/>
      <c r="IPF43" s="21"/>
      <c r="IPG43" s="21"/>
      <c r="IPH43" s="21"/>
      <c r="IPI43" s="21"/>
      <c r="IPJ43" s="21"/>
      <c r="IPK43" s="21"/>
      <c r="IPL43" s="21"/>
      <c r="IPM43" s="21"/>
      <c r="IPN43" s="21"/>
      <c r="IPO43" s="21"/>
      <c r="IPP43" s="21"/>
      <c r="IPQ43" s="21"/>
      <c r="IPR43" s="21"/>
      <c r="IPS43" s="21"/>
      <c r="IPT43" s="21"/>
      <c r="IPU43" s="21"/>
      <c r="IPV43" s="21"/>
      <c r="IPW43" s="21"/>
      <c r="IPX43" s="21"/>
      <c r="IPY43" s="21"/>
      <c r="IPZ43" s="21"/>
      <c r="IQA43" s="21"/>
      <c r="IQB43" s="21"/>
      <c r="IQC43" s="21"/>
      <c r="IQD43" s="21"/>
      <c r="IQE43" s="21"/>
      <c r="IQF43" s="21"/>
      <c r="IQG43" s="21"/>
      <c r="IQH43" s="21"/>
      <c r="IQI43" s="21"/>
      <c r="IQJ43" s="21"/>
      <c r="IQK43" s="21"/>
      <c r="IQL43" s="21"/>
      <c r="IQM43" s="21"/>
      <c r="IQN43" s="21"/>
      <c r="IQO43" s="21"/>
      <c r="IQP43" s="21"/>
      <c r="IQQ43" s="21"/>
      <c r="IQR43" s="21"/>
      <c r="IQS43" s="21"/>
      <c r="IQT43" s="21"/>
      <c r="IQU43" s="21"/>
      <c r="IQV43" s="21"/>
      <c r="IQW43" s="21"/>
      <c r="IQX43" s="21"/>
      <c r="IQY43" s="21"/>
      <c r="IQZ43" s="21"/>
      <c r="IRA43" s="21"/>
      <c r="IRB43" s="21"/>
      <c r="IRC43" s="21"/>
      <c r="IRD43" s="21"/>
      <c r="IRE43" s="21"/>
      <c r="IRF43" s="21"/>
      <c r="IRG43" s="21"/>
      <c r="IRH43" s="21"/>
      <c r="IRI43" s="21"/>
      <c r="IRJ43" s="21"/>
      <c r="IRK43" s="21"/>
      <c r="IRL43" s="21"/>
      <c r="IRM43" s="21"/>
      <c r="IRN43" s="21"/>
      <c r="IRO43" s="21"/>
      <c r="IRP43" s="21"/>
      <c r="IRQ43" s="21"/>
      <c r="IRR43" s="21"/>
      <c r="IRS43" s="21"/>
      <c r="IRT43" s="21"/>
      <c r="IRU43" s="21"/>
      <c r="IRV43" s="21"/>
      <c r="IRW43" s="21"/>
      <c r="IRX43" s="21"/>
      <c r="IRY43" s="21"/>
      <c r="IRZ43" s="21"/>
      <c r="ISA43" s="21"/>
      <c r="ISB43" s="21"/>
      <c r="ISC43" s="21"/>
      <c r="ISD43" s="21"/>
      <c r="ISE43" s="21"/>
      <c r="ISF43" s="21"/>
      <c r="ISG43" s="21"/>
      <c r="ISH43" s="21"/>
      <c r="ISI43" s="21"/>
      <c r="ISJ43" s="21"/>
      <c r="ISK43" s="21"/>
      <c r="ISL43" s="21"/>
      <c r="ISM43" s="21"/>
      <c r="ISN43" s="21"/>
      <c r="ISO43" s="21"/>
      <c r="ISP43" s="21"/>
      <c r="ISQ43" s="21"/>
      <c r="ISR43" s="21"/>
      <c r="ISS43" s="21"/>
      <c r="IST43" s="21"/>
      <c r="ISU43" s="21"/>
      <c r="ISV43" s="21"/>
      <c r="ISW43" s="21"/>
      <c r="ISX43" s="21"/>
      <c r="ISY43" s="21"/>
      <c r="ISZ43" s="21"/>
      <c r="ITA43" s="21"/>
      <c r="ITB43" s="21"/>
      <c r="ITC43" s="21"/>
      <c r="ITD43" s="21"/>
      <c r="ITE43" s="21"/>
      <c r="ITF43" s="21"/>
      <c r="ITG43" s="21"/>
      <c r="ITH43" s="21"/>
      <c r="ITI43" s="21"/>
      <c r="ITJ43" s="21"/>
      <c r="ITK43" s="21"/>
      <c r="ITL43" s="21"/>
      <c r="ITM43" s="21"/>
      <c r="ITN43" s="21"/>
      <c r="ITO43" s="21"/>
      <c r="ITP43" s="21"/>
      <c r="ITQ43" s="21"/>
      <c r="ITR43" s="21"/>
      <c r="ITS43" s="21"/>
      <c r="ITT43" s="21"/>
      <c r="ITU43" s="21"/>
      <c r="ITV43" s="21"/>
      <c r="ITW43" s="21"/>
      <c r="ITX43" s="21"/>
      <c r="ITY43" s="21"/>
      <c r="ITZ43" s="21"/>
      <c r="IUA43" s="21"/>
      <c r="IUB43" s="21"/>
      <c r="IUC43" s="21"/>
      <c r="IUD43" s="21"/>
      <c r="IUE43" s="21"/>
      <c r="IUF43" s="21"/>
      <c r="IUG43" s="21"/>
      <c r="IUH43" s="21"/>
      <c r="IUI43" s="21"/>
      <c r="IUJ43" s="21"/>
      <c r="IUK43" s="21"/>
      <c r="IUL43" s="21"/>
      <c r="IUM43" s="21"/>
      <c r="IUN43" s="21"/>
      <c r="IUO43" s="21"/>
      <c r="IUP43" s="21"/>
      <c r="IUQ43" s="21"/>
      <c r="IUR43" s="21"/>
      <c r="IUS43" s="21"/>
      <c r="IUT43" s="21"/>
      <c r="IUU43" s="21"/>
      <c r="IUV43" s="21"/>
      <c r="IUW43" s="21"/>
      <c r="IUX43" s="21"/>
      <c r="IUY43" s="21"/>
      <c r="IUZ43" s="21"/>
      <c r="IVA43" s="21"/>
      <c r="IVB43" s="21"/>
      <c r="IVC43" s="21"/>
      <c r="IVD43" s="21"/>
      <c r="IVE43" s="21"/>
      <c r="IVF43" s="21"/>
      <c r="IVG43" s="21"/>
      <c r="IVH43" s="21"/>
      <c r="IVI43" s="21"/>
      <c r="IVJ43" s="21"/>
      <c r="IVK43" s="21"/>
      <c r="IVL43" s="21"/>
      <c r="IVM43" s="21"/>
      <c r="IVN43" s="21"/>
      <c r="IVO43" s="21"/>
      <c r="IVP43" s="21"/>
      <c r="IVQ43" s="21"/>
      <c r="IVR43" s="21"/>
      <c r="IVS43" s="21"/>
      <c r="IVT43" s="21"/>
      <c r="IVU43" s="21"/>
      <c r="IVV43" s="21"/>
      <c r="IVW43" s="21"/>
      <c r="IVX43" s="21"/>
      <c r="IVY43" s="21"/>
      <c r="IVZ43" s="21"/>
      <c r="IWA43" s="21"/>
      <c r="IWB43" s="21"/>
      <c r="IWC43" s="21"/>
      <c r="IWD43" s="21"/>
      <c r="IWE43" s="21"/>
      <c r="IWF43" s="21"/>
      <c r="IWG43" s="21"/>
      <c r="IWH43" s="21"/>
      <c r="IWI43" s="21"/>
      <c r="IWJ43" s="21"/>
      <c r="IWK43" s="21"/>
      <c r="IWL43" s="21"/>
      <c r="IWM43" s="21"/>
      <c r="IWN43" s="21"/>
      <c r="IWO43" s="21"/>
      <c r="IWP43" s="21"/>
      <c r="IWQ43" s="21"/>
      <c r="IWR43" s="21"/>
      <c r="IWS43" s="21"/>
      <c r="IWT43" s="21"/>
      <c r="IWU43" s="21"/>
      <c r="IWV43" s="21"/>
      <c r="IWW43" s="21"/>
      <c r="IWX43" s="21"/>
      <c r="IWY43" s="21"/>
      <c r="IWZ43" s="21"/>
      <c r="IXA43" s="21"/>
      <c r="IXB43" s="21"/>
      <c r="IXC43" s="21"/>
      <c r="IXD43" s="21"/>
      <c r="IXE43" s="21"/>
      <c r="IXF43" s="21"/>
      <c r="IXG43" s="21"/>
      <c r="IXH43" s="21"/>
      <c r="IXI43" s="21"/>
      <c r="IXJ43" s="21"/>
      <c r="IXK43" s="21"/>
      <c r="IXL43" s="21"/>
      <c r="IXM43" s="21"/>
      <c r="IXN43" s="21"/>
      <c r="IXO43" s="21"/>
      <c r="IXP43" s="21"/>
      <c r="IXQ43" s="21"/>
      <c r="IXR43" s="21"/>
      <c r="IXS43" s="21"/>
      <c r="IXT43" s="21"/>
      <c r="IXU43" s="21"/>
      <c r="IXV43" s="21"/>
      <c r="IXW43" s="21"/>
      <c r="IXX43" s="21"/>
      <c r="IXY43" s="21"/>
      <c r="IXZ43" s="21"/>
      <c r="IYA43" s="21"/>
      <c r="IYB43" s="21"/>
      <c r="IYC43" s="21"/>
      <c r="IYD43" s="21"/>
      <c r="IYE43" s="21"/>
      <c r="IYF43" s="21"/>
      <c r="IYG43" s="21"/>
      <c r="IYH43" s="21"/>
      <c r="IYI43" s="21"/>
      <c r="IYJ43" s="21"/>
      <c r="IYK43" s="21"/>
      <c r="IYL43" s="21"/>
      <c r="IYM43" s="21"/>
      <c r="IYN43" s="21"/>
      <c r="IYO43" s="21"/>
      <c r="IYP43" s="21"/>
      <c r="IYQ43" s="21"/>
      <c r="IYR43" s="21"/>
      <c r="IYS43" s="21"/>
      <c r="IYT43" s="21"/>
      <c r="IYU43" s="21"/>
      <c r="IYV43" s="21"/>
      <c r="IYW43" s="21"/>
      <c r="IYX43" s="21"/>
      <c r="IYY43" s="21"/>
      <c r="IYZ43" s="21"/>
      <c r="IZA43" s="21"/>
      <c r="IZB43" s="21"/>
      <c r="IZC43" s="21"/>
      <c r="IZD43" s="21"/>
      <c r="IZE43" s="21"/>
      <c r="IZF43" s="21"/>
      <c r="IZG43" s="21"/>
      <c r="IZH43" s="21"/>
      <c r="IZI43" s="21"/>
      <c r="IZJ43" s="21"/>
      <c r="IZK43" s="21"/>
      <c r="IZL43" s="21"/>
      <c r="IZM43" s="21"/>
      <c r="IZN43" s="21"/>
      <c r="IZO43" s="21"/>
      <c r="IZP43" s="21"/>
      <c r="IZQ43" s="21"/>
      <c r="IZR43" s="21"/>
      <c r="IZS43" s="21"/>
      <c r="IZT43" s="21"/>
      <c r="IZU43" s="21"/>
      <c r="IZV43" s="21"/>
      <c r="IZW43" s="21"/>
      <c r="IZX43" s="21"/>
      <c r="IZY43" s="21"/>
      <c r="IZZ43" s="21"/>
      <c r="JAA43" s="21"/>
      <c r="JAB43" s="21"/>
      <c r="JAC43" s="21"/>
      <c r="JAD43" s="21"/>
      <c r="JAE43" s="21"/>
      <c r="JAF43" s="21"/>
      <c r="JAG43" s="21"/>
      <c r="JAH43" s="21"/>
      <c r="JAI43" s="21"/>
      <c r="JAJ43" s="21"/>
      <c r="JAK43" s="21"/>
      <c r="JAL43" s="21"/>
      <c r="JAM43" s="21"/>
      <c r="JAN43" s="21"/>
      <c r="JAO43" s="21"/>
      <c r="JAP43" s="21"/>
      <c r="JAQ43" s="21"/>
      <c r="JAR43" s="21"/>
      <c r="JAS43" s="21"/>
      <c r="JAT43" s="21"/>
      <c r="JAU43" s="21"/>
      <c r="JAV43" s="21"/>
      <c r="JAW43" s="21"/>
      <c r="JAX43" s="21"/>
      <c r="JAY43" s="21"/>
      <c r="JAZ43" s="21"/>
      <c r="JBA43" s="21"/>
      <c r="JBB43" s="21"/>
      <c r="JBC43" s="21"/>
      <c r="JBD43" s="21"/>
      <c r="JBE43" s="21"/>
      <c r="JBF43" s="21"/>
      <c r="JBG43" s="21"/>
      <c r="JBH43" s="21"/>
      <c r="JBI43" s="21"/>
      <c r="JBJ43" s="21"/>
      <c r="JBK43" s="21"/>
      <c r="JBL43" s="21"/>
      <c r="JBM43" s="21"/>
      <c r="JBN43" s="21"/>
      <c r="JBO43" s="21"/>
      <c r="JBP43" s="21"/>
      <c r="JBQ43" s="21"/>
      <c r="JBR43" s="21"/>
      <c r="JBS43" s="21"/>
      <c r="JBT43" s="21"/>
      <c r="JBU43" s="21"/>
      <c r="JBV43" s="21"/>
      <c r="JBW43" s="21"/>
      <c r="JBX43" s="21"/>
      <c r="JBY43" s="21"/>
      <c r="JBZ43" s="21"/>
      <c r="JCA43" s="21"/>
      <c r="JCB43" s="21"/>
      <c r="JCC43" s="21"/>
      <c r="JCD43" s="21"/>
      <c r="JCE43" s="21"/>
      <c r="JCF43" s="21"/>
      <c r="JCG43" s="21"/>
      <c r="JCH43" s="21"/>
      <c r="JCI43" s="21"/>
      <c r="JCJ43" s="21"/>
      <c r="JCK43" s="21"/>
      <c r="JCL43" s="21"/>
      <c r="JCM43" s="21"/>
      <c r="JCN43" s="21"/>
      <c r="JCO43" s="21"/>
      <c r="JCP43" s="21"/>
      <c r="JCQ43" s="21"/>
      <c r="JCR43" s="21"/>
      <c r="JCS43" s="21"/>
      <c r="JCT43" s="21"/>
      <c r="JCU43" s="21"/>
      <c r="JCV43" s="21"/>
      <c r="JCW43" s="21"/>
      <c r="JCX43" s="21"/>
      <c r="JCY43" s="21"/>
      <c r="JCZ43" s="21"/>
      <c r="JDA43" s="21"/>
      <c r="JDB43" s="21"/>
      <c r="JDC43" s="21"/>
      <c r="JDD43" s="21"/>
      <c r="JDE43" s="21"/>
      <c r="JDF43" s="21"/>
      <c r="JDG43" s="21"/>
      <c r="JDH43" s="21"/>
      <c r="JDI43" s="21"/>
      <c r="JDJ43" s="21"/>
      <c r="JDK43" s="21"/>
      <c r="JDL43" s="21"/>
      <c r="JDM43" s="21"/>
      <c r="JDN43" s="21"/>
      <c r="JDO43" s="21"/>
      <c r="JDP43" s="21"/>
      <c r="JDQ43" s="21"/>
      <c r="JDR43" s="21"/>
      <c r="JDS43" s="21"/>
      <c r="JDT43" s="21"/>
      <c r="JDU43" s="21"/>
      <c r="JDV43" s="21"/>
      <c r="JDW43" s="21"/>
      <c r="JDX43" s="21"/>
      <c r="JDY43" s="21"/>
      <c r="JDZ43" s="21"/>
      <c r="JEA43" s="21"/>
      <c r="JEB43" s="21"/>
      <c r="JEC43" s="21"/>
      <c r="JED43" s="21"/>
      <c r="JEE43" s="21"/>
      <c r="JEF43" s="21"/>
      <c r="JEG43" s="21"/>
      <c r="JEH43" s="21"/>
      <c r="JEI43" s="21"/>
      <c r="JEJ43" s="21"/>
      <c r="JEK43" s="21"/>
      <c r="JEL43" s="21"/>
      <c r="JEM43" s="21"/>
      <c r="JEN43" s="21"/>
      <c r="JEO43" s="21"/>
      <c r="JEP43" s="21"/>
      <c r="JEQ43" s="21"/>
      <c r="JER43" s="21"/>
      <c r="JES43" s="21"/>
      <c r="JET43" s="21"/>
      <c r="JEU43" s="21"/>
      <c r="JEV43" s="21"/>
      <c r="JEW43" s="21"/>
      <c r="JEX43" s="21"/>
      <c r="JEY43" s="21"/>
      <c r="JEZ43" s="21"/>
      <c r="JFA43" s="21"/>
      <c r="JFB43" s="21"/>
      <c r="JFC43" s="21"/>
      <c r="JFD43" s="21"/>
      <c r="JFE43" s="21"/>
      <c r="JFF43" s="21"/>
      <c r="JFG43" s="21"/>
      <c r="JFH43" s="21"/>
      <c r="JFI43" s="21"/>
      <c r="JFJ43" s="21"/>
      <c r="JFK43" s="21"/>
      <c r="JFL43" s="21"/>
      <c r="JFM43" s="21"/>
      <c r="JFN43" s="21"/>
      <c r="JFO43" s="21"/>
      <c r="JFP43" s="21"/>
      <c r="JFQ43" s="21"/>
      <c r="JFR43" s="21"/>
      <c r="JFS43" s="21"/>
      <c r="JFT43" s="21"/>
      <c r="JFU43" s="21"/>
      <c r="JFV43" s="21"/>
      <c r="JFW43" s="21"/>
      <c r="JFX43" s="21"/>
      <c r="JFY43" s="21"/>
      <c r="JFZ43" s="21"/>
      <c r="JGA43" s="21"/>
      <c r="JGB43" s="21"/>
      <c r="JGC43" s="21"/>
      <c r="JGD43" s="21"/>
      <c r="JGE43" s="21"/>
      <c r="JGF43" s="21"/>
      <c r="JGG43" s="21"/>
      <c r="JGH43" s="21"/>
      <c r="JGI43" s="21"/>
      <c r="JGJ43" s="21"/>
      <c r="JGK43" s="21"/>
      <c r="JGL43" s="21"/>
      <c r="JGM43" s="21"/>
      <c r="JGN43" s="21"/>
      <c r="JGO43" s="21"/>
      <c r="JGP43" s="21"/>
      <c r="JGQ43" s="21"/>
      <c r="JGR43" s="21"/>
      <c r="JGS43" s="21"/>
      <c r="JGT43" s="21"/>
      <c r="JGU43" s="21"/>
      <c r="JGV43" s="21"/>
      <c r="JGW43" s="21"/>
      <c r="JGX43" s="21"/>
      <c r="JGY43" s="21"/>
      <c r="JGZ43" s="21"/>
      <c r="JHA43" s="21"/>
      <c r="JHB43" s="21"/>
      <c r="JHC43" s="21"/>
      <c r="JHD43" s="21"/>
      <c r="JHE43" s="21"/>
      <c r="JHF43" s="21"/>
      <c r="JHG43" s="21"/>
      <c r="JHH43" s="21"/>
      <c r="JHI43" s="21"/>
      <c r="JHJ43" s="21"/>
      <c r="JHK43" s="21"/>
      <c r="JHL43" s="21"/>
      <c r="JHM43" s="21"/>
      <c r="JHN43" s="21"/>
      <c r="JHO43" s="21"/>
      <c r="JHP43" s="21"/>
      <c r="JHQ43" s="21"/>
      <c r="JHR43" s="21"/>
      <c r="JHS43" s="21"/>
      <c r="JHT43" s="21"/>
      <c r="JHU43" s="21"/>
      <c r="JHV43" s="21"/>
      <c r="JHW43" s="21"/>
      <c r="JHX43" s="21"/>
      <c r="JHY43" s="21"/>
      <c r="JHZ43" s="21"/>
      <c r="JIA43" s="21"/>
      <c r="JIB43" s="21"/>
      <c r="JIC43" s="21"/>
      <c r="JID43" s="21"/>
      <c r="JIE43" s="21"/>
      <c r="JIF43" s="21"/>
      <c r="JIG43" s="21"/>
      <c r="JIH43" s="21"/>
      <c r="JII43" s="21"/>
      <c r="JIJ43" s="21"/>
      <c r="JIK43" s="21"/>
      <c r="JIL43" s="21"/>
      <c r="JIM43" s="21"/>
      <c r="JIN43" s="21"/>
      <c r="JIO43" s="21"/>
      <c r="JIP43" s="21"/>
      <c r="JIQ43" s="21"/>
      <c r="JIR43" s="21"/>
      <c r="JIS43" s="21"/>
      <c r="JIT43" s="21"/>
      <c r="JIU43" s="21"/>
      <c r="JIV43" s="21"/>
      <c r="JIW43" s="21"/>
      <c r="JIX43" s="21"/>
      <c r="JIY43" s="21"/>
      <c r="JIZ43" s="21"/>
      <c r="JJA43" s="21"/>
      <c r="JJB43" s="21"/>
      <c r="JJC43" s="21"/>
      <c r="JJD43" s="21"/>
      <c r="JJE43" s="21"/>
      <c r="JJF43" s="21"/>
      <c r="JJG43" s="21"/>
      <c r="JJH43" s="21"/>
      <c r="JJI43" s="21"/>
      <c r="JJJ43" s="21"/>
      <c r="JJK43" s="21"/>
      <c r="JJL43" s="21"/>
      <c r="JJM43" s="21"/>
      <c r="JJN43" s="21"/>
      <c r="JJO43" s="21"/>
      <c r="JJP43" s="21"/>
      <c r="JJQ43" s="21"/>
      <c r="JJR43" s="21"/>
      <c r="JJS43" s="21"/>
      <c r="JJT43" s="21"/>
      <c r="JJU43" s="21"/>
      <c r="JJV43" s="21"/>
      <c r="JJW43" s="21"/>
      <c r="JJX43" s="21"/>
      <c r="JJY43" s="21"/>
      <c r="JJZ43" s="21"/>
      <c r="JKA43" s="21"/>
      <c r="JKB43" s="21"/>
      <c r="JKC43" s="21"/>
      <c r="JKD43" s="21"/>
      <c r="JKE43" s="21"/>
      <c r="JKF43" s="21"/>
      <c r="JKG43" s="21"/>
      <c r="JKH43" s="21"/>
      <c r="JKI43" s="21"/>
      <c r="JKJ43" s="21"/>
      <c r="JKK43" s="21"/>
      <c r="JKL43" s="21"/>
      <c r="JKM43" s="21"/>
      <c r="JKN43" s="21"/>
      <c r="JKO43" s="21"/>
      <c r="JKP43" s="21"/>
      <c r="JKQ43" s="21"/>
      <c r="JKR43" s="21"/>
      <c r="JKS43" s="21"/>
      <c r="JKT43" s="21"/>
      <c r="JKU43" s="21"/>
      <c r="JKV43" s="21"/>
      <c r="JKW43" s="21"/>
      <c r="JKX43" s="21"/>
      <c r="JKY43" s="21"/>
      <c r="JKZ43" s="21"/>
      <c r="JLA43" s="21"/>
      <c r="JLB43" s="21"/>
      <c r="JLC43" s="21"/>
      <c r="JLD43" s="21"/>
      <c r="JLE43" s="21"/>
      <c r="JLF43" s="21"/>
      <c r="JLG43" s="21"/>
      <c r="JLH43" s="21"/>
      <c r="JLI43" s="21"/>
      <c r="JLJ43" s="21"/>
      <c r="JLK43" s="21"/>
      <c r="JLL43" s="21"/>
      <c r="JLM43" s="21"/>
      <c r="JLN43" s="21"/>
      <c r="JLO43" s="21"/>
      <c r="JLP43" s="21"/>
      <c r="JLQ43" s="21"/>
      <c r="JLR43" s="21"/>
      <c r="JLS43" s="21"/>
      <c r="JLT43" s="21"/>
      <c r="JLU43" s="21"/>
      <c r="JLV43" s="21"/>
      <c r="JLW43" s="21"/>
      <c r="JLX43" s="21"/>
      <c r="JLY43" s="21"/>
      <c r="JLZ43" s="21"/>
      <c r="JMA43" s="21"/>
      <c r="JMB43" s="21"/>
      <c r="JMC43" s="21"/>
      <c r="JMD43" s="21"/>
      <c r="JME43" s="21"/>
      <c r="JMF43" s="21"/>
      <c r="JMG43" s="21"/>
      <c r="JMH43" s="21"/>
      <c r="JMI43" s="21"/>
      <c r="JMJ43" s="21"/>
      <c r="JMK43" s="21"/>
      <c r="JML43" s="21"/>
      <c r="JMM43" s="21"/>
      <c r="JMN43" s="21"/>
      <c r="JMO43" s="21"/>
      <c r="JMP43" s="21"/>
      <c r="JMQ43" s="21"/>
      <c r="JMR43" s="21"/>
      <c r="JMS43" s="21"/>
      <c r="JMT43" s="21"/>
      <c r="JMU43" s="21"/>
      <c r="JMV43" s="21"/>
      <c r="JMW43" s="21"/>
      <c r="JMX43" s="21"/>
      <c r="JMY43" s="21"/>
      <c r="JMZ43" s="21"/>
      <c r="JNA43" s="21"/>
      <c r="JNB43" s="21"/>
      <c r="JNC43" s="21"/>
      <c r="JND43" s="21"/>
      <c r="JNE43" s="21"/>
      <c r="JNF43" s="21"/>
      <c r="JNG43" s="21"/>
      <c r="JNH43" s="21"/>
      <c r="JNI43" s="21"/>
      <c r="JNJ43" s="21"/>
      <c r="JNK43" s="21"/>
      <c r="JNL43" s="21"/>
      <c r="JNM43" s="21"/>
      <c r="JNN43" s="21"/>
      <c r="JNO43" s="21"/>
      <c r="JNP43" s="21"/>
      <c r="JNQ43" s="21"/>
      <c r="JNR43" s="21"/>
      <c r="JNS43" s="21"/>
      <c r="JNT43" s="21"/>
      <c r="JNU43" s="21"/>
      <c r="JNV43" s="21"/>
      <c r="JNW43" s="21"/>
      <c r="JNX43" s="21"/>
      <c r="JNY43" s="21"/>
      <c r="JNZ43" s="21"/>
      <c r="JOA43" s="21"/>
      <c r="JOB43" s="21"/>
      <c r="JOC43" s="21"/>
      <c r="JOD43" s="21"/>
      <c r="JOE43" s="21"/>
      <c r="JOF43" s="21"/>
      <c r="JOG43" s="21"/>
      <c r="JOH43" s="21"/>
      <c r="JOI43" s="21"/>
      <c r="JOJ43" s="21"/>
      <c r="JOK43" s="21"/>
      <c r="JOL43" s="21"/>
      <c r="JOM43" s="21"/>
      <c r="JON43" s="21"/>
      <c r="JOO43" s="21"/>
      <c r="JOP43" s="21"/>
      <c r="JOQ43" s="21"/>
      <c r="JOR43" s="21"/>
      <c r="JOS43" s="21"/>
      <c r="JOT43" s="21"/>
      <c r="JOU43" s="21"/>
      <c r="JOV43" s="21"/>
      <c r="JOW43" s="21"/>
      <c r="JOX43" s="21"/>
      <c r="JOY43" s="21"/>
      <c r="JOZ43" s="21"/>
      <c r="JPA43" s="21"/>
      <c r="JPB43" s="21"/>
      <c r="JPC43" s="21"/>
      <c r="JPD43" s="21"/>
      <c r="JPE43" s="21"/>
      <c r="JPF43" s="21"/>
      <c r="JPG43" s="21"/>
      <c r="JPH43" s="21"/>
      <c r="JPI43" s="21"/>
      <c r="JPJ43" s="21"/>
      <c r="JPK43" s="21"/>
      <c r="JPL43" s="21"/>
      <c r="JPM43" s="21"/>
      <c r="JPN43" s="21"/>
      <c r="JPO43" s="21"/>
      <c r="JPP43" s="21"/>
      <c r="JPQ43" s="21"/>
      <c r="JPR43" s="21"/>
      <c r="JPS43" s="21"/>
      <c r="JPT43" s="21"/>
      <c r="JPU43" s="21"/>
      <c r="JPV43" s="21"/>
      <c r="JPW43" s="21"/>
      <c r="JPX43" s="21"/>
      <c r="JPY43" s="21"/>
      <c r="JPZ43" s="21"/>
      <c r="JQA43" s="21"/>
      <c r="JQB43" s="21"/>
      <c r="JQC43" s="21"/>
      <c r="JQD43" s="21"/>
      <c r="JQE43" s="21"/>
      <c r="JQF43" s="21"/>
      <c r="JQG43" s="21"/>
      <c r="JQH43" s="21"/>
      <c r="JQI43" s="21"/>
      <c r="JQJ43" s="21"/>
      <c r="JQK43" s="21"/>
      <c r="JQL43" s="21"/>
      <c r="JQM43" s="21"/>
      <c r="JQN43" s="21"/>
      <c r="JQO43" s="21"/>
      <c r="JQP43" s="21"/>
      <c r="JQQ43" s="21"/>
      <c r="JQR43" s="21"/>
      <c r="JQS43" s="21"/>
      <c r="JQT43" s="21"/>
      <c r="JQU43" s="21"/>
      <c r="JQV43" s="21"/>
      <c r="JQW43" s="21"/>
      <c r="JQX43" s="21"/>
      <c r="JQY43" s="21"/>
      <c r="JQZ43" s="21"/>
      <c r="JRA43" s="21"/>
      <c r="JRB43" s="21"/>
      <c r="JRC43" s="21"/>
      <c r="JRD43" s="21"/>
      <c r="JRE43" s="21"/>
      <c r="JRF43" s="21"/>
      <c r="JRG43" s="21"/>
      <c r="JRH43" s="21"/>
      <c r="JRI43" s="21"/>
      <c r="JRJ43" s="21"/>
      <c r="JRK43" s="21"/>
      <c r="JRL43" s="21"/>
      <c r="JRM43" s="21"/>
      <c r="JRN43" s="21"/>
      <c r="JRO43" s="21"/>
      <c r="JRP43" s="21"/>
      <c r="JRQ43" s="21"/>
      <c r="JRR43" s="21"/>
      <c r="JRS43" s="21"/>
      <c r="JRT43" s="21"/>
      <c r="JRU43" s="21"/>
      <c r="JRV43" s="21"/>
      <c r="JRW43" s="21"/>
      <c r="JRX43" s="21"/>
      <c r="JRY43" s="21"/>
      <c r="JRZ43" s="21"/>
      <c r="JSA43" s="21"/>
      <c r="JSB43" s="21"/>
      <c r="JSC43" s="21"/>
      <c r="JSD43" s="21"/>
      <c r="JSE43" s="21"/>
      <c r="JSF43" s="21"/>
      <c r="JSG43" s="21"/>
      <c r="JSH43" s="21"/>
      <c r="JSI43" s="21"/>
      <c r="JSJ43" s="21"/>
      <c r="JSK43" s="21"/>
      <c r="JSL43" s="21"/>
      <c r="JSM43" s="21"/>
      <c r="JSN43" s="21"/>
      <c r="JSO43" s="21"/>
      <c r="JSP43" s="21"/>
      <c r="JSQ43" s="21"/>
      <c r="JSR43" s="21"/>
      <c r="JSS43" s="21"/>
      <c r="JST43" s="21"/>
      <c r="JSU43" s="21"/>
      <c r="JSV43" s="21"/>
      <c r="JSW43" s="21"/>
      <c r="JSX43" s="21"/>
      <c r="JSY43" s="21"/>
      <c r="JSZ43" s="21"/>
      <c r="JTA43" s="21"/>
      <c r="JTB43" s="21"/>
      <c r="JTC43" s="21"/>
      <c r="JTD43" s="21"/>
      <c r="JTE43" s="21"/>
      <c r="JTF43" s="21"/>
      <c r="JTG43" s="21"/>
      <c r="JTH43" s="21"/>
      <c r="JTI43" s="21"/>
      <c r="JTJ43" s="21"/>
      <c r="JTK43" s="21"/>
      <c r="JTL43" s="21"/>
      <c r="JTM43" s="21"/>
      <c r="JTN43" s="21"/>
      <c r="JTO43" s="21"/>
      <c r="JTP43" s="21"/>
      <c r="JTQ43" s="21"/>
      <c r="JTR43" s="21"/>
      <c r="JTS43" s="21"/>
      <c r="JTT43" s="21"/>
      <c r="JTU43" s="21"/>
      <c r="JTV43" s="21"/>
      <c r="JTW43" s="21"/>
      <c r="JTX43" s="21"/>
      <c r="JTY43" s="21"/>
      <c r="JTZ43" s="21"/>
      <c r="JUA43" s="21"/>
      <c r="JUB43" s="21"/>
      <c r="JUC43" s="21"/>
      <c r="JUD43" s="21"/>
      <c r="JUE43" s="21"/>
      <c r="JUF43" s="21"/>
      <c r="JUG43" s="21"/>
      <c r="JUH43" s="21"/>
      <c r="JUI43" s="21"/>
      <c r="JUJ43" s="21"/>
      <c r="JUK43" s="21"/>
      <c r="JUL43" s="21"/>
      <c r="JUM43" s="21"/>
      <c r="JUN43" s="21"/>
      <c r="JUO43" s="21"/>
      <c r="JUP43" s="21"/>
      <c r="JUQ43" s="21"/>
      <c r="JUR43" s="21"/>
      <c r="JUS43" s="21"/>
      <c r="JUT43" s="21"/>
      <c r="JUU43" s="21"/>
      <c r="JUV43" s="21"/>
      <c r="JUW43" s="21"/>
      <c r="JUX43" s="21"/>
      <c r="JUY43" s="21"/>
      <c r="JUZ43" s="21"/>
      <c r="JVA43" s="21"/>
      <c r="JVB43" s="21"/>
      <c r="JVC43" s="21"/>
      <c r="JVD43" s="21"/>
      <c r="JVE43" s="21"/>
      <c r="JVF43" s="21"/>
      <c r="JVG43" s="21"/>
      <c r="JVH43" s="21"/>
      <c r="JVI43" s="21"/>
      <c r="JVJ43" s="21"/>
      <c r="JVK43" s="21"/>
      <c r="JVL43" s="21"/>
      <c r="JVM43" s="21"/>
      <c r="JVN43" s="21"/>
      <c r="JVO43" s="21"/>
      <c r="JVP43" s="21"/>
      <c r="JVQ43" s="21"/>
      <c r="JVR43" s="21"/>
      <c r="JVS43" s="21"/>
      <c r="JVT43" s="21"/>
      <c r="JVU43" s="21"/>
      <c r="JVV43" s="21"/>
      <c r="JVW43" s="21"/>
      <c r="JVX43" s="21"/>
      <c r="JVY43" s="21"/>
      <c r="JVZ43" s="21"/>
      <c r="JWA43" s="21"/>
      <c r="JWB43" s="21"/>
      <c r="JWC43" s="21"/>
      <c r="JWD43" s="21"/>
      <c r="JWE43" s="21"/>
      <c r="JWF43" s="21"/>
      <c r="JWG43" s="21"/>
      <c r="JWH43" s="21"/>
      <c r="JWI43" s="21"/>
      <c r="JWJ43" s="21"/>
      <c r="JWK43" s="21"/>
      <c r="JWL43" s="21"/>
      <c r="JWM43" s="21"/>
      <c r="JWN43" s="21"/>
      <c r="JWO43" s="21"/>
      <c r="JWP43" s="21"/>
      <c r="JWQ43" s="21"/>
      <c r="JWR43" s="21"/>
      <c r="JWS43" s="21"/>
      <c r="JWT43" s="21"/>
      <c r="JWU43" s="21"/>
      <c r="JWV43" s="21"/>
      <c r="JWW43" s="21"/>
      <c r="JWX43" s="21"/>
      <c r="JWY43" s="21"/>
      <c r="JWZ43" s="21"/>
      <c r="JXA43" s="21"/>
      <c r="JXB43" s="21"/>
      <c r="JXC43" s="21"/>
      <c r="JXD43" s="21"/>
      <c r="JXE43" s="21"/>
      <c r="JXF43" s="21"/>
      <c r="JXG43" s="21"/>
      <c r="JXH43" s="21"/>
      <c r="JXI43" s="21"/>
      <c r="JXJ43" s="21"/>
      <c r="JXK43" s="21"/>
      <c r="JXL43" s="21"/>
      <c r="JXM43" s="21"/>
      <c r="JXN43" s="21"/>
      <c r="JXO43" s="21"/>
      <c r="JXP43" s="21"/>
      <c r="JXQ43" s="21"/>
      <c r="JXR43" s="21"/>
      <c r="JXS43" s="21"/>
      <c r="JXT43" s="21"/>
      <c r="JXU43" s="21"/>
      <c r="JXV43" s="21"/>
      <c r="JXW43" s="21"/>
      <c r="JXX43" s="21"/>
      <c r="JXY43" s="21"/>
      <c r="JXZ43" s="21"/>
      <c r="JYA43" s="21"/>
      <c r="JYB43" s="21"/>
      <c r="JYC43" s="21"/>
      <c r="JYD43" s="21"/>
      <c r="JYE43" s="21"/>
      <c r="JYF43" s="21"/>
      <c r="JYG43" s="21"/>
      <c r="JYH43" s="21"/>
      <c r="JYI43" s="21"/>
      <c r="JYJ43" s="21"/>
      <c r="JYK43" s="21"/>
      <c r="JYL43" s="21"/>
      <c r="JYM43" s="21"/>
      <c r="JYN43" s="21"/>
      <c r="JYO43" s="21"/>
      <c r="JYP43" s="21"/>
      <c r="JYQ43" s="21"/>
      <c r="JYR43" s="21"/>
      <c r="JYS43" s="21"/>
      <c r="JYT43" s="21"/>
      <c r="JYU43" s="21"/>
      <c r="JYV43" s="21"/>
      <c r="JYW43" s="21"/>
      <c r="JYX43" s="21"/>
      <c r="JYY43" s="21"/>
      <c r="JYZ43" s="21"/>
      <c r="JZA43" s="21"/>
      <c r="JZB43" s="21"/>
      <c r="JZC43" s="21"/>
      <c r="JZD43" s="21"/>
      <c r="JZE43" s="21"/>
      <c r="JZF43" s="21"/>
      <c r="JZG43" s="21"/>
      <c r="JZH43" s="21"/>
      <c r="JZI43" s="21"/>
      <c r="JZJ43" s="21"/>
      <c r="JZK43" s="21"/>
      <c r="JZL43" s="21"/>
      <c r="JZM43" s="21"/>
      <c r="JZN43" s="21"/>
      <c r="JZO43" s="21"/>
      <c r="JZP43" s="21"/>
      <c r="JZQ43" s="21"/>
      <c r="JZR43" s="21"/>
      <c r="JZS43" s="21"/>
      <c r="JZT43" s="21"/>
      <c r="JZU43" s="21"/>
      <c r="JZV43" s="21"/>
      <c r="JZW43" s="21"/>
      <c r="JZX43" s="21"/>
      <c r="JZY43" s="21"/>
      <c r="JZZ43" s="21"/>
      <c r="KAA43" s="21"/>
      <c r="KAB43" s="21"/>
      <c r="KAC43" s="21"/>
      <c r="KAD43" s="21"/>
      <c r="KAE43" s="21"/>
      <c r="KAF43" s="21"/>
      <c r="KAG43" s="21"/>
      <c r="KAH43" s="21"/>
      <c r="KAI43" s="21"/>
      <c r="KAJ43" s="21"/>
      <c r="KAK43" s="21"/>
      <c r="KAL43" s="21"/>
      <c r="KAM43" s="21"/>
      <c r="KAN43" s="21"/>
      <c r="KAO43" s="21"/>
      <c r="KAP43" s="21"/>
      <c r="KAQ43" s="21"/>
      <c r="KAR43" s="21"/>
      <c r="KAS43" s="21"/>
      <c r="KAT43" s="21"/>
      <c r="KAU43" s="21"/>
      <c r="KAV43" s="21"/>
      <c r="KAW43" s="21"/>
      <c r="KAX43" s="21"/>
      <c r="KAY43" s="21"/>
      <c r="KAZ43" s="21"/>
      <c r="KBA43" s="21"/>
      <c r="KBB43" s="21"/>
      <c r="KBC43" s="21"/>
      <c r="KBD43" s="21"/>
      <c r="KBE43" s="21"/>
      <c r="KBF43" s="21"/>
      <c r="KBG43" s="21"/>
      <c r="KBH43" s="21"/>
      <c r="KBI43" s="21"/>
      <c r="KBJ43" s="21"/>
      <c r="KBK43" s="21"/>
      <c r="KBL43" s="21"/>
      <c r="KBM43" s="21"/>
      <c r="KBN43" s="21"/>
      <c r="KBO43" s="21"/>
      <c r="KBP43" s="21"/>
      <c r="KBQ43" s="21"/>
      <c r="KBR43" s="21"/>
      <c r="KBS43" s="21"/>
      <c r="KBT43" s="21"/>
      <c r="KBU43" s="21"/>
      <c r="KBV43" s="21"/>
      <c r="KBW43" s="21"/>
      <c r="KBX43" s="21"/>
      <c r="KBY43" s="21"/>
      <c r="KBZ43" s="21"/>
      <c r="KCA43" s="21"/>
      <c r="KCB43" s="21"/>
      <c r="KCC43" s="21"/>
      <c r="KCD43" s="21"/>
      <c r="KCE43" s="21"/>
      <c r="KCF43" s="21"/>
      <c r="KCG43" s="21"/>
      <c r="KCH43" s="21"/>
      <c r="KCI43" s="21"/>
      <c r="KCJ43" s="21"/>
      <c r="KCK43" s="21"/>
      <c r="KCL43" s="21"/>
      <c r="KCM43" s="21"/>
      <c r="KCN43" s="21"/>
      <c r="KCO43" s="21"/>
      <c r="KCP43" s="21"/>
      <c r="KCQ43" s="21"/>
      <c r="KCR43" s="21"/>
      <c r="KCS43" s="21"/>
      <c r="KCT43" s="21"/>
      <c r="KCU43" s="21"/>
      <c r="KCV43" s="21"/>
      <c r="KCW43" s="21"/>
      <c r="KCX43" s="21"/>
      <c r="KCY43" s="21"/>
      <c r="KCZ43" s="21"/>
      <c r="KDA43" s="21"/>
      <c r="KDB43" s="21"/>
      <c r="KDC43" s="21"/>
      <c r="KDD43" s="21"/>
      <c r="KDE43" s="21"/>
      <c r="KDF43" s="21"/>
      <c r="KDG43" s="21"/>
      <c r="KDH43" s="21"/>
      <c r="KDI43" s="21"/>
      <c r="KDJ43" s="21"/>
      <c r="KDK43" s="21"/>
      <c r="KDL43" s="21"/>
      <c r="KDM43" s="21"/>
      <c r="KDN43" s="21"/>
      <c r="KDO43" s="21"/>
      <c r="KDP43" s="21"/>
      <c r="KDQ43" s="21"/>
      <c r="KDR43" s="21"/>
      <c r="KDS43" s="21"/>
      <c r="KDT43" s="21"/>
      <c r="KDU43" s="21"/>
      <c r="KDV43" s="21"/>
      <c r="KDW43" s="21"/>
      <c r="KDX43" s="21"/>
      <c r="KDY43" s="21"/>
      <c r="KDZ43" s="21"/>
      <c r="KEA43" s="21"/>
      <c r="KEB43" s="21"/>
      <c r="KEC43" s="21"/>
      <c r="KED43" s="21"/>
      <c r="KEE43" s="21"/>
      <c r="KEF43" s="21"/>
      <c r="KEG43" s="21"/>
      <c r="KEH43" s="21"/>
      <c r="KEI43" s="21"/>
      <c r="KEJ43" s="21"/>
      <c r="KEK43" s="21"/>
      <c r="KEL43" s="21"/>
      <c r="KEM43" s="21"/>
      <c r="KEN43" s="21"/>
      <c r="KEO43" s="21"/>
      <c r="KEP43" s="21"/>
      <c r="KEQ43" s="21"/>
      <c r="KER43" s="21"/>
      <c r="KES43" s="21"/>
      <c r="KET43" s="21"/>
      <c r="KEU43" s="21"/>
      <c r="KEV43" s="21"/>
      <c r="KEW43" s="21"/>
      <c r="KEX43" s="21"/>
      <c r="KEY43" s="21"/>
      <c r="KEZ43" s="21"/>
      <c r="KFA43" s="21"/>
      <c r="KFB43" s="21"/>
      <c r="KFC43" s="21"/>
      <c r="KFD43" s="21"/>
      <c r="KFE43" s="21"/>
      <c r="KFF43" s="21"/>
      <c r="KFG43" s="21"/>
      <c r="KFH43" s="21"/>
      <c r="KFI43" s="21"/>
      <c r="KFJ43" s="21"/>
      <c r="KFK43" s="21"/>
      <c r="KFL43" s="21"/>
      <c r="KFM43" s="21"/>
      <c r="KFN43" s="21"/>
      <c r="KFO43" s="21"/>
      <c r="KFP43" s="21"/>
      <c r="KFQ43" s="21"/>
      <c r="KFR43" s="21"/>
      <c r="KFS43" s="21"/>
      <c r="KFT43" s="21"/>
      <c r="KFU43" s="21"/>
      <c r="KFV43" s="21"/>
      <c r="KFW43" s="21"/>
      <c r="KFX43" s="21"/>
      <c r="KFY43" s="21"/>
      <c r="KFZ43" s="21"/>
      <c r="KGA43" s="21"/>
      <c r="KGB43" s="21"/>
      <c r="KGC43" s="21"/>
      <c r="KGD43" s="21"/>
      <c r="KGE43" s="21"/>
      <c r="KGF43" s="21"/>
      <c r="KGG43" s="21"/>
      <c r="KGH43" s="21"/>
      <c r="KGI43" s="21"/>
      <c r="KGJ43" s="21"/>
      <c r="KGK43" s="21"/>
      <c r="KGL43" s="21"/>
      <c r="KGM43" s="21"/>
      <c r="KGN43" s="21"/>
      <c r="KGO43" s="21"/>
      <c r="KGP43" s="21"/>
      <c r="KGQ43" s="21"/>
      <c r="KGR43" s="21"/>
      <c r="KGS43" s="21"/>
      <c r="KGT43" s="21"/>
      <c r="KGU43" s="21"/>
      <c r="KGV43" s="21"/>
      <c r="KGW43" s="21"/>
      <c r="KGX43" s="21"/>
      <c r="KGY43" s="21"/>
      <c r="KGZ43" s="21"/>
      <c r="KHA43" s="21"/>
      <c r="KHB43" s="21"/>
      <c r="KHC43" s="21"/>
      <c r="KHD43" s="21"/>
      <c r="KHE43" s="21"/>
      <c r="KHF43" s="21"/>
      <c r="KHG43" s="21"/>
      <c r="KHH43" s="21"/>
      <c r="KHI43" s="21"/>
      <c r="KHJ43" s="21"/>
      <c r="KHK43" s="21"/>
      <c r="KHL43" s="21"/>
      <c r="KHM43" s="21"/>
      <c r="KHN43" s="21"/>
      <c r="KHO43" s="21"/>
      <c r="KHP43" s="21"/>
      <c r="KHQ43" s="21"/>
      <c r="KHR43" s="21"/>
      <c r="KHS43" s="21"/>
      <c r="KHT43" s="21"/>
      <c r="KHU43" s="21"/>
      <c r="KHV43" s="21"/>
      <c r="KHW43" s="21"/>
      <c r="KHX43" s="21"/>
      <c r="KHY43" s="21"/>
      <c r="KHZ43" s="21"/>
      <c r="KIA43" s="21"/>
      <c r="KIB43" s="21"/>
      <c r="KIC43" s="21"/>
      <c r="KID43" s="21"/>
      <c r="KIE43" s="21"/>
      <c r="KIF43" s="21"/>
      <c r="KIG43" s="21"/>
      <c r="KIH43" s="21"/>
      <c r="KII43" s="21"/>
      <c r="KIJ43" s="21"/>
      <c r="KIK43" s="21"/>
      <c r="KIL43" s="21"/>
      <c r="KIM43" s="21"/>
      <c r="KIN43" s="21"/>
      <c r="KIO43" s="21"/>
      <c r="KIP43" s="21"/>
      <c r="KIQ43" s="21"/>
      <c r="KIR43" s="21"/>
      <c r="KIS43" s="21"/>
      <c r="KIT43" s="21"/>
      <c r="KIU43" s="21"/>
      <c r="KIV43" s="21"/>
      <c r="KIW43" s="21"/>
      <c r="KIX43" s="21"/>
      <c r="KIY43" s="21"/>
      <c r="KIZ43" s="21"/>
      <c r="KJA43" s="21"/>
      <c r="KJB43" s="21"/>
      <c r="KJC43" s="21"/>
      <c r="KJD43" s="21"/>
      <c r="KJE43" s="21"/>
      <c r="KJF43" s="21"/>
      <c r="KJG43" s="21"/>
      <c r="KJH43" s="21"/>
      <c r="KJI43" s="21"/>
      <c r="KJJ43" s="21"/>
      <c r="KJK43" s="21"/>
      <c r="KJL43" s="21"/>
      <c r="KJM43" s="21"/>
      <c r="KJN43" s="21"/>
      <c r="KJO43" s="21"/>
      <c r="KJP43" s="21"/>
      <c r="KJQ43" s="21"/>
      <c r="KJR43" s="21"/>
      <c r="KJS43" s="21"/>
      <c r="KJT43" s="21"/>
      <c r="KJU43" s="21"/>
      <c r="KJV43" s="21"/>
      <c r="KJW43" s="21"/>
      <c r="KJX43" s="21"/>
      <c r="KJY43" s="21"/>
      <c r="KJZ43" s="21"/>
      <c r="KKA43" s="21"/>
      <c r="KKB43" s="21"/>
      <c r="KKC43" s="21"/>
      <c r="KKD43" s="21"/>
      <c r="KKE43" s="21"/>
      <c r="KKF43" s="21"/>
      <c r="KKG43" s="21"/>
      <c r="KKH43" s="21"/>
      <c r="KKI43" s="21"/>
      <c r="KKJ43" s="21"/>
      <c r="KKK43" s="21"/>
      <c r="KKL43" s="21"/>
      <c r="KKM43" s="21"/>
      <c r="KKN43" s="21"/>
      <c r="KKO43" s="21"/>
      <c r="KKP43" s="21"/>
      <c r="KKQ43" s="21"/>
      <c r="KKR43" s="21"/>
      <c r="KKS43" s="21"/>
      <c r="KKT43" s="21"/>
      <c r="KKU43" s="21"/>
      <c r="KKV43" s="21"/>
      <c r="KKW43" s="21"/>
      <c r="KKX43" s="21"/>
      <c r="KKY43" s="21"/>
      <c r="KKZ43" s="21"/>
      <c r="KLA43" s="21"/>
      <c r="KLB43" s="21"/>
      <c r="KLC43" s="21"/>
      <c r="KLD43" s="21"/>
      <c r="KLE43" s="21"/>
      <c r="KLF43" s="21"/>
      <c r="KLG43" s="21"/>
      <c r="KLH43" s="21"/>
      <c r="KLI43" s="21"/>
      <c r="KLJ43" s="21"/>
      <c r="KLK43" s="21"/>
      <c r="KLL43" s="21"/>
      <c r="KLM43" s="21"/>
      <c r="KLN43" s="21"/>
      <c r="KLO43" s="21"/>
      <c r="KLP43" s="21"/>
      <c r="KLQ43" s="21"/>
      <c r="KLR43" s="21"/>
      <c r="KLS43" s="21"/>
      <c r="KLT43" s="21"/>
      <c r="KLU43" s="21"/>
      <c r="KLV43" s="21"/>
      <c r="KLW43" s="21"/>
      <c r="KLX43" s="21"/>
      <c r="KLY43" s="21"/>
      <c r="KLZ43" s="21"/>
      <c r="KMA43" s="21"/>
      <c r="KMB43" s="21"/>
      <c r="KMC43" s="21"/>
      <c r="KMD43" s="21"/>
      <c r="KME43" s="21"/>
      <c r="KMF43" s="21"/>
      <c r="KMG43" s="21"/>
      <c r="KMH43" s="21"/>
      <c r="KMI43" s="21"/>
      <c r="KMJ43" s="21"/>
      <c r="KMK43" s="21"/>
      <c r="KML43" s="21"/>
      <c r="KMM43" s="21"/>
      <c r="KMN43" s="21"/>
      <c r="KMO43" s="21"/>
      <c r="KMP43" s="21"/>
      <c r="KMQ43" s="21"/>
      <c r="KMR43" s="21"/>
      <c r="KMS43" s="21"/>
      <c r="KMT43" s="21"/>
      <c r="KMU43" s="21"/>
      <c r="KMV43" s="21"/>
      <c r="KMW43" s="21"/>
      <c r="KMX43" s="21"/>
      <c r="KMY43" s="21"/>
      <c r="KMZ43" s="21"/>
      <c r="KNA43" s="21"/>
      <c r="KNB43" s="21"/>
      <c r="KNC43" s="21"/>
      <c r="KND43" s="21"/>
      <c r="KNE43" s="21"/>
      <c r="KNF43" s="21"/>
      <c r="KNG43" s="21"/>
      <c r="KNH43" s="21"/>
      <c r="KNI43" s="21"/>
      <c r="KNJ43" s="21"/>
      <c r="KNK43" s="21"/>
      <c r="KNL43" s="21"/>
      <c r="KNM43" s="21"/>
      <c r="KNN43" s="21"/>
      <c r="KNO43" s="21"/>
      <c r="KNP43" s="21"/>
      <c r="KNQ43" s="21"/>
      <c r="KNR43" s="21"/>
      <c r="KNS43" s="21"/>
      <c r="KNT43" s="21"/>
      <c r="KNU43" s="21"/>
      <c r="KNV43" s="21"/>
      <c r="KNW43" s="21"/>
      <c r="KNX43" s="21"/>
      <c r="KNY43" s="21"/>
      <c r="KNZ43" s="21"/>
      <c r="KOA43" s="21"/>
      <c r="KOB43" s="21"/>
      <c r="KOC43" s="21"/>
      <c r="KOD43" s="21"/>
      <c r="KOE43" s="21"/>
      <c r="KOF43" s="21"/>
      <c r="KOG43" s="21"/>
      <c r="KOH43" s="21"/>
      <c r="KOI43" s="21"/>
      <c r="KOJ43" s="21"/>
      <c r="KOK43" s="21"/>
      <c r="KOL43" s="21"/>
      <c r="KOM43" s="21"/>
      <c r="KON43" s="21"/>
      <c r="KOO43" s="21"/>
      <c r="KOP43" s="21"/>
      <c r="KOQ43" s="21"/>
      <c r="KOR43" s="21"/>
      <c r="KOS43" s="21"/>
      <c r="KOT43" s="21"/>
      <c r="KOU43" s="21"/>
      <c r="KOV43" s="21"/>
      <c r="KOW43" s="21"/>
      <c r="KOX43" s="21"/>
      <c r="KOY43" s="21"/>
      <c r="KOZ43" s="21"/>
      <c r="KPA43" s="21"/>
      <c r="KPB43" s="21"/>
      <c r="KPC43" s="21"/>
      <c r="KPD43" s="21"/>
      <c r="KPE43" s="21"/>
      <c r="KPF43" s="21"/>
      <c r="KPG43" s="21"/>
      <c r="KPH43" s="21"/>
      <c r="KPI43" s="21"/>
      <c r="KPJ43" s="21"/>
      <c r="KPK43" s="21"/>
      <c r="KPL43" s="21"/>
      <c r="KPM43" s="21"/>
      <c r="KPN43" s="21"/>
      <c r="KPO43" s="21"/>
      <c r="KPP43" s="21"/>
      <c r="KPQ43" s="21"/>
      <c r="KPR43" s="21"/>
      <c r="KPS43" s="21"/>
      <c r="KPT43" s="21"/>
      <c r="KPU43" s="21"/>
      <c r="KPV43" s="21"/>
      <c r="KPW43" s="21"/>
      <c r="KPX43" s="21"/>
      <c r="KPY43" s="21"/>
      <c r="KPZ43" s="21"/>
      <c r="KQA43" s="21"/>
      <c r="KQB43" s="21"/>
      <c r="KQC43" s="21"/>
      <c r="KQD43" s="21"/>
      <c r="KQE43" s="21"/>
      <c r="KQF43" s="21"/>
      <c r="KQG43" s="21"/>
      <c r="KQH43" s="21"/>
      <c r="KQI43" s="21"/>
      <c r="KQJ43" s="21"/>
      <c r="KQK43" s="21"/>
      <c r="KQL43" s="21"/>
      <c r="KQM43" s="21"/>
      <c r="KQN43" s="21"/>
      <c r="KQO43" s="21"/>
      <c r="KQP43" s="21"/>
      <c r="KQQ43" s="21"/>
      <c r="KQR43" s="21"/>
      <c r="KQS43" s="21"/>
      <c r="KQT43" s="21"/>
      <c r="KQU43" s="21"/>
      <c r="KQV43" s="21"/>
      <c r="KQW43" s="21"/>
      <c r="KQX43" s="21"/>
      <c r="KQY43" s="21"/>
      <c r="KQZ43" s="21"/>
      <c r="KRA43" s="21"/>
      <c r="KRB43" s="21"/>
      <c r="KRC43" s="21"/>
      <c r="KRD43" s="21"/>
      <c r="KRE43" s="21"/>
      <c r="KRF43" s="21"/>
      <c r="KRG43" s="21"/>
      <c r="KRH43" s="21"/>
      <c r="KRI43" s="21"/>
      <c r="KRJ43" s="21"/>
      <c r="KRK43" s="21"/>
      <c r="KRL43" s="21"/>
      <c r="KRM43" s="21"/>
      <c r="KRN43" s="21"/>
      <c r="KRO43" s="21"/>
      <c r="KRP43" s="21"/>
      <c r="KRQ43" s="21"/>
      <c r="KRR43" s="21"/>
      <c r="KRS43" s="21"/>
      <c r="KRT43" s="21"/>
      <c r="KRU43" s="21"/>
      <c r="KRV43" s="21"/>
      <c r="KRW43" s="21"/>
      <c r="KRX43" s="21"/>
      <c r="KRY43" s="21"/>
      <c r="KRZ43" s="21"/>
      <c r="KSA43" s="21"/>
      <c r="KSB43" s="21"/>
      <c r="KSC43" s="21"/>
      <c r="KSD43" s="21"/>
      <c r="KSE43" s="21"/>
      <c r="KSF43" s="21"/>
      <c r="KSG43" s="21"/>
      <c r="KSH43" s="21"/>
      <c r="KSI43" s="21"/>
      <c r="KSJ43" s="21"/>
      <c r="KSK43" s="21"/>
      <c r="KSL43" s="21"/>
      <c r="KSM43" s="21"/>
      <c r="KSN43" s="21"/>
      <c r="KSO43" s="21"/>
      <c r="KSP43" s="21"/>
      <c r="KSQ43" s="21"/>
      <c r="KSR43" s="21"/>
      <c r="KSS43" s="21"/>
      <c r="KST43" s="21"/>
      <c r="KSU43" s="21"/>
      <c r="KSV43" s="21"/>
      <c r="KSW43" s="21"/>
      <c r="KSX43" s="21"/>
      <c r="KSY43" s="21"/>
      <c r="KSZ43" s="21"/>
      <c r="KTA43" s="21"/>
      <c r="KTB43" s="21"/>
      <c r="KTC43" s="21"/>
      <c r="KTD43" s="21"/>
      <c r="KTE43" s="21"/>
      <c r="KTF43" s="21"/>
      <c r="KTG43" s="21"/>
      <c r="KTH43" s="21"/>
      <c r="KTI43" s="21"/>
      <c r="KTJ43" s="21"/>
      <c r="KTK43" s="21"/>
      <c r="KTL43" s="21"/>
      <c r="KTM43" s="21"/>
      <c r="KTN43" s="21"/>
      <c r="KTO43" s="21"/>
      <c r="KTP43" s="21"/>
      <c r="KTQ43" s="21"/>
      <c r="KTR43" s="21"/>
      <c r="KTS43" s="21"/>
      <c r="KTT43" s="21"/>
      <c r="KTU43" s="21"/>
      <c r="KTV43" s="21"/>
      <c r="KTW43" s="21"/>
      <c r="KTX43" s="21"/>
      <c r="KTY43" s="21"/>
      <c r="KTZ43" s="21"/>
      <c r="KUA43" s="21"/>
      <c r="KUB43" s="21"/>
      <c r="KUC43" s="21"/>
      <c r="KUD43" s="21"/>
      <c r="KUE43" s="21"/>
      <c r="KUF43" s="21"/>
      <c r="KUG43" s="21"/>
      <c r="KUH43" s="21"/>
      <c r="KUI43" s="21"/>
      <c r="KUJ43" s="21"/>
      <c r="KUK43" s="21"/>
      <c r="KUL43" s="21"/>
      <c r="KUM43" s="21"/>
      <c r="KUN43" s="21"/>
      <c r="KUO43" s="21"/>
      <c r="KUP43" s="21"/>
      <c r="KUQ43" s="21"/>
      <c r="KUR43" s="21"/>
      <c r="KUS43" s="21"/>
      <c r="KUT43" s="21"/>
      <c r="KUU43" s="21"/>
      <c r="KUV43" s="21"/>
      <c r="KUW43" s="21"/>
      <c r="KUX43" s="21"/>
      <c r="KUY43" s="21"/>
      <c r="KUZ43" s="21"/>
      <c r="KVA43" s="21"/>
      <c r="KVB43" s="21"/>
      <c r="KVC43" s="21"/>
      <c r="KVD43" s="21"/>
      <c r="KVE43" s="21"/>
      <c r="KVF43" s="21"/>
      <c r="KVG43" s="21"/>
      <c r="KVH43" s="21"/>
      <c r="KVI43" s="21"/>
      <c r="KVJ43" s="21"/>
      <c r="KVK43" s="21"/>
      <c r="KVL43" s="21"/>
      <c r="KVM43" s="21"/>
      <c r="KVN43" s="21"/>
      <c r="KVO43" s="21"/>
      <c r="KVP43" s="21"/>
      <c r="KVQ43" s="21"/>
      <c r="KVR43" s="21"/>
      <c r="KVS43" s="21"/>
      <c r="KVT43" s="21"/>
      <c r="KVU43" s="21"/>
      <c r="KVV43" s="21"/>
      <c r="KVW43" s="21"/>
      <c r="KVX43" s="21"/>
      <c r="KVY43" s="21"/>
      <c r="KVZ43" s="21"/>
      <c r="KWA43" s="21"/>
      <c r="KWB43" s="21"/>
      <c r="KWC43" s="21"/>
      <c r="KWD43" s="21"/>
      <c r="KWE43" s="21"/>
      <c r="KWF43" s="21"/>
      <c r="KWG43" s="21"/>
      <c r="KWH43" s="21"/>
      <c r="KWI43" s="21"/>
      <c r="KWJ43" s="21"/>
      <c r="KWK43" s="21"/>
      <c r="KWL43" s="21"/>
      <c r="KWM43" s="21"/>
      <c r="KWN43" s="21"/>
      <c r="KWO43" s="21"/>
      <c r="KWP43" s="21"/>
      <c r="KWQ43" s="21"/>
      <c r="KWR43" s="21"/>
      <c r="KWS43" s="21"/>
      <c r="KWT43" s="21"/>
      <c r="KWU43" s="21"/>
      <c r="KWV43" s="21"/>
      <c r="KWW43" s="21"/>
      <c r="KWX43" s="21"/>
      <c r="KWY43" s="21"/>
      <c r="KWZ43" s="21"/>
      <c r="KXA43" s="21"/>
      <c r="KXB43" s="21"/>
      <c r="KXC43" s="21"/>
      <c r="KXD43" s="21"/>
      <c r="KXE43" s="21"/>
      <c r="KXF43" s="21"/>
      <c r="KXG43" s="21"/>
      <c r="KXH43" s="21"/>
      <c r="KXI43" s="21"/>
      <c r="KXJ43" s="21"/>
      <c r="KXK43" s="21"/>
      <c r="KXL43" s="21"/>
      <c r="KXM43" s="21"/>
      <c r="KXN43" s="21"/>
      <c r="KXO43" s="21"/>
      <c r="KXP43" s="21"/>
      <c r="KXQ43" s="21"/>
      <c r="KXR43" s="21"/>
      <c r="KXS43" s="21"/>
      <c r="KXT43" s="21"/>
      <c r="KXU43" s="21"/>
      <c r="KXV43" s="21"/>
      <c r="KXW43" s="21"/>
      <c r="KXX43" s="21"/>
      <c r="KXY43" s="21"/>
      <c r="KXZ43" s="21"/>
      <c r="KYA43" s="21"/>
      <c r="KYB43" s="21"/>
      <c r="KYC43" s="21"/>
      <c r="KYD43" s="21"/>
      <c r="KYE43" s="21"/>
      <c r="KYF43" s="21"/>
      <c r="KYG43" s="21"/>
      <c r="KYH43" s="21"/>
      <c r="KYI43" s="21"/>
      <c r="KYJ43" s="21"/>
      <c r="KYK43" s="21"/>
      <c r="KYL43" s="21"/>
      <c r="KYM43" s="21"/>
      <c r="KYN43" s="21"/>
      <c r="KYO43" s="21"/>
      <c r="KYP43" s="21"/>
      <c r="KYQ43" s="21"/>
      <c r="KYR43" s="21"/>
      <c r="KYS43" s="21"/>
      <c r="KYT43" s="21"/>
      <c r="KYU43" s="21"/>
      <c r="KYV43" s="21"/>
      <c r="KYW43" s="21"/>
      <c r="KYX43" s="21"/>
      <c r="KYY43" s="21"/>
      <c r="KYZ43" s="21"/>
      <c r="KZA43" s="21"/>
      <c r="KZB43" s="21"/>
      <c r="KZC43" s="21"/>
      <c r="KZD43" s="21"/>
      <c r="KZE43" s="21"/>
      <c r="KZF43" s="21"/>
      <c r="KZG43" s="21"/>
      <c r="KZH43" s="21"/>
      <c r="KZI43" s="21"/>
      <c r="KZJ43" s="21"/>
      <c r="KZK43" s="21"/>
      <c r="KZL43" s="21"/>
      <c r="KZM43" s="21"/>
      <c r="KZN43" s="21"/>
      <c r="KZO43" s="21"/>
      <c r="KZP43" s="21"/>
      <c r="KZQ43" s="21"/>
      <c r="KZR43" s="21"/>
      <c r="KZS43" s="21"/>
      <c r="KZT43" s="21"/>
      <c r="KZU43" s="21"/>
      <c r="KZV43" s="21"/>
      <c r="KZW43" s="21"/>
      <c r="KZX43" s="21"/>
      <c r="KZY43" s="21"/>
      <c r="KZZ43" s="21"/>
      <c r="LAA43" s="21"/>
      <c r="LAB43" s="21"/>
      <c r="LAC43" s="21"/>
      <c r="LAD43" s="21"/>
      <c r="LAE43" s="21"/>
      <c r="LAF43" s="21"/>
      <c r="LAG43" s="21"/>
      <c r="LAH43" s="21"/>
      <c r="LAI43" s="21"/>
      <c r="LAJ43" s="21"/>
      <c r="LAK43" s="21"/>
      <c r="LAL43" s="21"/>
      <c r="LAM43" s="21"/>
      <c r="LAN43" s="21"/>
      <c r="LAO43" s="21"/>
      <c r="LAP43" s="21"/>
      <c r="LAQ43" s="21"/>
      <c r="LAR43" s="21"/>
      <c r="LAS43" s="21"/>
      <c r="LAT43" s="21"/>
      <c r="LAU43" s="21"/>
      <c r="LAV43" s="21"/>
      <c r="LAW43" s="21"/>
      <c r="LAX43" s="21"/>
      <c r="LAY43" s="21"/>
      <c r="LAZ43" s="21"/>
      <c r="LBA43" s="21"/>
      <c r="LBB43" s="21"/>
      <c r="LBC43" s="21"/>
      <c r="LBD43" s="21"/>
      <c r="LBE43" s="21"/>
      <c r="LBF43" s="21"/>
      <c r="LBG43" s="21"/>
      <c r="LBH43" s="21"/>
      <c r="LBI43" s="21"/>
      <c r="LBJ43" s="21"/>
      <c r="LBK43" s="21"/>
      <c r="LBL43" s="21"/>
      <c r="LBM43" s="21"/>
      <c r="LBN43" s="21"/>
      <c r="LBO43" s="21"/>
      <c r="LBP43" s="21"/>
      <c r="LBQ43" s="21"/>
      <c r="LBR43" s="21"/>
      <c r="LBS43" s="21"/>
      <c r="LBT43" s="21"/>
      <c r="LBU43" s="21"/>
      <c r="LBV43" s="21"/>
      <c r="LBW43" s="21"/>
      <c r="LBX43" s="21"/>
      <c r="LBY43" s="21"/>
      <c r="LBZ43" s="21"/>
      <c r="LCA43" s="21"/>
      <c r="LCB43" s="21"/>
      <c r="LCC43" s="21"/>
      <c r="LCD43" s="21"/>
      <c r="LCE43" s="21"/>
      <c r="LCF43" s="21"/>
      <c r="LCG43" s="21"/>
      <c r="LCH43" s="21"/>
      <c r="LCI43" s="21"/>
      <c r="LCJ43" s="21"/>
      <c r="LCK43" s="21"/>
      <c r="LCL43" s="21"/>
      <c r="LCM43" s="21"/>
      <c r="LCN43" s="21"/>
      <c r="LCO43" s="21"/>
      <c r="LCP43" s="21"/>
      <c r="LCQ43" s="21"/>
      <c r="LCR43" s="21"/>
      <c r="LCS43" s="21"/>
      <c r="LCT43" s="21"/>
      <c r="LCU43" s="21"/>
      <c r="LCV43" s="21"/>
      <c r="LCW43" s="21"/>
      <c r="LCX43" s="21"/>
      <c r="LCY43" s="21"/>
      <c r="LCZ43" s="21"/>
      <c r="LDA43" s="21"/>
      <c r="LDB43" s="21"/>
      <c r="LDC43" s="21"/>
      <c r="LDD43" s="21"/>
      <c r="LDE43" s="21"/>
      <c r="LDF43" s="21"/>
      <c r="LDG43" s="21"/>
      <c r="LDH43" s="21"/>
      <c r="LDI43" s="21"/>
      <c r="LDJ43" s="21"/>
      <c r="LDK43" s="21"/>
      <c r="LDL43" s="21"/>
      <c r="LDM43" s="21"/>
      <c r="LDN43" s="21"/>
      <c r="LDO43" s="21"/>
      <c r="LDP43" s="21"/>
      <c r="LDQ43" s="21"/>
      <c r="LDR43" s="21"/>
      <c r="LDS43" s="21"/>
      <c r="LDT43" s="21"/>
      <c r="LDU43" s="21"/>
      <c r="LDV43" s="21"/>
      <c r="LDW43" s="21"/>
      <c r="LDX43" s="21"/>
      <c r="LDY43" s="21"/>
      <c r="LDZ43" s="21"/>
      <c r="LEA43" s="21"/>
      <c r="LEB43" s="21"/>
      <c r="LEC43" s="21"/>
      <c r="LED43" s="21"/>
      <c r="LEE43" s="21"/>
      <c r="LEF43" s="21"/>
      <c r="LEG43" s="21"/>
      <c r="LEH43" s="21"/>
      <c r="LEI43" s="21"/>
      <c r="LEJ43" s="21"/>
      <c r="LEK43" s="21"/>
      <c r="LEL43" s="21"/>
      <c r="LEM43" s="21"/>
      <c r="LEN43" s="21"/>
      <c r="LEO43" s="21"/>
      <c r="LEP43" s="21"/>
      <c r="LEQ43" s="21"/>
      <c r="LER43" s="21"/>
      <c r="LES43" s="21"/>
      <c r="LET43" s="21"/>
      <c r="LEU43" s="21"/>
      <c r="LEV43" s="21"/>
      <c r="LEW43" s="21"/>
      <c r="LEX43" s="21"/>
      <c r="LEY43" s="21"/>
      <c r="LEZ43" s="21"/>
      <c r="LFA43" s="21"/>
      <c r="LFB43" s="21"/>
      <c r="LFC43" s="21"/>
      <c r="LFD43" s="21"/>
      <c r="LFE43" s="21"/>
      <c r="LFF43" s="21"/>
      <c r="LFG43" s="21"/>
      <c r="LFH43" s="21"/>
      <c r="LFI43" s="21"/>
      <c r="LFJ43" s="21"/>
      <c r="LFK43" s="21"/>
      <c r="LFL43" s="21"/>
      <c r="LFM43" s="21"/>
      <c r="LFN43" s="21"/>
      <c r="LFO43" s="21"/>
      <c r="LFP43" s="21"/>
      <c r="LFQ43" s="21"/>
      <c r="LFR43" s="21"/>
      <c r="LFS43" s="21"/>
      <c r="LFT43" s="21"/>
      <c r="LFU43" s="21"/>
      <c r="LFV43" s="21"/>
      <c r="LFW43" s="21"/>
      <c r="LFX43" s="21"/>
      <c r="LFY43" s="21"/>
      <c r="LFZ43" s="21"/>
      <c r="LGA43" s="21"/>
      <c r="LGB43" s="21"/>
      <c r="LGC43" s="21"/>
      <c r="LGD43" s="21"/>
      <c r="LGE43" s="21"/>
      <c r="LGF43" s="21"/>
      <c r="LGG43" s="21"/>
      <c r="LGH43" s="21"/>
      <c r="LGI43" s="21"/>
      <c r="LGJ43" s="21"/>
      <c r="LGK43" s="21"/>
      <c r="LGL43" s="21"/>
      <c r="LGM43" s="21"/>
      <c r="LGN43" s="21"/>
      <c r="LGO43" s="21"/>
      <c r="LGP43" s="21"/>
      <c r="LGQ43" s="21"/>
      <c r="LGR43" s="21"/>
      <c r="LGS43" s="21"/>
      <c r="LGT43" s="21"/>
      <c r="LGU43" s="21"/>
      <c r="LGV43" s="21"/>
      <c r="LGW43" s="21"/>
      <c r="LGX43" s="21"/>
      <c r="LGY43" s="21"/>
      <c r="LGZ43" s="21"/>
      <c r="LHA43" s="21"/>
      <c r="LHB43" s="21"/>
      <c r="LHC43" s="21"/>
      <c r="LHD43" s="21"/>
      <c r="LHE43" s="21"/>
      <c r="LHF43" s="21"/>
      <c r="LHG43" s="21"/>
      <c r="LHH43" s="21"/>
      <c r="LHI43" s="21"/>
      <c r="LHJ43" s="21"/>
      <c r="LHK43" s="21"/>
      <c r="LHL43" s="21"/>
      <c r="LHM43" s="21"/>
      <c r="LHN43" s="21"/>
      <c r="LHO43" s="21"/>
      <c r="LHP43" s="21"/>
      <c r="LHQ43" s="21"/>
      <c r="LHR43" s="21"/>
      <c r="LHS43" s="21"/>
      <c r="LHT43" s="21"/>
      <c r="LHU43" s="21"/>
      <c r="LHV43" s="21"/>
      <c r="LHW43" s="21"/>
      <c r="LHX43" s="21"/>
      <c r="LHY43" s="21"/>
      <c r="LHZ43" s="21"/>
      <c r="LIA43" s="21"/>
      <c r="LIB43" s="21"/>
      <c r="LIC43" s="21"/>
      <c r="LID43" s="21"/>
      <c r="LIE43" s="21"/>
      <c r="LIF43" s="21"/>
      <c r="LIG43" s="21"/>
      <c r="LIH43" s="21"/>
      <c r="LII43" s="21"/>
      <c r="LIJ43" s="21"/>
      <c r="LIK43" s="21"/>
      <c r="LIL43" s="21"/>
      <c r="LIM43" s="21"/>
      <c r="LIN43" s="21"/>
      <c r="LIO43" s="21"/>
      <c r="LIP43" s="21"/>
      <c r="LIQ43" s="21"/>
      <c r="LIR43" s="21"/>
      <c r="LIS43" s="21"/>
      <c r="LIT43" s="21"/>
      <c r="LIU43" s="21"/>
      <c r="LIV43" s="21"/>
      <c r="LIW43" s="21"/>
      <c r="LIX43" s="21"/>
      <c r="LIY43" s="21"/>
      <c r="LIZ43" s="21"/>
      <c r="LJA43" s="21"/>
      <c r="LJB43" s="21"/>
      <c r="LJC43" s="21"/>
      <c r="LJD43" s="21"/>
      <c r="LJE43" s="21"/>
      <c r="LJF43" s="21"/>
      <c r="LJG43" s="21"/>
      <c r="LJH43" s="21"/>
      <c r="LJI43" s="21"/>
      <c r="LJJ43" s="21"/>
      <c r="LJK43" s="21"/>
      <c r="LJL43" s="21"/>
      <c r="LJM43" s="21"/>
      <c r="LJN43" s="21"/>
      <c r="LJO43" s="21"/>
      <c r="LJP43" s="21"/>
      <c r="LJQ43" s="21"/>
      <c r="LJR43" s="21"/>
      <c r="LJS43" s="21"/>
      <c r="LJT43" s="21"/>
      <c r="LJU43" s="21"/>
      <c r="LJV43" s="21"/>
      <c r="LJW43" s="21"/>
      <c r="LJX43" s="21"/>
      <c r="LJY43" s="21"/>
      <c r="LJZ43" s="21"/>
      <c r="LKA43" s="21"/>
      <c r="LKB43" s="21"/>
      <c r="LKC43" s="21"/>
      <c r="LKD43" s="21"/>
      <c r="LKE43" s="21"/>
      <c r="LKF43" s="21"/>
      <c r="LKG43" s="21"/>
      <c r="LKH43" s="21"/>
      <c r="LKI43" s="21"/>
      <c r="LKJ43" s="21"/>
      <c r="LKK43" s="21"/>
      <c r="LKL43" s="21"/>
      <c r="LKM43" s="21"/>
      <c r="LKN43" s="21"/>
      <c r="LKO43" s="21"/>
      <c r="LKP43" s="21"/>
      <c r="LKQ43" s="21"/>
      <c r="LKR43" s="21"/>
      <c r="LKS43" s="21"/>
      <c r="LKT43" s="21"/>
      <c r="LKU43" s="21"/>
      <c r="LKV43" s="21"/>
      <c r="LKW43" s="21"/>
      <c r="LKX43" s="21"/>
      <c r="LKY43" s="21"/>
      <c r="LKZ43" s="21"/>
      <c r="LLA43" s="21"/>
      <c r="LLB43" s="21"/>
      <c r="LLC43" s="21"/>
      <c r="LLD43" s="21"/>
      <c r="LLE43" s="21"/>
      <c r="LLF43" s="21"/>
      <c r="LLG43" s="21"/>
      <c r="LLH43" s="21"/>
      <c r="LLI43" s="21"/>
      <c r="LLJ43" s="21"/>
      <c r="LLK43" s="21"/>
      <c r="LLL43" s="21"/>
      <c r="LLM43" s="21"/>
      <c r="LLN43" s="21"/>
      <c r="LLO43" s="21"/>
      <c r="LLP43" s="21"/>
      <c r="LLQ43" s="21"/>
      <c r="LLR43" s="21"/>
      <c r="LLS43" s="21"/>
      <c r="LLT43" s="21"/>
      <c r="LLU43" s="21"/>
      <c r="LLV43" s="21"/>
      <c r="LLW43" s="21"/>
      <c r="LLX43" s="21"/>
      <c r="LLY43" s="21"/>
      <c r="LLZ43" s="21"/>
      <c r="LMA43" s="21"/>
      <c r="LMB43" s="21"/>
      <c r="LMC43" s="21"/>
      <c r="LMD43" s="21"/>
      <c r="LME43" s="21"/>
      <c r="LMF43" s="21"/>
      <c r="LMG43" s="21"/>
      <c r="LMH43" s="21"/>
      <c r="LMI43" s="21"/>
      <c r="LMJ43" s="21"/>
      <c r="LMK43" s="21"/>
      <c r="LML43" s="21"/>
      <c r="LMM43" s="21"/>
      <c r="LMN43" s="21"/>
      <c r="LMO43" s="21"/>
      <c r="LMP43" s="21"/>
      <c r="LMQ43" s="21"/>
      <c r="LMR43" s="21"/>
      <c r="LMS43" s="21"/>
      <c r="LMT43" s="21"/>
      <c r="LMU43" s="21"/>
      <c r="LMV43" s="21"/>
      <c r="LMW43" s="21"/>
      <c r="LMX43" s="21"/>
      <c r="LMY43" s="21"/>
      <c r="LMZ43" s="21"/>
      <c r="LNA43" s="21"/>
      <c r="LNB43" s="21"/>
      <c r="LNC43" s="21"/>
      <c r="LND43" s="21"/>
      <c r="LNE43" s="21"/>
      <c r="LNF43" s="21"/>
      <c r="LNG43" s="21"/>
      <c r="LNH43" s="21"/>
      <c r="LNI43" s="21"/>
      <c r="LNJ43" s="21"/>
      <c r="LNK43" s="21"/>
      <c r="LNL43" s="21"/>
      <c r="LNM43" s="21"/>
      <c r="LNN43" s="21"/>
      <c r="LNO43" s="21"/>
      <c r="LNP43" s="21"/>
      <c r="LNQ43" s="21"/>
      <c r="LNR43" s="21"/>
      <c r="LNS43" s="21"/>
      <c r="LNT43" s="21"/>
      <c r="LNU43" s="21"/>
      <c r="LNV43" s="21"/>
      <c r="LNW43" s="21"/>
      <c r="LNX43" s="21"/>
      <c r="LNY43" s="21"/>
      <c r="LNZ43" s="21"/>
      <c r="LOA43" s="21"/>
      <c r="LOB43" s="21"/>
      <c r="LOC43" s="21"/>
      <c r="LOD43" s="21"/>
      <c r="LOE43" s="21"/>
      <c r="LOF43" s="21"/>
      <c r="LOG43" s="21"/>
      <c r="LOH43" s="21"/>
      <c r="LOI43" s="21"/>
      <c r="LOJ43" s="21"/>
      <c r="LOK43" s="21"/>
      <c r="LOL43" s="21"/>
      <c r="LOM43" s="21"/>
      <c r="LON43" s="21"/>
      <c r="LOO43" s="21"/>
      <c r="LOP43" s="21"/>
      <c r="LOQ43" s="21"/>
      <c r="LOR43" s="21"/>
      <c r="LOS43" s="21"/>
      <c r="LOT43" s="21"/>
      <c r="LOU43" s="21"/>
      <c r="LOV43" s="21"/>
      <c r="LOW43" s="21"/>
      <c r="LOX43" s="21"/>
      <c r="LOY43" s="21"/>
      <c r="LOZ43" s="21"/>
      <c r="LPA43" s="21"/>
      <c r="LPB43" s="21"/>
      <c r="LPC43" s="21"/>
      <c r="LPD43" s="21"/>
      <c r="LPE43" s="21"/>
      <c r="LPF43" s="21"/>
      <c r="LPG43" s="21"/>
      <c r="LPH43" s="21"/>
      <c r="LPI43" s="21"/>
      <c r="LPJ43" s="21"/>
      <c r="LPK43" s="21"/>
      <c r="LPL43" s="21"/>
      <c r="LPM43" s="21"/>
      <c r="LPN43" s="21"/>
      <c r="LPO43" s="21"/>
      <c r="LPP43" s="21"/>
      <c r="LPQ43" s="21"/>
      <c r="LPR43" s="21"/>
      <c r="LPS43" s="21"/>
      <c r="LPT43" s="21"/>
      <c r="LPU43" s="21"/>
      <c r="LPV43" s="21"/>
      <c r="LPW43" s="21"/>
      <c r="LPX43" s="21"/>
      <c r="LPY43" s="21"/>
      <c r="LPZ43" s="21"/>
      <c r="LQA43" s="21"/>
      <c r="LQB43" s="21"/>
      <c r="LQC43" s="21"/>
      <c r="LQD43" s="21"/>
      <c r="LQE43" s="21"/>
      <c r="LQF43" s="21"/>
      <c r="LQG43" s="21"/>
      <c r="LQH43" s="21"/>
      <c r="LQI43" s="21"/>
      <c r="LQJ43" s="21"/>
      <c r="LQK43" s="21"/>
      <c r="LQL43" s="21"/>
      <c r="LQM43" s="21"/>
      <c r="LQN43" s="21"/>
      <c r="LQO43" s="21"/>
      <c r="LQP43" s="21"/>
      <c r="LQQ43" s="21"/>
      <c r="LQR43" s="21"/>
      <c r="LQS43" s="21"/>
      <c r="LQT43" s="21"/>
      <c r="LQU43" s="21"/>
      <c r="LQV43" s="21"/>
      <c r="LQW43" s="21"/>
      <c r="LQX43" s="21"/>
      <c r="LQY43" s="21"/>
      <c r="LQZ43" s="21"/>
      <c r="LRA43" s="21"/>
      <c r="LRB43" s="21"/>
      <c r="LRC43" s="21"/>
      <c r="LRD43" s="21"/>
      <c r="LRE43" s="21"/>
      <c r="LRF43" s="21"/>
      <c r="LRG43" s="21"/>
      <c r="LRH43" s="21"/>
      <c r="LRI43" s="21"/>
      <c r="LRJ43" s="21"/>
      <c r="LRK43" s="21"/>
      <c r="LRL43" s="21"/>
      <c r="LRM43" s="21"/>
      <c r="LRN43" s="21"/>
      <c r="LRO43" s="21"/>
      <c r="LRP43" s="21"/>
      <c r="LRQ43" s="21"/>
      <c r="LRR43" s="21"/>
      <c r="LRS43" s="21"/>
      <c r="LRT43" s="21"/>
      <c r="LRU43" s="21"/>
      <c r="LRV43" s="21"/>
      <c r="LRW43" s="21"/>
      <c r="LRX43" s="21"/>
      <c r="LRY43" s="21"/>
      <c r="LRZ43" s="21"/>
      <c r="LSA43" s="21"/>
      <c r="LSB43" s="21"/>
      <c r="LSC43" s="21"/>
      <c r="LSD43" s="21"/>
      <c r="LSE43" s="21"/>
      <c r="LSF43" s="21"/>
      <c r="LSG43" s="21"/>
      <c r="LSH43" s="21"/>
      <c r="LSI43" s="21"/>
      <c r="LSJ43" s="21"/>
      <c r="LSK43" s="21"/>
      <c r="LSL43" s="21"/>
      <c r="LSM43" s="21"/>
      <c r="LSN43" s="21"/>
      <c r="LSO43" s="21"/>
      <c r="LSP43" s="21"/>
      <c r="LSQ43" s="21"/>
      <c r="LSR43" s="21"/>
      <c r="LSS43" s="21"/>
      <c r="LST43" s="21"/>
      <c r="LSU43" s="21"/>
      <c r="LSV43" s="21"/>
      <c r="LSW43" s="21"/>
      <c r="LSX43" s="21"/>
      <c r="LSY43" s="21"/>
      <c r="LSZ43" s="21"/>
      <c r="LTA43" s="21"/>
      <c r="LTB43" s="21"/>
      <c r="LTC43" s="21"/>
      <c r="LTD43" s="21"/>
      <c r="LTE43" s="21"/>
      <c r="LTF43" s="21"/>
      <c r="LTG43" s="21"/>
      <c r="LTH43" s="21"/>
      <c r="LTI43" s="21"/>
      <c r="LTJ43" s="21"/>
      <c r="LTK43" s="21"/>
      <c r="LTL43" s="21"/>
      <c r="LTM43" s="21"/>
      <c r="LTN43" s="21"/>
      <c r="LTO43" s="21"/>
      <c r="LTP43" s="21"/>
      <c r="LTQ43" s="21"/>
      <c r="LTR43" s="21"/>
      <c r="LTS43" s="21"/>
      <c r="LTT43" s="21"/>
      <c r="LTU43" s="21"/>
      <c r="LTV43" s="21"/>
      <c r="LTW43" s="21"/>
      <c r="LTX43" s="21"/>
      <c r="LTY43" s="21"/>
      <c r="LTZ43" s="21"/>
      <c r="LUA43" s="21"/>
      <c r="LUB43" s="21"/>
      <c r="LUC43" s="21"/>
      <c r="LUD43" s="21"/>
      <c r="LUE43" s="21"/>
      <c r="LUF43" s="21"/>
      <c r="LUG43" s="21"/>
      <c r="LUH43" s="21"/>
      <c r="LUI43" s="21"/>
      <c r="LUJ43" s="21"/>
      <c r="LUK43" s="21"/>
      <c r="LUL43" s="21"/>
      <c r="LUM43" s="21"/>
      <c r="LUN43" s="21"/>
      <c r="LUO43" s="21"/>
      <c r="LUP43" s="21"/>
      <c r="LUQ43" s="21"/>
      <c r="LUR43" s="21"/>
      <c r="LUS43" s="21"/>
      <c r="LUT43" s="21"/>
      <c r="LUU43" s="21"/>
      <c r="LUV43" s="21"/>
      <c r="LUW43" s="21"/>
      <c r="LUX43" s="21"/>
      <c r="LUY43" s="21"/>
      <c r="LUZ43" s="21"/>
      <c r="LVA43" s="21"/>
      <c r="LVB43" s="21"/>
      <c r="LVC43" s="21"/>
      <c r="LVD43" s="21"/>
      <c r="LVE43" s="21"/>
      <c r="LVF43" s="21"/>
      <c r="LVG43" s="21"/>
      <c r="LVH43" s="21"/>
      <c r="LVI43" s="21"/>
      <c r="LVJ43" s="21"/>
      <c r="LVK43" s="21"/>
      <c r="LVL43" s="21"/>
      <c r="LVM43" s="21"/>
      <c r="LVN43" s="21"/>
      <c r="LVO43" s="21"/>
      <c r="LVP43" s="21"/>
      <c r="LVQ43" s="21"/>
      <c r="LVR43" s="21"/>
      <c r="LVS43" s="21"/>
      <c r="LVT43" s="21"/>
      <c r="LVU43" s="21"/>
      <c r="LVV43" s="21"/>
      <c r="LVW43" s="21"/>
      <c r="LVX43" s="21"/>
      <c r="LVY43" s="21"/>
      <c r="LVZ43" s="21"/>
      <c r="LWA43" s="21"/>
      <c r="LWB43" s="21"/>
      <c r="LWC43" s="21"/>
      <c r="LWD43" s="21"/>
      <c r="LWE43" s="21"/>
      <c r="LWF43" s="21"/>
      <c r="LWG43" s="21"/>
      <c r="LWH43" s="21"/>
      <c r="LWI43" s="21"/>
      <c r="LWJ43" s="21"/>
      <c r="LWK43" s="21"/>
      <c r="LWL43" s="21"/>
      <c r="LWM43" s="21"/>
      <c r="LWN43" s="21"/>
      <c r="LWO43" s="21"/>
      <c r="LWP43" s="21"/>
      <c r="LWQ43" s="21"/>
      <c r="LWR43" s="21"/>
      <c r="LWS43" s="21"/>
      <c r="LWT43" s="21"/>
      <c r="LWU43" s="21"/>
      <c r="LWV43" s="21"/>
      <c r="LWW43" s="21"/>
      <c r="LWX43" s="21"/>
      <c r="LWY43" s="21"/>
      <c r="LWZ43" s="21"/>
      <c r="LXA43" s="21"/>
      <c r="LXB43" s="21"/>
      <c r="LXC43" s="21"/>
      <c r="LXD43" s="21"/>
      <c r="LXE43" s="21"/>
      <c r="LXF43" s="21"/>
      <c r="LXG43" s="21"/>
      <c r="LXH43" s="21"/>
      <c r="LXI43" s="21"/>
      <c r="LXJ43" s="21"/>
      <c r="LXK43" s="21"/>
      <c r="LXL43" s="21"/>
      <c r="LXM43" s="21"/>
      <c r="LXN43" s="21"/>
      <c r="LXO43" s="21"/>
      <c r="LXP43" s="21"/>
      <c r="LXQ43" s="21"/>
      <c r="LXR43" s="21"/>
      <c r="LXS43" s="21"/>
      <c r="LXT43" s="21"/>
      <c r="LXU43" s="21"/>
      <c r="LXV43" s="21"/>
      <c r="LXW43" s="21"/>
      <c r="LXX43" s="21"/>
      <c r="LXY43" s="21"/>
      <c r="LXZ43" s="21"/>
      <c r="LYA43" s="21"/>
      <c r="LYB43" s="21"/>
      <c r="LYC43" s="21"/>
      <c r="LYD43" s="21"/>
      <c r="LYE43" s="21"/>
      <c r="LYF43" s="21"/>
      <c r="LYG43" s="21"/>
      <c r="LYH43" s="21"/>
      <c r="LYI43" s="21"/>
      <c r="LYJ43" s="21"/>
      <c r="LYK43" s="21"/>
      <c r="LYL43" s="21"/>
      <c r="LYM43" s="21"/>
      <c r="LYN43" s="21"/>
      <c r="LYO43" s="21"/>
      <c r="LYP43" s="21"/>
      <c r="LYQ43" s="21"/>
      <c r="LYR43" s="21"/>
      <c r="LYS43" s="21"/>
      <c r="LYT43" s="21"/>
      <c r="LYU43" s="21"/>
      <c r="LYV43" s="21"/>
      <c r="LYW43" s="21"/>
      <c r="LYX43" s="21"/>
      <c r="LYY43" s="21"/>
      <c r="LYZ43" s="21"/>
      <c r="LZA43" s="21"/>
      <c r="LZB43" s="21"/>
      <c r="LZC43" s="21"/>
      <c r="LZD43" s="21"/>
      <c r="LZE43" s="21"/>
      <c r="LZF43" s="21"/>
      <c r="LZG43" s="21"/>
      <c r="LZH43" s="21"/>
      <c r="LZI43" s="21"/>
      <c r="LZJ43" s="21"/>
      <c r="LZK43" s="21"/>
      <c r="LZL43" s="21"/>
      <c r="LZM43" s="21"/>
      <c r="LZN43" s="21"/>
      <c r="LZO43" s="21"/>
      <c r="LZP43" s="21"/>
      <c r="LZQ43" s="21"/>
      <c r="LZR43" s="21"/>
      <c r="LZS43" s="21"/>
      <c r="LZT43" s="21"/>
      <c r="LZU43" s="21"/>
      <c r="LZV43" s="21"/>
      <c r="LZW43" s="21"/>
      <c r="LZX43" s="21"/>
      <c r="LZY43" s="21"/>
      <c r="LZZ43" s="21"/>
      <c r="MAA43" s="21"/>
      <c r="MAB43" s="21"/>
      <c r="MAC43" s="21"/>
      <c r="MAD43" s="21"/>
      <c r="MAE43" s="21"/>
      <c r="MAF43" s="21"/>
      <c r="MAG43" s="21"/>
      <c r="MAH43" s="21"/>
      <c r="MAI43" s="21"/>
      <c r="MAJ43" s="21"/>
      <c r="MAK43" s="21"/>
      <c r="MAL43" s="21"/>
      <c r="MAM43" s="21"/>
      <c r="MAN43" s="21"/>
      <c r="MAO43" s="21"/>
      <c r="MAP43" s="21"/>
      <c r="MAQ43" s="21"/>
      <c r="MAR43" s="21"/>
      <c r="MAS43" s="21"/>
      <c r="MAT43" s="21"/>
      <c r="MAU43" s="21"/>
      <c r="MAV43" s="21"/>
      <c r="MAW43" s="21"/>
      <c r="MAX43" s="21"/>
      <c r="MAY43" s="21"/>
      <c r="MAZ43" s="21"/>
      <c r="MBA43" s="21"/>
      <c r="MBB43" s="21"/>
      <c r="MBC43" s="21"/>
      <c r="MBD43" s="21"/>
      <c r="MBE43" s="21"/>
      <c r="MBF43" s="21"/>
      <c r="MBG43" s="21"/>
      <c r="MBH43" s="21"/>
      <c r="MBI43" s="21"/>
      <c r="MBJ43" s="21"/>
      <c r="MBK43" s="21"/>
      <c r="MBL43" s="21"/>
      <c r="MBM43" s="21"/>
      <c r="MBN43" s="21"/>
      <c r="MBO43" s="21"/>
      <c r="MBP43" s="21"/>
      <c r="MBQ43" s="21"/>
      <c r="MBR43" s="21"/>
      <c r="MBS43" s="21"/>
      <c r="MBT43" s="21"/>
      <c r="MBU43" s="21"/>
      <c r="MBV43" s="21"/>
      <c r="MBW43" s="21"/>
      <c r="MBX43" s="21"/>
      <c r="MBY43" s="21"/>
      <c r="MBZ43" s="21"/>
      <c r="MCA43" s="21"/>
      <c r="MCB43" s="21"/>
      <c r="MCC43" s="21"/>
      <c r="MCD43" s="21"/>
      <c r="MCE43" s="21"/>
      <c r="MCF43" s="21"/>
      <c r="MCG43" s="21"/>
      <c r="MCH43" s="21"/>
      <c r="MCI43" s="21"/>
      <c r="MCJ43" s="21"/>
      <c r="MCK43" s="21"/>
      <c r="MCL43" s="21"/>
      <c r="MCM43" s="21"/>
      <c r="MCN43" s="21"/>
      <c r="MCO43" s="21"/>
      <c r="MCP43" s="21"/>
      <c r="MCQ43" s="21"/>
      <c r="MCR43" s="21"/>
      <c r="MCS43" s="21"/>
      <c r="MCT43" s="21"/>
      <c r="MCU43" s="21"/>
      <c r="MCV43" s="21"/>
      <c r="MCW43" s="21"/>
      <c r="MCX43" s="21"/>
      <c r="MCY43" s="21"/>
      <c r="MCZ43" s="21"/>
      <c r="MDA43" s="21"/>
      <c r="MDB43" s="21"/>
      <c r="MDC43" s="21"/>
      <c r="MDD43" s="21"/>
      <c r="MDE43" s="21"/>
      <c r="MDF43" s="21"/>
      <c r="MDG43" s="21"/>
      <c r="MDH43" s="21"/>
      <c r="MDI43" s="21"/>
      <c r="MDJ43" s="21"/>
      <c r="MDK43" s="21"/>
      <c r="MDL43" s="21"/>
      <c r="MDM43" s="21"/>
      <c r="MDN43" s="21"/>
      <c r="MDO43" s="21"/>
      <c r="MDP43" s="21"/>
      <c r="MDQ43" s="21"/>
      <c r="MDR43" s="21"/>
      <c r="MDS43" s="21"/>
      <c r="MDT43" s="21"/>
      <c r="MDU43" s="21"/>
      <c r="MDV43" s="21"/>
      <c r="MDW43" s="21"/>
      <c r="MDX43" s="21"/>
      <c r="MDY43" s="21"/>
      <c r="MDZ43" s="21"/>
      <c r="MEA43" s="21"/>
      <c r="MEB43" s="21"/>
      <c r="MEC43" s="21"/>
      <c r="MED43" s="21"/>
      <c r="MEE43" s="21"/>
      <c r="MEF43" s="21"/>
      <c r="MEG43" s="21"/>
      <c r="MEH43" s="21"/>
      <c r="MEI43" s="21"/>
      <c r="MEJ43" s="21"/>
      <c r="MEK43" s="21"/>
      <c r="MEL43" s="21"/>
      <c r="MEM43" s="21"/>
      <c r="MEN43" s="21"/>
      <c r="MEO43" s="21"/>
      <c r="MEP43" s="21"/>
      <c r="MEQ43" s="21"/>
      <c r="MER43" s="21"/>
      <c r="MES43" s="21"/>
      <c r="MET43" s="21"/>
      <c r="MEU43" s="21"/>
      <c r="MEV43" s="21"/>
      <c r="MEW43" s="21"/>
      <c r="MEX43" s="21"/>
      <c r="MEY43" s="21"/>
      <c r="MEZ43" s="21"/>
      <c r="MFA43" s="21"/>
      <c r="MFB43" s="21"/>
      <c r="MFC43" s="21"/>
      <c r="MFD43" s="21"/>
      <c r="MFE43" s="21"/>
      <c r="MFF43" s="21"/>
      <c r="MFG43" s="21"/>
      <c r="MFH43" s="21"/>
      <c r="MFI43" s="21"/>
      <c r="MFJ43" s="21"/>
      <c r="MFK43" s="21"/>
      <c r="MFL43" s="21"/>
      <c r="MFM43" s="21"/>
      <c r="MFN43" s="21"/>
      <c r="MFO43" s="21"/>
      <c r="MFP43" s="21"/>
      <c r="MFQ43" s="21"/>
      <c r="MFR43" s="21"/>
      <c r="MFS43" s="21"/>
      <c r="MFT43" s="21"/>
      <c r="MFU43" s="21"/>
      <c r="MFV43" s="21"/>
      <c r="MFW43" s="21"/>
      <c r="MFX43" s="21"/>
      <c r="MFY43" s="21"/>
      <c r="MFZ43" s="21"/>
      <c r="MGA43" s="21"/>
      <c r="MGB43" s="21"/>
      <c r="MGC43" s="21"/>
      <c r="MGD43" s="21"/>
      <c r="MGE43" s="21"/>
      <c r="MGF43" s="21"/>
      <c r="MGG43" s="21"/>
      <c r="MGH43" s="21"/>
      <c r="MGI43" s="21"/>
      <c r="MGJ43" s="21"/>
      <c r="MGK43" s="21"/>
      <c r="MGL43" s="21"/>
      <c r="MGM43" s="21"/>
      <c r="MGN43" s="21"/>
      <c r="MGO43" s="21"/>
      <c r="MGP43" s="21"/>
      <c r="MGQ43" s="21"/>
      <c r="MGR43" s="21"/>
      <c r="MGS43" s="21"/>
      <c r="MGT43" s="21"/>
      <c r="MGU43" s="21"/>
      <c r="MGV43" s="21"/>
      <c r="MGW43" s="21"/>
      <c r="MGX43" s="21"/>
      <c r="MGY43" s="21"/>
      <c r="MGZ43" s="21"/>
      <c r="MHA43" s="21"/>
      <c r="MHB43" s="21"/>
      <c r="MHC43" s="21"/>
      <c r="MHD43" s="21"/>
      <c r="MHE43" s="21"/>
      <c r="MHF43" s="21"/>
      <c r="MHG43" s="21"/>
      <c r="MHH43" s="21"/>
      <c r="MHI43" s="21"/>
      <c r="MHJ43" s="21"/>
      <c r="MHK43" s="21"/>
      <c r="MHL43" s="21"/>
      <c r="MHM43" s="21"/>
      <c r="MHN43" s="21"/>
      <c r="MHO43" s="21"/>
      <c r="MHP43" s="21"/>
      <c r="MHQ43" s="21"/>
      <c r="MHR43" s="21"/>
      <c r="MHS43" s="21"/>
      <c r="MHT43" s="21"/>
      <c r="MHU43" s="21"/>
      <c r="MHV43" s="21"/>
      <c r="MHW43" s="21"/>
      <c r="MHX43" s="21"/>
      <c r="MHY43" s="21"/>
      <c r="MHZ43" s="21"/>
      <c r="MIA43" s="21"/>
      <c r="MIB43" s="21"/>
      <c r="MIC43" s="21"/>
      <c r="MID43" s="21"/>
      <c r="MIE43" s="21"/>
      <c r="MIF43" s="21"/>
      <c r="MIG43" s="21"/>
      <c r="MIH43" s="21"/>
      <c r="MII43" s="21"/>
      <c r="MIJ43" s="21"/>
      <c r="MIK43" s="21"/>
      <c r="MIL43" s="21"/>
      <c r="MIM43" s="21"/>
      <c r="MIN43" s="21"/>
      <c r="MIO43" s="21"/>
      <c r="MIP43" s="21"/>
      <c r="MIQ43" s="21"/>
      <c r="MIR43" s="21"/>
      <c r="MIS43" s="21"/>
      <c r="MIT43" s="21"/>
      <c r="MIU43" s="21"/>
      <c r="MIV43" s="21"/>
      <c r="MIW43" s="21"/>
      <c r="MIX43" s="21"/>
      <c r="MIY43" s="21"/>
      <c r="MIZ43" s="21"/>
      <c r="MJA43" s="21"/>
      <c r="MJB43" s="21"/>
      <c r="MJC43" s="21"/>
      <c r="MJD43" s="21"/>
      <c r="MJE43" s="21"/>
      <c r="MJF43" s="21"/>
      <c r="MJG43" s="21"/>
      <c r="MJH43" s="21"/>
      <c r="MJI43" s="21"/>
      <c r="MJJ43" s="21"/>
      <c r="MJK43" s="21"/>
      <c r="MJL43" s="21"/>
      <c r="MJM43" s="21"/>
      <c r="MJN43" s="21"/>
      <c r="MJO43" s="21"/>
      <c r="MJP43" s="21"/>
      <c r="MJQ43" s="21"/>
      <c r="MJR43" s="21"/>
      <c r="MJS43" s="21"/>
      <c r="MJT43" s="21"/>
      <c r="MJU43" s="21"/>
      <c r="MJV43" s="21"/>
      <c r="MJW43" s="21"/>
      <c r="MJX43" s="21"/>
      <c r="MJY43" s="21"/>
      <c r="MJZ43" s="21"/>
      <c r="MKA43" s="21"/>
      <c r="MKB43" s="21"/>
      <c r="MKC43" s="21"/>
      <c r="MKD43" s="21"/>
      <c r="MKE43" s="21"/>
      <c r="MKF43" s="21"/>
      <c r="MKG43" s="21"/>
      <c r="MKH43" s="21"/>
      <c r="MKI43" s="21"/>
      <c r="MKJ43" s="21"/>
      <c r="MKK43" s="21"/>
      <c r="MKL43" s="21"/>
      <c r="MKM43" s="21"/>
      <c r="MKN43" s="21"/>
      <c r="MKO43" s="21"/>
      <c r="MKP43" s="21"/>
      <c r="MKQ43" s="21"/>
      <c r="MKR43" s="21"/>
      <c r="MKS43" s="21"/>
      <c r="MKT43" s="21"/>
      <c r="MKU43" s="21"/>
      <c r="MKV43" s="21"/>
      <c r="MKW43" s="21"/>
      <c r="MKX43" s="21"/>
      <c r="MKY43" s="21"/>
      <c r="MKZ43" s="21"/>
      <c r="MLA43" s="21"/>
      <c r="MLB43" s="21"/>
      <c r="MLC43" s="21"/>
      <c r="MLD43" s="21"/>
      <c r="MLE43" s="21"/>
      <c r="MLF43" s="21"/>
      <c r="MLG43" s="21"/>
      <c r="MLH43" s="21"/>
      <c r="MLI43" s="21"/>
      <c r="MLJ43" s="21"/>
      <c r="MLK43" s="21"/>
      <c r="MLL43" s="21"/>
      <c r="MLM43" s="21"/>
      <c r="MLN43" s="21"/>
      <c r="MLO43" s="21"/>
      <c r="MLP43" s="21"/>
      <c r="MLQ43" s="21"/>
      <c r="MLR43" s="21"/>
      <c r="MLS43" s="21"/>
      <c r="MLT43" s="21"/>
      <c r="MLU43" s="21"/>
      <c r="MLV43" s="21"/>
      <c r="MLW43" s="21"/>
      <c r="MLX43" s="21"/>
      <c r="MLY43" s="21"/>
      <c r="MLZ43" s="21"/>
      <c r="MMA43" s="21"/>
      <c r="MMB43" s="21"/>
      <c r="MMC43" s="21"/>
      <c r="MMD43" s="21"/>
      <c r="MME43" s="21"/>
      <c r="MMF43" s="21"/>
      <c r="MMG43" s="21"/>
      <c r="MMH43" s="21"/>
      <c r="MMI43" s="21"/>
      <c r="MMJ43" s="21"/>
      <c r="MMK43" s="21"/>
      <c r="MML43" s="21"/>
      <c r="MMM43" s="21"/>
      <c r="MMN43" s="21"/>
      <c r="MMO43" s="21"/>
      <c r="MMP43" s="21"/>
      <c r="MMQ43" s="21"/>
      <c r="MMR43" s="21"/>
      <c r="MMS43" s="21"/>
      <c r="MMT43" s="21"/>
      <c r="MMU43" s="21"/>
      <c r="MMV43" s="21"/>
      <c r="MMW43" s="21"/>
      <c r="MMX43" s="21"/>
      <c r="MMY43" s="21"/>
      <c r="MMZ43" s="21"/>
      <c r="MNA43" s="21"/>
      <c r="MNB43" s="21"/>
      <c r="MNC43" s="21"/>
      <c r="MND43" s="21"/>
      <c r="MNE43" s="21"/>
      <c r="MNF43" s="21"/>
      <c r="MNG43" s="21"/>
      <c r="MNH43" s="21"/>
      <c r="MNI43" s="21"/>
      <c r="MNJ43" s="21"/>
      <c r="MNK43" s="21"/>
      <c r="MNL43" s="21"/>
      <c r="MNM43" s="21"/>
      <c r="MNN43" s="21"/>
      <c r="MNO43" s="21"/>
      <c r="MNP43" s="21"/>
      <c r="MNQ43" s="21"/>
      <c r="MNR43" s="21"/>
      <c r="MNS43" s="21"/>
      <c r="MNT43" s="21"/>
      <c r="MNU43" s="21"/>
      <c r="MNV43" s="21"/>
      <c r="MNW43" s="21"/>
      <c r="MNX43" s="21"/>
      <c r="MNY43" s="21"/>
      <c r="MNZ43" s="21"/>
      <c r="MOA43" s="21"/>
      <c r="MOB43" s="21"/>
      <c r="MOC43" s="21"/>
      <c r="MOD43" s="21"/>
      <c r="MOE43" s="21"/>
      <c r="MOF43" s="21"/>
      <c r="MOG43" s="21"/>
      <c r="MOH43" s="21"/>
      <c r="MOI43" s="21"/>
      <c r="MOJ43" s="21"/>
      <c r="MOK43" s="21"/>
      <c r="MOL43" s="21"/>
      <c r="MOM43" s="21"/>
      <c r="MON43" s="21"/>
      <c r="MOO43" s="21"/>
      <c r="MOP43" s="21"/>
      <c r="MOQ43" s="21"/>
      <c r="MOR43" s="21"/>
      <c r="MOS43" s="21"/>
      <c r="MOT43" s="21"/>
      <c r="MOU43" s="21"/>
      <c r="MOV43" s="21"/>
      <c r="MOW43" s="21"/>
      <c r="MOX43" s="21"/>
      <c r="MOY43" s="21"/>
      <c r="MOZ43" s="21"/>
      <c r="MPA43" s="21"/>
      <c r="MPB43" s="21"/>
      <c r="MPC43" s="21"/>
      <c r="MPD43" s="21"/>
      <c r="MPE43" s="21"/>
      <c r="MPF43" s="21"/>
      <c r="MPG43" s="21"/>
      <c r="MPH43" s="21"/>
      <c r="MPI43" s="21"/>
      <c r="MPJ43" s="21"/>
      <c r="MPK43" s="21"/>
      <c r="MPL43" s="21"/>
      <c r="MPM43" s="21"/>
      <c r="MPN43" s="21"/>
      <c r="MPO43" s="21"/>
      <c r="MPP43" s="21"/>
      <c r="MPQ43" s="21"/>
      <c r="MPR43" s="21"/>
      <c r="MPS43" s="21"/>
      <c r="MPT43" s="21"/>
      <c r="MPU43" s="21"/>
      <c r="MPV43" s="21"/>
      <c r="MPW43" s="21"/>
      <c r="MPX43" s="21"/>
      <c r="MPY43" s="21"/>
      <c r="MPZ43" s="21"/>
      <c r="MQA43" s="21"/>
      <c r="MQB43" s="21"/>
      <c r="MQC43" s="21"/>
      <c r="MQD43" s="21"/>
      <c r="MQE43" s="21"/>
      <c r="MQF43" s="21"/>
      <c r="MQG43" s="21"/>
      <c r="MQH43" s="21"/>
      <c r="MQI43" s="21"/>
      <c r="MQJ43" s="21"/>
      <c r="MQK43" s="21"/>
      <c r="MQL43" s="21"/>
      <c r="MQM43" s="21"/>
      <c r="MQN43" s="21"/>
      <c r="MQO43" s="21"/>
      <c r="MQP43" s="21"/>
      <c r="MQQ43" s="21"/>
      <c r="MQR43" s="21"/>
      <c r="MQS43" s="21"/>
      <c r="MQT43" s="21"/>
      <c r="MQU43" s="21"/>
      <c r="MQV43" s="21"/>
      <c r="MQW43" s="21"/>
      <c r="MQX43" s="21"/>
      <c r="MQY43" s="21"/>
      <c r="MQZ43" s="21"/>
      <c r="MRA43" s="21"/>
      <c r="MRB43" s="21"/>
      <c r="MRC43" s="21"/>
      <c r="MRD43" s="21"/>
      <c r="MRE43" s="21"/>
      <c r="MRF43" s="21"/>
      <c r="MRG43" s="21"/>
      <c r="MRH43" s="21"/>
      <c r="MRI43" s="21"/>
      <c r="MRJ43" s="21"/>
      <c r="MRK43" s="21"/>
      <c r="MRL43" s="21"/>
      <c r="MRM43" s="21"/>
      <c r="MRN43" s="21"/>
      <c r="MRO43" s="21"/>
      <c r="MRP43" s="21"/>
      <c r="MRQ43" s="21"/>
      <c r="MRR43" s="21"/>
      <c r="MRS43" s="21"/>
      <c r="MRT43" s="21"/>
      <c r="MRU43" s="21"/>
      <c r="MRV43" s="21"/>
      <c r="MRW43" s="21"/>
      <c r="MRX43" s="21"/>
      <c r="MRY43" s="21"/>
      <c r="MRZ43" s="21"/>
      <c r="MSA43" s="21"/>
      <c r="MSB43" s="21"/>
      <c r="MSC43" s="21"/>
      <c r="MSD43" s="21"/>
      <c r="MSE43" s="21"/>
      <c r="MSF43" s="21"/>
      <c r="MSG43" s="21"/>
      <c r="MSH43" s="21"/>
      <c r="MSI43" s="21"/>
      <c r="MSJ43" s="21"/>
      <c r="MSK43" s="21"/>
      <c r="MSL43" s="21"/>
      <c r="MSM43" s="21"/>
      <c r="MSN43" s="21"/>
      <c r="MSO43" s="21"/>
      <c r="MSP43" s="21"/>
      <c r="MSQ43" s="21"/>
      <c r="MSR43" s="21"/>
      <c r="MSS43" s="21"/>
      <c r="MST43" s="21"/>
      <c r="MSU43" s="21"/>
      <c r="MSV43" s="21"/>
      <c r="MSW43" s="21"/>
      <c r="MSX43" s="21"/>
      <c r="MSY43" s="21"/>
      <c r="MSZ43" s="21"/>
      <c r="MTA43" s="21"/>
      <c r="MTB43" s="21"/>
      <c r="MTC43" s="21"/>
      <c r="MTD43" s="21"/>
      <c r="MTE43" s="21"/>
      <c r="MTF43" s="21"/>
      <c r="MTG43" s="21"/>
      <c r="MTH43" s="21"/>
      <c r="MTI43" s="21"/>
      <c r="MTJ43" s="21"/>
      <c r="MTK43" s="21"/>
      <c r="MTL43" s="21"/>
      <c r="MTM43" s="21"/>
      <c r="MTN43" s="21"/>
      <c r="MTO43" s="21"/>
      <c r="MTP43" s="21"/>
      <c r="MTQ43" s="21"/>
      <c r="MTR43" s="21"/>
      <c r="MTS43" s="21"/>
      <c r="MTT43" s="21"/>
      <c r="MTU43" s="21"/>
      <c r="MTV43" s="21"/>
      <c r="MTW43" s="21"/>
      <c r="MTX43" s="21"/>
      <c r="MTY43" s="21"/>
      <c r="MTZ43" s="21"/>
      <c r="MUA43" s="21"/>
      <c r="MUB43" s="21"/>
      <c r="MUC43" s="21"/>
      <c r="MUD43" s="21"/>
      <c r="MUE43" s="21"/>
      <c r="MUF43" s="21"/>
      <c r="MUG43" s="21"/>
      <c r="MUH43" s="21"/>
      <c r="MUI43" s="21"/>
      <c r="MUJ43" s="21"/>
      <c r="MUK43" s="21"/>
      <c r="MUL43" s="21"/>
      <c r="MUM43" s="21"/>
      <c r="MUN43" s="21"/>
      <c r="MUO43" s="21"/>
      <c r="MUP43" s="21"/>
      <c r="MUQ43" s="21"/>
      <c r="MUR43" s="21"/>
      <c r="MUS43" s="21"/>
      <c r="MUT43" s="21"/>
      <c r="MUU43" s="21"/>
      <c r="MUV43" s="21"/>
      <c r="MUW43" s="21"/>
      <c r="MUX43" s="21"/>
      <c r="MUY43" s="21"/>
      <c r="MUZ43" s="21"/>
      <c r="MVA43" s="21"/>
      <c r="MVB43" s="21"/>
      <c r="MVC43" s="21"/>
      <c r="MVD43" s="21"/>
      <c r="MVE43" s="21"/>
      <c r="MVF43" s="21"/>
      <c r="MVG43" s="21"/>
      <c r="MVH43" s="21"/>
      <c r="MVI43" s="21"/>
      <c r="MVJ43" s="21"/>
      <c r="MVK43" s="21"/>
      <c r="MVL43" s="21"/>
      <c r="MVM43" s="21"/>
      <c r="MVN43" s="21"/>
      <c r="MVO43" s="21"/>
      <c r="MVP43" s="21"/>
      <c r="MVQ43" s="21"/>
      <c r="MVR43" s="21"/>
      <c r="MVS43" s="21"/>
      <c r="MVT43" s="21"/>
      <c r="MVU43" s="21"/>
      <c r="MVV43" s="21"/>
      <c r="MVW43" s="21"/>
      <c r="MVX43" s="21"/>
      <c r="MVY43" s="21"/>
      <c r="MVZ43" s="21"/>
      <c r="MWA43" s="21"/>
      <c r="MWB43" s="21"/>
      <c r="MWC43" s="21"/>
      <c r="MWD43" s="21"/>
      <c r="MWE43" s="21"/>
      <c r="MWF43" s="21"/>
      <c r="MWG43" s="21"/>
      <c r="MWH43" s="21"/>
      <c r="MWI43" s="21"/>
      <c r="MWJ43" s="21"/>
      <c r="MWK43" s="21"/>
      <c r="MWL43" s="21"/>
      <c r="MWM43" s="21"/>
      <c r="MWN43" s="21"/>
      <c r="MWO43" s="21"/>
      <c r="MWP43" s="21"/>
      <c r="MWQ43" s="21"/>
      <c r="MWR43" s="21"/>
      <c r="MWS43" s="21"/>
      <c r="MWT43" s="21"/>
      <c r="MWU43" s="21"/>
      <c r="MWV43" s="21"/>
      <c r="MWW43" s="21"/>
      <c r="MWX43" s="21"/>
      <c r="MWY43" s="21"/>
      <c r="MWZ43" s="21"/>
      <c r="MXA43" s="21"/>
      <c r="MXB43" s="21"/>
      <c r="MXC43" s="21"/>
      <c r="MXD43" s="21"/>
      <c r="MXE43" s="21"/>
      <c r="MXF43" s="21"/>
      <c r="MXG43" s="21"/>
      <c r="MXH43" s="21"/>
      <c r="MXI43" s="21"/>
      <c r="MXJ43" s="21"/>
      <c r="MXK43" s="21"/>
      <c r="MXL43" s="21"/>
      <c r="MXM43" s="21"/>
      <c r="MXN43" s="21"/>
      <c r="MXO43" s="21"/>
      <c r="MXP43" s="21"/>
      <c r="MXQ43" s="21"/>
      <c r="MXR43" s="21"/>
      <c r="MXS43" s="21"/>
      <c r="MXT43" s="21"/>
      <c r="MXU43" s="21"/>
      <c r="MXV43" s="21"/>
      <c r="MXW43" s="21"/>
      <c r="MXX43" s="21"/>
      <c r="MXY43" s="21"/>
      <c r="MXZ43" s="21"/>
      <c r="MYA43" s="21"/>
      <c r="MYB43" s="21"/>
      <c r="MYC43" s="21"/>
      <c r="MYD43" s="21"/>
      <c r="MYE43" s="21"/>
      <c r="MYF43" s="21"/>
      <c r="MYG43" s="21"/>
      <c r="MYH43" s="21"/>
      <c r="MYI43" s="21"/>
      <c r="MYJ43" s="21"/>
      <c r="MYK43" s="21"/>
      <c r="MYL43" s="21"/>
      <c r="MYM43" s="21"/>
      <c r="MYN43" s="21"/>
      <c r="MYO43" s="21"/>
      <c r="MYP43" s="21"/>
      <c r="MYQ43" s="21"/>
      <c r="MYR43" s="21"/>
      <c r="MYS43" s="21"/>
      <c r="MYT43" s="21"/>
      <c r="MYU43" s="21"/>
      <c r="MYV43" s="21"/>
      <c r="MYW43" s="21"/>
      <c r="MYX43" s="21"/>
      <c r="MYY43" s="21"/>
      <c r="MYZ43" s="21"/>
      <c r="MZA43" s="21"/>
      <c r="MZB43" s="21"/>
      <c r="MZC43" s="21"/>
      <c r="MZD43" s="21"/>
      <c r="MZE43" s="21"/>
      <c r="MZF43" s="21"/>
      <c r="MZG43" s="21"/>
      <c r="MZH43" s="21"/>
      <c r="MZI43" s="21"/>
      <c r="MZJ43" s="21"/>
      <c r="MZK43" s="21"/>
      <c r="MZL43" s="21"/>
      <c r="MZM43" s="21"/>
      <c r="MZN43" s="21"/>
      <c r="MZO43" s="21"/>
      <c r="MZP43" s="21"/>
      <c r="MZQ43" s="21"/>
      <c r="MZR43" s="21"/>
      <c r="MZS43" s="21"/>
      <c r="MZT43" s="21"/>
      <c r="MZU43" s="21"/>
      <c r="MZV43" s="21"/>
      <c r="MZW43" s="21"/>
      <c r="MZX43" s="21"/>
      <c r="MZY43" s="21"/>
      <c r="MZZ43" s="21"/>
      <c r="NAA43" s="21"/>
      <c r="NAB43" s="21"/>
      <c r="NAC43" s="21"/>
      <c r="NAD43" s="21"/>
      <c r="NAE43" s="21"/>
      <c r="NAF43" s="21"/>
      <c r="NAG43" s="21"/>
      <c r="NAH43" s="21"/>
      <c r="NAI43" s="21"/>
      <c r="NAJ43" s="21"/>
      <c r="NAK43" s="21"/>
      <c r="NAL43" s="21"/>
      <c r="NAM43" s="21"/>
      <c r="NAN43" s="21"/>
      <c r="NAO43" s="21"/>
      <c r="NAP43" s="21"/>
      <c r="NAQ43" s="21"/>
      <c r="NAR43" s="21"/>
      <c r="NAS43" s="21"/>
      <c r="NAT43" s="21"/>
      <c r="NAU43" s="21"/>
      <c r="NAV43" s="21"/>
      <c r="NAW43" s="21"/>
      <c r="NAX43" s="21"/>
      <c r="NAY43" s="21"/>
      <c r="NAZ43" s="21"/>
      <c r="NBA43" s="21"/>
      <c r="NBB43" s="21"/>
      <c r="NBC43" s="21"/>
      <c r="NBD43" s="21"/>
      <c r="NBE43" s="21"/>
      <c r="NBF43" s="21"/>
      <c r="NBG43" s="21"/>
      <c r="NBH43" s="21"/>
      <c r="NBI43" s="21"/>
      <c r="NBJ43" s="21"/>
      <c r="NBK43" s="21"/>
      <c r="NBL43" s="21"/>
      <c r="NBM43" s="21"/>
      <c r="NBN43" s="21"/>
      <c r="NBO43" s="21"/>
      <c r="NBP43" s="21"/>
      <c r="NBQ43" s="21"/>
      <c r="NBR43" s="21"/>
      <c r="NBS43" s="21"/>
      <c r="NBT43" s="21"/>
      <c r="NBU43" s="21"/>
      <c r="NBV43" s="21"/>
      <c r="NBW43" s="21"/>
      <c r="NBX43" s="21"/>
      <c r="NBY43" s="21"/>
      <c r="NBZ43" s="21"/>
      <c r="NCA43" s="21"/>
      <c r="NCB43" s="21"/>
      <c r="NCC43" s="21"/>
      <c r="NCD43" s="21"/>
      <c r="NCE43" s="21"/>
      <c r="NCF43" s="21"/>
      <c r="NCG43" s="21"/>
      <c r="NCH43" s="21"/>
      <c r="NCI43" s="21"/>
      <c r="NCJ43" s="21"/>
      <c r="NCK43" s="21"/>
      <c r="NCL43" s="21"/>
      <c r="NCM43" s="21"/>
      <c r="NCN43" s="21"/>
      <c r="NCO43" s="21"/>
      <c r="NCP43" s="21"/>
      <c r="NCQ43" s="21"/>
      <c r="NCR43" s="21"/>
      <c r="NCS43" s="21"/>
      <c r="NCT43" s="21"/>
      <c r="NCU43" s="21"/>
      <c r="NCV43" s="21"/>
      <c r="NCW43" s="21"/>
      <c r="NCX43" s="21"/>
      <c r="NCY43" s="21"/>
      <c r="NCZ43" s="21"/>
      <c r="NDA43" s="21"/>
      <c r="NDB43" s="21"/>
      <c r="NDC43" s="21"/>
      <c r="NDD43" s="21"/>
      <c r="NDE43" s="21"/>
      <c r="NDF43" s="21"/>
      <c r="NDG43" s="21"/>
      <c r="NDH43" s="21"/>
      <c r="NDI43" s="21"/>
      <c r="NDJ43" s="21"/>
      <c r="NDK43" s="21"/>
      <c r="NDL43" s="21"/>
      <c r="NDM43" s="21"/>
      <c r="NDN43" s="21"/>
      <c r="NDO43" s="21"/>
      <c r="NDP43" s="21"/>
      <c r="NDQ43" s="21"/>
      <c r="NDR43" s="21"/>
      <c r="NDS43" s="21"/>
      <c r="NDT43" s="21"/>
      <c r="NDU43" s="21"/>
      <c r="NDV43" s="21"/>
      <c r="NDW43" s="21"/>
      <c r="NDX43" s="21"/>
      <c r="NDY43" s="21"/>
      <c r="NDZ43" s="21"/>
      <c r="NEA43" s="21"/>
      <c r="NEB43" s="21"/>
      <c r="NEC43" s="21"/>
      <c r="NED43" s="21"/>
      <c r="NEE43" s="21"/>
      <c r="NEF43" s="21"/>
      <c r="NEG43" s="21"/>
      <c r="NEH43" s="21"/>
      <c r="NEI43" s="21"/>
      <c r="NEJ43" s="21"/>
      <c r="NEK43" s="21"/>
      <c r="NEL43" s="21"/>
      <c r="NEM43" s="21"/>
      <c r="NEN43" s="21"/>
      <c r="NEO43" s="21"/>
      <c r="NEP43" s="21"/>
      <c r="NEQ43" s="21"/>
      <c r="NER43" s="21"/>
      <c r="NES43" s="21"/>
      <c r="NET43" s="21"/>
      <c r="NEU43" s="21"/>
      <c r="NEV43" s="21"/>
      <c r="NEW43" s="21"/>
      <c r="NEX43" s="21"/>
      <c r="NEY43" s="21"/>
      <c r="NEZ43" s="21"/>
      <c r="NFA43" s="21"/>
      <c r="NFB43" s="21"/>
      <c r="NFC43" s="21"/>
      <c r="NFD43" s="21"/>
      <c r="NFE43" s="21"/>
      <c r="NFF43" s="21"/>
      <c r="NFG43" s="21"/>
      <c r="NFH43" s="21"/>
      <c r="NFI43" s="21"/>
      <c r="NFJ43" s="21"/>
      <c r="NFK43" s="21"/>
      <c r="NFL43" s="21"/>
      <c r="NFM43" s="21"/>
      <c r="NFN43" s="21"/>
      <c r="NFO43" s="21"/>
      <c r="NFP43" s="21"/>
      <c r="NFQ43" s="21"/>
      <c r="NFR43" s="21"/>
      <c r="NFS43" s="21"/>
      <c r="NFT43" s="21"/>
      <c r="NFU43" s="21"/>
      <c r="NFV43" s="21"/>
      <c r="NFW43" s="21"/>
      <c r="NFX43" s="21"/>
      <c r="NFY43" s="21"/>
      <c r="NFZ43" s="21"/>
      <c r="NGA43" s="21"/>
      <c r="NGB43" s="21"/>
      <c r="NGC43" s="21"/>
      <c r="NGD43" s="21"/>
      <c r="NGE43" s="21"/>
      <c r="NGF43" s="21"/>
      <c r="NGG43" s="21"/>
      <c r="NGH43" s="21"/>
      <c r="NGI43" s="21"/>
      <c r="NGJ43" s="21"/>
      <c r="NGK43" s="21"/>
      <c r="NGL43" s="21"/>
      <c r="NGM43" s="21"/>
      <c r="NGN43" s="21"/>
      <c r="NGO43" s="21"/>
      <c r="NGP43" s="21"/>
      <c r="NGQ43" s="21"/>
      <c r="NGR43" s="21"/>
      <c r="NGS43" s="21"/>
      <c r="NGT43" s="21"/>
      <c r="NGU43" s="21"/>
      <c r="NGV43" s="21"/>
      <c r="NGW43" s="21"/>
      <c r="NGX43" s="21"/>
      <c r="NGY43" s="21"/>
      <c r="NGZ43" s="21"/>
      <c r="NHA43" s="21"/>
      <c r="NHB43" s="21"/>
      <c r="NHC43" s="21"/>
      <c r="NHD43" s="21"/>
      <c r="NHE43" s="21"/>
      <c r="NHF43" s="21"/>
      <c r="NHG43" s="21"/>
      <c r="NHH43" s="21"/>
      <c r="NHI43" s="21"/>
      <c r="NHJ43" s="21"/>
      <c r="NHK43" s="21"/>
      <c r="NHL43" s="21"/>
      <c r="NHM43" s="21"/>
      <c r="NHN43" s="21"/>
      <c r="NHO43" s="21"/>
      <c r="NHP43" s="21"/>
      <c r="NHQ43" s="21"/>
      <c r="NHR43" s="21"/>
      <c r="NHS43" s="21"/>
      <c r="NHT43" s="21"/>
      <c r="NHU43" s="21"/>
      <c r="NHV43" s="21"/>
      <c r="NHW43" s="21"/>
      <c r="NHX43" s="21"/>
      <c r="NHY43" s="21"/>
      <c r="NHZ43" s="21"/>
      <c r="NIA43" s="21"/>
      <c r="NIB43" s="21"/>
      <c r="NIC43" s="21"/>
      <c r="NID43" s="21"/>
      <c r="NIE43" s="21"/>
      <c r="NIF43" s="21"/>
      <c r="NIG43" s="21"/>
      <c r="NIH43" s="21"/>
      <c r="NII43" s="21"/>
      <c r="NIJ43" s="21"/>
      <c r="NIK43" s="21"/>
      <c r="NIL43" s="21"/>
      <c r="NIM43" s="21"/>
      <c r="NIN43" s="21"/>
      <c r="NIO43" s="21"/>
      <c r="NIP43" s="21"/>
      <c r="NIQ43" s="21"/>
      <c r="NIR43" s="21"/>
      <c r="NIS43" s="21"/>
      <c r="NIT43" s="21"/>
      <c r="NIU43" s="21"/>
      <c r="NIV43" s="21"/>
      <c r="NIW43" s="21"/>
      <c r="NIX43" s="21"/>
      <c r="NIY43" s="21"/>
      <c r="NIZ43" s="21"/>
      <c r="NJA43" s="21"/>
      <c r="NJB43" s="21"/>
      <c r="NJC43" s="21"/>
      <c r="NJD43" s="21"/>
      <c r="NJE43" s="21"/>
      <c r="NJF43" s="21"/>
      <c r="NJG43" s="21"/>
      <c r="NJH43" s="21"/>
      <c r="NJI43" s="21"/>
      <c r="NJJ43" s="21"/>
      <c r="NJK43" s="21"/>
      <c r="NJL43" s="21"/>
      <c r="NJM43" s="21"/>
      <c r="NJN43" s="21"/>
      <c r="NJO43" s="21"/>
      <c r="NJP43" s="21"/>
      <c r="NJQ43" s="21"/>
      <c r="NJR43" s="21"/>
      <c r="NJS43" s="21"/>
      <c r="NJT43" s="21"/>
      <c r="NJU43" s="21"/>
      <c r="NJV43" s="21"/>
      <c r="NJW43" s="21"/>
      <c r="NJX43" s="21"/>
      <c r="NJY43" s="21"/>
      <c r="NJZ43" s="21"/>
      <c r="NKA43" s="21"/>
      <c r="NKB43" s="21"/>
      <c r="NKC43" s="21"/>
      <c r="NKD43" s="21"/>
      <c r="NKE43" s="21"/>
      <c r="NKF43" s="21"/>
      <c r="NKG43" s="21"/>
      <c r="NKH43" s="21"/>
      <c r="NKI43" s="21"/>
      <c r="NKJ43" s="21"/>
      <c r="NKK43" s="21"/>
      <c r="NKL43" s="21"/>
      <c r="NKM43" s="21"/>
      <c r="NKN43" s="21"/>
      <c r="NKO43" s="21"/>
      <c r="NKP43" s="21"/>
      <c r="NKQ43" s="21"/>
      <c r="NKR43" s="21"/>
      <c r="NKS43" s="21"/>
      <c r="NKT43" s="21"/>
      <c r="NKU43" s="21"/>
      <c r="NKV43" s="21"/>
      <c r="NKW43" s="21"/>
      <c r="NKX43" s="21"/>
      <c r="NKY43" s="21"/>
      <c r="NKZ43" s="21"/>
      <c r="NLA43" s="21"/>
      <c r="NLB43" s="21"/>
      <c r="NLC43" s="21"/>
      <c r="NLD43" s="21"/>
      <c r="NLE43" s="21"/>
      <c r="NLF43" s="21"/>
      <c r="NLG43" s="21"/>
      <c r="NLH43" s="21"/>
      <c r="NLI43" s="21"/>
      <c r="NLJ43" s="21"/>
      <c r="NLK43" s="21"/>
      <c r="NLL43" s="21"/>
      <c r="NLM43" s="21"/>
      <c r="NLN43" s="21"/>
      <c r="NLO43" s="21"/>
      <c r="NLP43" s="21"/>
      <c r="NLQ43" s="21"/>
      <c r="NLR43" s="21"/>
      <c r="NLS43" s="21"/>
      <c r="NLT43" s="21"/>
      <c r="NLU43" s="21"/>
      <c r="NLV43" s="21"/>
      <c r="NLW43" s="21"/>
      <c r="NLX43" s="21"/>
      <c r="NLY43" s="21"/>
      <c r="NLZ43" s="21"/>
      <c r="NMA43" s="21"/>
      <c r="NMB43" s="21"/>
      <c r="NMC43" s="21"/>
      <c r="NMD43" s="21"/>
      <c r="NME43" s="21"/>
      <c r="NMF43" s="21"/>
      <c r="NMG43" s="21"/>
      <c r="NMH43" s="21"/>
      <c r="NMI43" s="21"/>
      <c r="NMJ43" s="21"/>
      <c r="NMK43" s="21"/>
      <c r="NML43" s="21"/>
      <c r="NMM43" s="21"/>
      <c r="NMN43" s="21"/>
      <c r="NMO43" s="21"/>
      <c r="NMP43" s="21"/>
      <c r="NMQ43" s="21"/>
      <c r="NMR43" s="21"/>
      <c r="NMS43" s="21"/>
      <c r="NMT43" s="21"/>
      <c r="NMU43" s="21"/>
      <c r="NMV43" s="21"/>
      <c r="NMW43" s="21"/>
      <c r="NMX43" s="21"/>
      <c r="NMY43" s="21"/>
      <c r="NMZ43" s="21"/>
      <c r="NNA43" s="21"/>
      <c r="NNB43" s="21"/>
      <c r="NNC43" s="21"/>
      <c r="NND43" s="21"/>
      <c r="NNE43" s="21"/>
      <c r="NNF43" s="21"/>
      <c r="NNG43" s="21"/>
      <c r="NNH43" s="21"/>
      <c r="NNI43" s="21"/>
      <c r="NNJ43" s="21"/>
      <c r="NNK43" s="21"/>
      <c r="NNL43" s="21"/>
      <c r="NNM43" s="21"/>
      <c r="NNN43" s="21"/>
      <c r="NNO43" s="21"/>
      <c r="NNP43" s="21"/>
      <c r="NNQ43" s="21"/>
      <c r="NNR43" s="21"/>
      <c r="NNS43" s="21"/>
      <c r="NNT43" s="21"/>
      <c r="NNU43" s="21"/>
      <c r="NNV43" s="21"/>
      <c r="NNW43" s="21"/>
      <c r="NNX43" s="21"/>
      <c r="NNY43" s="21"/>
      <c r="NNZ43" s="21"/>
      <c r="NOA43" s="21"/>
      <c r="NOB43" s="21"/>
      <c r="NOC43" s="21"/>
      <c r="NOD43" s="21"/>
      <c r="NOE43" s="21"/>
      <c r="NOF43" s="21"/>
      <c r="NOG43" s="21"/>
      <c r="NOH43" s="21"/>
      <c r="NOI43" s="21"/>
      <c r="NOJ43" s="21"/>
      <c r="NOK43" s="21"/>
      <c r="NOL43" s="21"/>
      <c r="NOM43" s="21"/>
      <c r="NON43" s="21"/>
      <c r="NOO43" s="21"/>
      <c r="NOP43" s="21"/>
      <c r="NOQ43" s="21"/>
      <c r="NOR43" s="21"/>
      <c r="NOS43" s="21"/>
      <c r="NOT43" s="21"/>
      <c r="NOU43" s="21"/>
      <c r="NOV43" s="21"/>
      <c r="NOW43" s="21"/>
      <c r="NOX43" s="21"/>
      <c r="NOY43" s="21"/>
      <c r="NOZ43" s="21"/>
      <c r="NPA43" s="21"/>
      <c r="NPB43" s="21"/>
      <c r="NPC43" s="21"/>
      <c r="NPD43" s="21"/>
      <c r="NPE43" s="21"/>
      <c r="NPF43" s="21"/>
      <c r="NPG43" s="21"/>
      <c r="NPH43" s="21"/>
      <c r="NPI43" s="21"/>
      <c r="NPJ43" s="21"/>
      <c r="NPK43" s="21"/>
      <c r="NPL43" s="21"/>
      <c r="NPM43" s="21"/>
      <c r="NPN43" s="21"/>
      <c r="NPO43" s="21"/>
      <c r="NPP43" s="21"/>
      <c r="NPQ43" s="21"/>
      <c r="NPR43" s="21"/>
      <c r="NPS43" s="21"/>
      <c r="NPT43" s="21"/>
      <c r="NPU43" s="21"/>
      <c r="NPV43" s="21"/>
      <c r="NPW43" s="21"/>
      <c r="NPX43" s="21"/>
      <c r="NPY43" s="21"/>
      <c r="NPZ43" s="21"/>
      <c r="NQA43" s="21"/>
      <c r="NQB43" s="21"/>
      <c r="NQC43" s="21"/>
      <c r="NQD43" s="21"/>
      <c r="NQE43" s="21"/>
      <c r="NQF43" s="21"/>
      <c r="NQG43" s="21"/>
      <c r="NQH43" s="21"/>
      <c r="NQI43" s="21"/>
      <c r="NQJ43" s="21"/>
      <c r="NQK43" s="21"/>
      <c r="NQL43" s="21"/>
      <c r="NQM43" s="21"/>
      <c r="NQN43" s="21"/>
      <c r="NQO43" s="21"/>
      <c r="NQP43" s="21"/>
      <c r="NQQ43" s="21"/>
      <c r="NQR43" s="21"/>
      <c r="NQS43" s="21"/>
      <c r="NQT43" s="21"/>
      <c r="NQU43" s="21"/>
      <c r="NQV43" s="21"/>
      <c r="NQW43" s="21"/>
      <c r="NQX43" s="21"/>
      <c r="NQY43" s="21"/>
      <c r="NQZ43" s="21"/>
      <c r="NRA43" s="21"/>
      <c r="NRB43" s="21"/>
      <c r="NRC43" s="21"/>
      <c r="NRD43" s="21"/>
      <c r="NRE43" s="21"/>
      <c r="NRF43" s="21"/>
      <c r="NRG43" s="21"/>
      <c r="NRH43" s="21"/>
      <c r="NRI43" s="21"/>
      <c r="NRJ43" s="21"/>
      <c r="NRK43" s="21"/>
      <c r="NRL43" s="21"/>
      <c r="NRM43" s="21"/>
      <c r="NRN43" s="21"/>
      <c r="NRO43" s="21"/>
      <c r="NRP43" s="21"/>
      <c r="NRQ43" s="21"/>
      <c r="NRR43" s="21"/>
      <c r="NRS43" s="21"/>
      <c r="NRT43" s="21"/>
      <c r="NRU43" s="21"/>
      <c r="NRV43" s="21"/>
      <c r="NRW43" s="21"/>
      <c r="NRX43" s="21"/>
      <c r="NRY43" s="21"/>
      <c r="NRZ43" s="21"/>
      <c r="NSA43" s="21"/>
      <c r="NSB43" s="21"/>
      <c r="NSC43" s="21"/>
      <c r="NSD43" s="21"/>
      <c r="NSE43" s="21"/>
      <c r="NSF43" s="21"/>
      <c r="NSG43" s="21"/>
      <c r="NSH43" s="21"/>
      <c r="NSI43" s="21"/>
      <c r="NSJ43" s="21"/>
      <c r="NSK43" s="21"/>
      <c r="NSL43" s="21"/>
      <c r="NSM43" s="21"/>
      <c r="NSN43" s="21"/>
      <c r="NSO43" s="21"/>
      <c r="NSP43" s="21"/>
      <c r="NSQ43" s="21"/>
      <c r="NSR43" s="21"/>
      <c r="NSS43" s="21"/>
      <c r="NST43" s="21"/>
      <c r="NSU43" s="21"/>
      <c r="NSV43" s="21"/>
      <c r="NSW43" s="21"/>
      <c r="NSX43" s="21"/>
      <c r="NSY43" s="21"/>
      <c r="NSZ43" s="21"/>
      <c r="NTA43" s="21"/>
      <c r="NTB43" s="21"/>
      <c r="NTC43" s="21"/>
      <c r="NTD43" s="21"/>
      <c r="NTE43" s="21"/>
      <c r="NTF43" s="21"/>
      <c r="NTG43" s="21"/>
      <c r="NTH43" s="21"/>
      <c r="NTI43" s="21"/>
      <c r="NTJ43" s="21"/>
      <c r="NTK43" s="21"/>
      <c r="NTL43" s="21"/>
      <c r="NTM43" s="21"/>
      <c r="NTN43" s="21"/>
      <c r="NTO43" s="21"/>
      <c r="NTP43" s="21"/>
      <c r="NTQ43" s="21"/>
      <c r="NTR43" s="21"/>
      <c r="NTS43" s="21"/>
      <c r="NTT43" s="21"/>
      <c r="NTU43" s="21"/>
      <c r="NTV43" s="21"/>
      <c r="NTW43" s="21"/>
      <c r="NTX43" s="21"/>
      <c r="NTY43" s="21"/>
      <c r="NTZ43" s="21"/>
      <c r="NUA43" s="21"/>
      <c r="NUB43" s="21"/>
      <c r="NUC43" s="21"/>
      <c r="NUD43" s="21"/>
      <c r="NUE43" s="21"/>
      <c r="NUF43" s="21"/>
      <c r="NUG43" s="21"/>
      <c r="NUH43" s="21"/>
      <c r="NUI43" s="21"/>
      <c r="NUJ43" s="21"/>
      <c r="NUK43" s="21"/>
      <c r="NUL43" s="21"/>
      <c r="NUM43" s="21"/>
      <c r="NUN43" s="21"/>
      <c r="NUO43" s="21"/>
      <c r="NUP43" s="21"/>
      <c r="NUQ43" s="21"/>
      <c r="NUR43" s="21"/>
      <c r="NUS43" s="21"/>
      <c r="NUT43" s="21"/>
      <c r="NUU43" s="21"/>
      <c r="NUV43" s="21"/>
      <c r="NUW43" s="21"/>
      <c r="NUX43" s="21"/>
      <c r="NUY43" s="21"/>
      <c r="NUZ43" s="21"/>
      <c r="NVA43" s="21"/>
      <c r="NVB43" s="21"/>
      <c r="NVC43" s="21"/>
      <c r="NVD43" s="21"/>
      <c r="NVE43" s="21"/>
      <c r="NVF43" s="21"/>
      <c r="NVG43" s="21"/>
      <c r="NVH43" s="21"/>
      <c r="NVI43" s="21"/>
      <c r="NVJ43" s="21"/>
      <c r="NVK43" s="21"/>
      <c r="NVL43" s="21"/>
      <c r="NVM43" s="21"/>
      <c r="NVN43" s="21"/>
      <c r="NVO43" s="21"/>
      <c r="NVP43" s="21"/>
      <c r="NVQ43" s="21"/>
      <c r="NVR43" s="21"/>
      <c r="NVS43" s="21"/>
      <c r="NVT43" s="21"/>
      <c r="NVU43" s="21"/>
      <c r="NVV43" s="21"/>
      <c r="NVW43" s="21"/>
      <c r="NVX43" s="21"/>
      <c r="NVY43" s="21"/>
      <c r="NVZ43" s="21"/>
      <c r="NWA43" s="21"/>
      <c r="NWB43" s="21"/>
      <c r="NWC43" s="21"/>
      <c r="NWD43" s="21"/>
      <c r="NWE43" s="21"/>
      <c r="NWF43" s="21"/>
      <c r="NWG43" s="21"/>
      <c r="NWH43" s="21"/>
      <c r="NWI43" s="21"/>
      <c r="NWJ43" s="21"/>
      <c r="NWK43" s="21"/>
      <c r="NWL43" s="21"/>
      <c r="NWM43" s="21"/>
      <c r="NWN43" s="21"/>
      <c r="NWO43" s="21"/>
      <c r="NWP43" s="21"/>
      <c r="NWQ43" s="21"/>
      <c r="NWR43" s="21"/>
      <c r="NWS43" s="21"/>
      <c r="NWT43" s="21"/>
      <c r="NWU43" s="21"/>
      <c r="NWV43" s="21"/>
      <c r="NWW43" s="21"/>
      <c r="NWX43" s="21"/>
      <c r="NWY43" s="21"/>
      <c r="NWZ43" s="21"/>
      <c r="NXA43" s="21"/>
      <c r="NXB43" s="21"/>
      <c r="NXC43" s="21"/>
      <c r="NXD43" s="21"/>
      <c r="NXE43" s="21"/>
      <c r="NXF43" s="21"/>
      <c r="NXG43" s="21"/>
      <c r="NXH43" s="21"/>
      <c r="NXI43" s="21"/>
      <c r="NXJ43" s="21"/>
      <c r="NXK43" s="21"/>
      <c r="NXL43" s="21"/>
      <c r="NXM43" s="21"/>
      <c r="NXN43" s="21"/>
      <c r="NXO43" s="21"/>
      <c r="NXP43" s="21"/>
      <c r="NXQ43" s="21"/>
      <c r="NXR43" s="21"/>
      <c r="NXS43" s="21"/>
      <c r="NXT43" s="21"/>
      <c r="NXU43" s="21"/>
      <c r="NXV43" s="21"/>
      <c r="NXW43" s="21"/>
      <c r="NXX43" s="21"/>
      <c r="NXY43" s="21"/>
      <c r="NXZ43" s="21"/>
      <c r="NYA43" s="21"/>
      <c r="NYB43" s="21"/>
      <c r="NYC43" s="21"/>
      <c r="NYD43" s="21"/>
      <c r="NYE43" s="21"/>
      <c r="NYF43" s="21"/>
      <c r="NYG43" s="21"/>
      <c r="NYH43" s="21"/>
      <c r="NYI43" s="21"/>
      <c r="NYJ43" s="21"/>
      <c r="NYK43" s="21"/>
      <c r="NYL43" s="21"/>
      <c r="NYM43" s="21"/>
      <c r="NYN43" s="21"/>
      <c r="NYO43" s="21"/>
      <c r="NYP43" s="21"/>
      <c r="NYQ43" s="21"/>
      <c r="NYR43" s="21"/>
      <c r="NYS43" s="21"/>
      <c r="NYT43" s="21"/>
      <c r="NYU43" s="21"/>
      <c r="NYV43" s="21"/>
      <c r="NYW43" s="21"/>
      <c r="NYX43" s="21"/>
      <c r="NYY43" s="21"/>
      <c r="NYZ43" s="21"/>
      <c r="NZA43" s="21"/>
      <c r="NZB43" s="21"/>
      <c r="NZC43" s="21"/>
      <c r="NZD43" s="21"/>
      <c r="NZE43" s="21"/>
      <c r="NZF43" s="21"/>
      <c r="NZG43" s="21"/>
      <c r="NZH43" s="21"/>
      <c r="NZI43" s="21"/>
      <c r="NZJ43" s="21"/>
      <c r="NZK43" s="21"/>
      <c r="NZL43" s="21"/>
      <c r="NZM43" s="21"/>
      <c r="NZN43" s="21"/>
      <c r="NZO43" s="21"/>
      <c r="NZP43" s="21"/>
      <c r="NZQ43" s="21"/>
      <c r="NZR43" s="21"/>
      <c r="NZS43" s="21"/>
      <c r="NZT43" s="21"/>
      <c r="NZU43" s="21"/>
      <c r="NZV43" s="21"/>
      <c r="NZW43" s="21"/>
      <c r="NZX43" s="21"/>
      <c r="NZY43" s="21"/>
      <c r="NZZ43" s="21"/>
      <c r="OAA43" s="21"/>
      <c r="OAB43" s="21"/>
      <c r="OAC43" s="21"/>
      <c r="OAD43" s="21"/>
      <c r="OAE43" s="21"/>
      <c r="OAF43" s="21"/>
      <c r="OAG43" s="21"/>
      <c r="OAH43" s="21"/>
      <c r="OAI43" s="21"/>
      <c r="OAJ43" s="21"/>
      <c r="OAK43" s="21"/>
      <c r="OAL43" s="21"/>
      <c r="OAM43" s="21"/>
      <c r="OAN43" s="21"/>
      <c r="OAO43" s="21"/>
      <c r="OAP43" s="21"/>
      <c r="OAQ43" s="21"/>
      <c r="OAR43" s="21"/>
      <c r="OAS43" s="21"/>
      <c r="OAT43" s="21"/>
      <c r="OAU43" s="21"/>
      <c r="OAV43" s="21"/>
      <c r="OAW43" s="21"/>
      <c r="OAX43" s="21"/>
      <c r="OAY43" s="21"/>
      <c r="OAZ43" s="21"/>
      <c r="OBA43" s="21"/>
      <c r="OBB43" s="21"/>
      <c r="OBC43" s="21"/>
      <c r="OBD43" s="21"/>
      <c r="OBE43" s="21"/>
      <c r="OBF43" s="21"/>
      <c r="OBG43" s="21"/>
      <c r="OBH43" s="21"/>
      <c r="OBI43" s="21"/>
      <c r="OBJ43" s="21"/>
      <c r="OBK43" s="21"/>
      <c r="OBL43" s="21"/>
      <c r="OBM43" s="21"/>
      <c r="OBN43" s="21"/>
      <c r="OBO43" s="21"/>
      <c r="OBP43" s="21"/>
      <c r="OBQ43" s="21"/>
      <c r="OBR43" s="21"/>
      <c r="OBS43" s="21"/>
      <c r="OBT43" s="21"/>
      <c r="OBU43" s="21"/>
      <c r="OBV43" s="21"/>
      <c r="OBW43" s="21"/>
      <c r="OBX43" s="21"/>
      <c r="OBY43" s="21"/>
      <c r="OBZ43" s="21"/>
      <c r="OCA43" s="21"/>
      <c r="OCB43" s="21"/>
      <c r="OCC43" s="21"/>
      <c r="OCD43" s="21"/>
      <c r="OCE43" s="21"/>
      <c r="OCF43" s="21"/>
      <c r="OCG43" s="21"/>
      <c r="OCH43" s="21"/>
      <c r="OCI43" s="21"/>
      <c r="OCJ43" s="21"/>
      <c r="OCK43" s="21"/>
      <c r="OCL43" s="21"/>
      <c r="OCM43" s="21"/>
      <c r="OCN43" s="21"/>
      <c r="OCO43" s="21"/>
      <c r="OCP43" s="21"/>
      <c r="OCQ43" s="21"/>
      <c r="OCR43" s="21"/>
      <c r="OCS43" s="21"/>
      <c r="OCT43" s="21"/>
      <c r="OCU43" s="21"/>
      <c r="OCV43" s="21"/>
      <c r="OCW43" s="21"/>
      <c r="OCX43" s="21"/>
      <c r="OCY43" s="21"/>
      <c r="OCZ43" s="21"/>
      <c r="ODA43" s="21"/>
      <c r="ODB43" s="21"/>
      <c r="ODC43" s="21"/>
      <c r="ODD43" s="21"/>
      <c r="ODE43" s="21"/>
      <c r="ODF43" s="21"/>
      <c r="ODG43" s="21"/>
      <c r="ODH43" s="21"/>
      <c r="ODI43" s="21"/>
      <c r="ODJ43" s="21"/>
      <c r="ODK43" s="21"/>
      <c r="ODL43" s="21"/>
      <c r="ODM43" s="21"/>
      <c r="ODN43" s="21"/>
      <c r="ODO43" s="21"/>
      <c r="ODP43" s="21"/>
      <c r="ODQ43" s="21"/>
      <c r="ODR43" s="21"/>
      <c r="ODS43" s="21"/>
      <c r="ODT43" s="21"/>
      <c r="ODU43" s="21"/>
      <c r="ODV43" s="21"/>
      <c r="ODW43" s="21"/>
      <c r="ODX43" s="21"/>
      <c r="ODY43" s="21"/>
      <c r="ODZ43" s="21"/>
      <c r="OEA43" s="21"/>
      <c r="OEB43" s="21"/>
      <c r="OEC43" s="21"/>
      <c r="OED43" s="21"/>
      <c r="OEE43" s="21"/>
      <c r="OEF43" s="21"/>
      <c r="OEG43" s="21"/>
      <c r="OEH43" s="21"/>
      <c r="OEI43" s="21"/>
      <c r="OEJ43" s="21"/>
      <c r="OEK43" s="21"/>
      <c r="OEL43" s="21"/>
      <c r="OEM43" s="21"/>
      <c r="OEN43" s="21"/>
      <c r="OEO43" s="21"/>
      <c r="OEP43" s="21"/>
      <c r="OEQ43" s="21"/>
      <c r="OER43" s="21"/>
      <c r="OES43" s="21"/>
      <c r="OET43" s="21"/>
      <c r="OEU43" s="21"/>
      <c r="OEV43" s="21"/>
      <c r="OEW43" s="21"/>
      <c r="OEX43" s="21"/>
      <c r="OEY43" s="21"/>
      <c r="OEZ43" s="21"/>
      <c r="OFA43" s="21"/>
      <c r="OFB43" s="21"/>
      <c r="OFC43" s="21"/>
      <c r="OFD43" s="21"/>
      <c r="OFE43" s="21"/>
      <c r="OFF43" s="21"/>
      <c r="OFG43" s="21"/>
      <c r="OFH43" s="21"/>
      <c r="OFI43" s="21"/>
      <c r="OFJ43" s="21"/>
      <c r="OFK43" s="21"/>
      <c r="OFL43" s="21"/>
      <c r="OFM43" s="21"/>
      <c r="OFN43" s="21"/>
      <c r="OFO43" s="21"/>
      <c r="OFP43" s="21"/>
      <c r="OFQ43" s="21"/>
      <c r="OFR43" s="21"/>
      <c r="OFS43" s="21"/>
      <c r="OFT43" s="21"/>
      <c r="OFU43" s="21"/>
      <c r="OFV43" s="21"/>
      <c r="OFW43" s="21"/>
      <c r="OFX43" s="21"/>
      <c r="OFY43" s="21"/>
      <c r="OFZ43" s="21"/>
      <c r="OGA43" s="21"/>
      <c r="OGB43" s="21"/>
      <c r="OGC43" s="21"/>
      <c r="OGD43" s="21"/>
      <c r="OGE43" s="21"/>
      <c r="OGF43" s="21"/>
      <c r="OGG43" s="21"/>
      <c r="OGH43" s="21"/>
      <c r="OGI43" s="21"/>
      <c r="OGJ43" s="21"/>
      <c r="OGK43" s="21"/>
      <c r="OGL43" s="21"/>
      <c r="OGM43" s="21"/>
      <c r="OGN43" s="21"/>
      <c r="OGO43" s="21"/>
      <c r="OGP43" s="21"/>
      <c r="OGQ43" s="21"/>
      <c r="OGR43" s="21"/>
      <c r="OGS43" s="21"/>
      <c r="OGT43" s="21"/>
      <c r="OGU43" s="21"/>
      <c r="OGV43" s="21"/>
      <c r="OGW43" s="21"/>
      <c r="OGX43" s="21"/>
      <c r="OGY43" s="21"/>
      <c r="OGZ43" s="21"/>
      <c r="OHA43" s="21"/>
      <c r="OHB43" s="21"/>
      <c r="OHC43" s="21"/>
      <c r="OHD43" s="21"/>
      <c r="OHE43" s="21"/>
      <c r="OHF43" s="21"/>
      <c r="OHG43" s="21"/>
      <c r="OHH43" s="21"/>
      <c r="OHI43" s="21"/>
      <c r="OHJ43" s="21"/>
      <c r="OHK43" s="21"/>
      <c r="OHL43" s="21"/>
      <c r="OHM43" s="21"/>
      <c r="OHN43" s="21"/>
      <c r="OHO43" s="21"/>
      <c r="OHP43" s="21"/>
      <c r="OHQ43" s="21"/>
      <c r="OHR43" s="21"/>
      <c r="OHS43" s="21"/>
      <c r="OHT43" s="21"/>
      <c r="OHU43" s="21"/>
      <c r="OHV43" s="21"/>
      <c r="OHW43" s="21"/>
      <c r="OHX43" s="21"/>
      <c r="OHY43" s="21"/>
      <c r="OHZ43" s="21"/>
      <c r="OIA43" s="21"/>
      <c r="OIB43" s="21"/>
      <c r="OIC43" s="21"/>
      <c r="OID43" s="21"/>
      <c r="OIE43" s="21"/>
      <c r="OIF43" s="21"/>
      <c r="OIG43" s="21"/>
      <c r="OIH43" s="21"/>
      <c r="OII43" s="21"/>
      <c r="OIJ43" s="21"/>
      <c r="OIK43" s="21"/>
      <c r="OIL43" s="21"/>
      <c r="OIM43" s="21"/>
      <c r="OIN43" s="21"/>
      <c r="OIO43" s="21"/>
      <c r="OIP43" s="21"/>
      <c r="OIQ43" s="21"/>
      <c r="OIR43" s="21"/>
      <c r="OIS43" s="21"/>
      <c r="OIT43" s="21"/>
      <c r="OIU43" s="21"/>
      <c r="OIV43" s="21"/>
      <c r="OIW43" s="21"/>
      <c r="OIX43" s="21"/>
      <c r="OIY43" s="21"/>
      <c r="OIZ43" s="21"/>
      <c r="OJA43" s="21"/>
      <c r="OJB43" s="21"/>
      <c r="OJC43" s="21"/>
      <c r="OJD43" s="21"/>
      <c r="OJE43" s="21"/>
      <c r="OJF43" s="21"/>
      <c r="OJG43" s="21"/>
      <c r="OJH43" s="21"/>
      <c r="OJI43" s="21"/>
      <c r="OJJ43" s="21"/>
      <c r="OJK43" s="21"/>
      <c r="OJL43" s="21"/>
      <c r="OJM43" s="21"/>
      <c r="OJN43" s="21"/>
      <c r="OJO43" s="21"/>
      <c r="OJP43" s="21"/>
      <c r="OJQ43" s="21"/>
      <c r="OJR43" s="21"/>
      <c r="OJS43" s="21"/>
      <c r="OJT43" s="21"/>
      <c r="OJU43" s="21"/>
      <c r="OJV43" s="21"/>
      <c r="OJW43" s="21"/>
      <c r="OJX43" s="21"/>
      <c r="OJY43" s="21"/>
      <c r="OJZ43" s="21"/>
      <c r="OKA43" s="21"/>
      <c r="OKB43" s="21"/>
      <c r="OKC43" s="21"/>
      <c r="OKD43" s="21"/>
      <c r="OKE43" s="21"/>
      <c r="OKF43" s="21"/>
      <c r="OKG43" s="21"/>
      <c r="OKH43" s="21"/>
      <c r="OKI43" s="21"/>
      <c r="OKJ43" s="21"/>
      <c r="OKK43" s="21"/>
      <c r="OKL43" s="21"/>
      <c r="OKM43" s="21"/>
      <c r="OKN43" s="21"/>
      <c r="OKO43" s="21"/>
      <c r="OKP43" s="21"/>
      <c r="OKQ43" s="21"/>
      <c r="OKR43" s="21"/>
      <c r="OKS43" s="21"/>
      <c r="OKT43" s="21"/>
      <c r="OKU43" s="21"/>
      <c r="OKV43" s="21"/>
      <c r="OKW43" s="21"/>
      <c r="OKX43" s="21"/>
      <c r="OKY43" s="21"/>
      <c r="OKZ43" s="21"/>
      <c r="OLA43" s="21"/>
      <c r="OLB43" s="21"/>
      <c r="OLC43" s="21"/>
      <c r="OLD43" s="21"/>
      <c r="OLE43" s="21"/>
      <c r="OLF43" s="21"/>
      <c r="OLG43" s="21"/>
      <c r="OLH43" s="21"/>
      <c r="OLI43" s="21"/>
      <c r="OLJ43" s="21"/>
      <c r="OLK43" s="21"/>
      <c r="OLL43" s="21"/>
      <c r="OLM43" s="21"/>
      <c r="OLN43" s="21"/>
      <c r="OLO43" s="21"/>
      <c r="OLP43" s="21"/>
      <c r="OLQ43" s="21"/>
      <c r="OLR43" s="21"/>
      <c r="OLS43" s="21"/>
      <c r="OLT43" s="21"/>
      <c r="OLU43" s="21"/>
      <c r="OLV43" s="21"/>
      <c r="OLW43" s="21"/>
      <c r="OLX43" s="21"/>
      <c r="OLY43" s="21"/>
      <c r="OLZ43" s="21"/>
      <c r="OMA43" s="21"/>
      <c r="OMB43" s="21"/>
      <c r="OMC43" s="21"/>
      <c r="OMD43" s="21"/>
      <c r="OME43" s="21"/>
      <c r="OMF43" s="21"/>
      <c r="OMG43" s="21"/>
      <c r="OMH43" s="21"/>
      <c r="OMI43" s="21"/>
      <c r="OMJ43" s="21"/>
      <c r="OMK43" s="21"/>
      <c r="OML43" s="21"/>
      <c r="OMM43" s="21"/>
      <c r="OMN43" s="21"/>
      <c r="OMO43" s="21"/>
      <c r="OMP43" s="21"/>
      <c r="OMQ43" s="21"/>
      <c r="OMR43" s="21"/>
      <c r="OMS43" s="21"/>
      <c r="OMT43" s="21"/>
      <c r="OMU43" s="21"/>
      <c r="OMV43" s="21"/>
      <c r="OMW43" s="21"/>
      <c r="OMX43" s="21"/>
      <c r="OMY43" s="21"/>
      <c r="OMZ43" s="21"/>
      <c r="ONA43" s="21"/>
      <c r="ONB43" s="21"/>
      <c r="ONC43" s="21"/>
      <c r="OND43" s="21"/>
      <c r="ONE43" s="21"/>
      <c r="ONF43" s="21"/>
      <c r="ONG43" s="21"/>
      <c r="ONH43" s="21"/>
      <c r="ONI43" s="21"/>
      <c r="ONJ43" s="21"/>
      <c r="ONK43" s="21"/>
      <c r="ONL43" s="21"/>
      <c r="ONM43" s="21"/>
      <c r="ONN43" s="21"/>
      <c r="ONO43" s="21"/>
      <c r="ONP43" s="21"/>
      <c r="ONQ43" s="21"/>
      <c r="ONR43" s="21"/>
      <c r="ONS43" s="21"/>
      <c r="ONT43" s="21"/>
      <c r="ONU43" s="21"/>
      <c r="ONV43" s="21"/>
      <c r="ONW43" s="21"/>
      <c r="ONX43" s="21"/>
      <c r="ONY43" s="21"/>
      <c r="ONZ43" s="21"/>
      <c r="OOA43" s="21"/>
      <c r="OOB43" s="21"/>
      <c r="OOC43" s="21"/>
      <c r="OOD43" s="21"/>
      <c r="OOE43" s="21"/>
      <c r="OOF43" s="21"/>
      <c r="OOG43" s="21"/>
      <c r="OOH43" s="21"/>
      <c r="OOI43" s="21"/>
      <c r="OOJ43" s="21"/>
      <c r="OOK43" s="21"/>
      <c r="OOL43" s="21"/>
      <c r="OOM43" s="21"/>
      <c r="OON43" s="21"/>
      <c r="OOO43" s="21"/>
      <c r="OOP43" s="21"/>
      <c r="OOQ43" s="21"/>
      <c r="OOR43" s="21"/>
      <c r="OOS43" s="21"/>
      <c r="OOT43" s="21"/>
      <c r="OOU43" s="21"/>
      <c r="OOV43" s="21"/>
      <c r="OOW43" s="21"/>
      <c r="OOX43" s="21"/>
      <c r="OOY43" s="21"/>
      <c r="OOZ43" s="21"/>
      <c r="OPA43" s="21"/>
      <c r="OPB43" s="21"/>
      <c r="OPC43" s="21"/>
      <c r="OPD43" s="21"/>
      <c r="OPE43" s="21"/>
      <c r="OPF43" s="21"/>
      <c r="OPG43" s="21"/>
      <c r="OPH43" s="21"/>
      <c r="OPI43" s="21"/>
      <c r="OPJ43" s="21"/>
      <c r="OPK43" s="21"/>
      <c r="OPL43" s="21"/>
      <c r="OPM43" s="21"/>
      <c r="OPN43" s="21"/>
      <c r="OPO43" s="21"/>
      <c r="OPP43" s="21"/>
      <c r="OPQ43" s="21"/>
      <c r="OPR43" s="21"/>
      <c r="OPS43" s="21"/>
      <c r="OPT43" s="21"/>
      <c r="OPU43" s="21"/>
      <c r="OPV43" s="21"/>
      <c r="OPW43" s="21"/>
      <c r="OPX43" s="21"/>
      <c r="OPY43" s="21"/>
      <c r="OPZ43" s="21"/>
      <c r="OQA43" s="21"/>
      <c r="OQB43" s="21"/>
      <c r="OQC43" s="21"/>
      <c r="OQD43" s="21"/>
      <c r="OQE43" s="21"/>
      <c r="OQF43" s="21"/>
      <c r="OQG43" s="21"/>
      <c r="OQH43" s="21"/>
      <c r="OQI43" s="21"/>
      <c r="OQJ43" s="21"/>
      <c r="OQK43" s="21"/>
      <c r="OQL43" s="21"/>
      <c r="OQM43" s="21"/>
      <c r="OQN43" s="21"/>
      <c r="OQO43" s="21"/>
      <c r="OQP43" s="21"/>
      <c r="OQQ43" s="21"/>
      <c r="OQR43" s="21"/>
      <c r="OQS43" s="21"/>
      <c r="OQT43" s="21"/>
      <c r="OQU43" s="21"/>
      <c r="OQV43" s="21"/>
      <c r="OQW43" s="21"/>
      <c r="OQX43" s="21"/>
      <c r="OQY43" s="21"/>
      <c r="OQZ43" s="21"/>
      <c r="ORA43" s="21"/>
      <c r="ORB43" s="21"/>
      <c r="ORC43" s="21"/>
      <c r="ORD43" s="21"/>
      <c r="ORE43" s="21"/>
      <c r="ORF43" s="21"/>
      <c r="ORG43" s="21"/>
      <c r="ORH43" s="21"/>
      <c r="ORI43" s="21"/>
      <c r="ORJ43" s="21"/>
      <c r="ORK43" s="21"/>
      <c r="ORL43" s="21"/>
      <c r="ORM43" s="21"/>
      <c r="ORN43" s="21"/>
      <c r="ORO43" s="21"/>
      <c r="ORP43" s="21"/>
      <c r="ORQ43" s="21"/>
      <c r="ORR43" s="21"/>
      <c r="ORS43" s="21"/>
      <c r="ORT43" s="21"/>
      <c r="ORU43" s="21"/>
      <c r="ORV43" s="21"/>
      <c r="ORW43" s="21"/>
      <c r="ORX43" s="21"/>
      <c r="ORY43" s="21"/>
      <c r="ORZ43" s="21"/>
      <c r="OSA43" s="21"/>
      <c r="OSB43" s="21"/>
      <c r="OSC43" s="21"/>
      <c r="OSD43" s="21"/>
      <c r="OSE43" s="21"/>
      <c r="OSF43" s="21"/>
      <c r="OSG43" s="21"/>
      <c r="OSH43" s="21"/>
      <c r="OSI43" s="21"/>
      <c r="OSJ43" s="21"/>
      <c r="OSK43" s="21"/>
      <c r="OSL43" s="21"/>
      <c r="OSM43" s="21"/>
      <c r="OSN43" s="21"/>
      <c r="OSO43" s="21"/>
      <c r="OSP43" s="21"/>
      <c r="OSQ43" s="21"/>
      <c r="OSR43" s="21"/>
      <c r="OSS43" s="21"/>
      <c r="OST43" s="21"/>
      <c r="OSU43" s="21"/>
      <c r="OSV43" s="21"/>
      <c r="OSW43" s="21"/>
      <c r="OSX43" s="21"/>
      <c r="OSY43" s="21"/>
      <c r="OSZ43" s="21"/>
      <c r="OTA43" s="21"/>
      <c r="OTB43" s="21"/>
      <c r="OTC43" s="21"/>
      <c r="OTD43" s="21"/>
      <c r="OTE43" s="21"/>
      <c r="OTF43" s="21"/>
      <c r="OTG43" s="21"/>
      <c r="OTH43" s="21"/>
      <c r="OTI43" s="21"/>
      <c r="OTJ43" s="21"/>
      <c r="OTK43" s="21"/>
      <c r="OTL43" s="21"/>
      <c r="OTM43" s="21"/>
      <c r="OTN43" s="21"/>
      <c r="OTO43" s="21"/>
      <c r="OTP43" s="21"/>
      <c r="OTQ43" s="21"/>
      <c r="OTR43" s="21"/>
      <c r="OTS43" s="21"/>
      <c r="OTT43" s="21"/>
      <c r="OTU43" s="21"/>
      <c r="OTV43" s="21"/>
      <c r="OTW43" s="21"/>
      <c r="OTX43" s="21"/>
      <c r="OTY43" s="21"/>
      <c r="OTZ43" s="21"/>
      <c r="OUA43" s="21"/>
      <c r="OUB43" s="21"/>
      <c r="OUC43" s="21"/>
      <c r="OUD43" s="21"/>
      <c r="OUE43" s="21"/>
      <c r="OUF43" s="21"/>
      <c r="OUG43" s="21"/>
      <c r="OUH43" s="21"/>
      <c r="OUI43" s="21"/>
      <c r="OUJ43" s="21"/>
      <c r="OUK43" s="21"/>
      <c r="OUL43" s="21"/>
      <c r="OUM43" s="21"/>
      <c r="OUN43" s="21"/>
      <c r="OUO43" s="21"/>
      <c r="OUP43" s="21"/>
      <c r="OUQ43" s="21"/>
      <c r="OUR43" s="21"/>
      <c r="OUS43" s="21"/>
      <c r="OUT43" s="21"/>
      <c r="OUU43" s="21"/>
      <c r="OUV43" s="21"/>
      <c r="OUW43" s="21"/>
      <c r="OUX43" s="21"/>
      <c r="OUY43" s="21"/>
      <c r="OUZ43" s="21"/>
      <c r="OVA43" s="21"/>
      <c r="OVB43" s="21"/>
      <c r="OVC43" s="21"/>
      <c r="OVD43" s="21"/>
      <c r="OVE43" s="21"/>
      <c r="OVF43" s="21"/>
      <c r="OVG43" s="21"/>
      <c r="OVH43" s="21"/>
      <c r="OVI43" s="21"/>
      <c r="OVJ43" s="21"/>
      <c r="OVK43" s="21"/>
      <c r="OVL43" s="21"/>
      <c r="OVM43" s="21"/>
      <c r="OVN43" s="21"/>
      <c r="OVO43" s="21"/>
      <c r="OVP43" s="21"/>
      <c r="OVQ43" s="21"/>
      <c r="OVR43" s="21"/>
      <c r="OVS43" s="21"/>
      <c r="OVT43" s="21"/>
      <c r="OVU43" s="21"/>
      <c r="OVV43" s="21"/>
      <c r="OVW43" s="21"/>
      <c r="OVX43" s="21"/>
      <c r="OVY43" s="21"/>
      <c r="OVZ43" s="21"/>
      <c r="OWA43" s="21"/>
      <c r="OWB43" s="21"/>
      <c r="OWC43" s="21"/>
      <c r="OWD43" s="21"/>
      <c r="OWE43" s="21"/>
      <c r="OWF43" s="21"/>
      <c r="OWG43" s="21"/>
      <c r="OWH43" s="21"/>
      <c r="OWI43" s="21"/>
      <c r="OWJ43" s="21"/>
      <c r="OWK43" s="21"/>
      <c r="OWL43" s="21"/>
      <c r="OWM43" s="21"/>
      <c r="OWN43" s="21"/>
      <c r="OWO43" s="21"/>
      <c r="OWP43" s="21"/>
      <c r="OWQ43" s="21"/>
      <c r="OWR43" s="21"/>
      <c r="OWS43" s="21"/>
      <c r="OWT43" s="21"/>
      <c r="OWU43" s="21"/>
      <c r="OWV43" s="21"/>
      <c r="OWW43" s="21"/>
      <c r="OWX43" s="21"/>
      <c r="OWY43" s="21"/>
      <c r="OWZ43" s="21"/>
      <c r="OXA43" s="21"/>
      <c r="OXB43" s="21"/>
      <c r="OXC43" s="21"/>
      <c r="OXD43" s="21"/>
      <c r="OXE43" s="21"/>
      <c r="OXF43" s="21"/>
      <c r="OXG43" s="21"/>
      <c r="OXH43" s="21"/>
      <c r="OXI43" s="21"/>
      <c r="OXJ43" s="21"/>
      <c r="OXK43" s="21"/>
      <c r="OXL43" s="21"/>
      <c r="OXM43" s="21"/>
      <c r="OXN43" s="21"/>
      <c r="OXO43" s="21"/>
      <c r="OXP43" s="21"/>
      <c r="OXQ43" s="21"/>
      <c r="OXR43" s="21"/>
      <c r="OXS43" s="21"/>
      <c r="OXT43" s="21"/>
      <c r="OXU43" s="21"/>
      <c r="OXV43" s="21"/>
      <c r="OXW43" s="21"/>
      <c r="OXX43" s="21"/>
      <c r="OXY43" s="21"/>
      <c r="OXZ43" s="21"/>
      <c r="OYA43" s="21"/>
      <c r="OYB43" s="21"/>
      <c r="OYC43" s="21"/>
      <c r="OYD43" s="21"/>
      <c r="OYE43" s="21"/>
      <c r="OYF43" s="21"/>
      <c r="OYG43" s="21"/>
      <c r="OYH43" s="21"/>
      <c r="OYI43" s="21"/>
      <c r="OYJ43" s="21"/>
      <c r="OYK43" s="21"/>
      <c r="OYL43" s="21"/>
      <c r="OYM43" s="21"/>
      <c r="OYN43" s="21"/>
      <c r="OYO43" s="21"/>
      <c r="OYP43" s="21"/>
      <c r="OYQ43" s="21"/>
      <c r="OYR43" s="21"/>
      <c r="OYS43" s="21"/>
      <c r="OYT43" s="21"/>
      <c r="OYU43" s="21"/>
      <c r="OYV43" s="21"/>
      <c r="OYW43" s="21"/>
      <c r="OYX43" s="21"/>
      <c r="OYY43" s="21"/>
      <c r="OYZ43" s="21"/>
      <c r="OZA43" s="21"/>
      <c r="OZB43" s="21"/>
      <c r="OZC43" s="21"/>
      <c r="OZD43" s="21"/>
      <c r="OZE43" s="21"/>
      <c r="OZF43" s="21"/>
      <c r="OZG43" s="21"/>
      <c r="OZH43" s="21"/>
      <c r="OZI43" s="21"/>
      <c r="OZJ43" s="21"/>
      <c r="OZK43" s="21"/>
      <c r="OZL43" s="21"/>
      <c r="OZM43" s="21"/>
      <c r="OZN43" s="21"/>
      <c r="OZO43" s="21"/>
      <c r="OZP43" s="21"/>
      <c r="OZQ43" s="21"/>
      <c r="OZR43" s="21"/>
      <c r="OZS43" s="21"/>
      <c r="OZT43" s="21"/>
      <c r="OZU43" s="21"/>
      <c r="OZV43" s="21"/>
      <c r="OZW43" s="21"/>
      <c r="OZX43" s="21"/>
      <c r="OZY43" s="21"/>
      <c r="OZZ43" s="21"/>
      <c r="PAA43" s="21"/>
      <c r="PAB43" s="21"/>
      <c r="PAC43" s="21"/>
      <c r="PAD43" s="21"/>
      <c r="PAE43" s="21"/>
      <c r="PAF43" s="21"/>
      <c r="PAG43" s="21"/>
      <c r="PAH43" s="21"/>
      <c r="PAI43" s="21"/>
      <c r="PAJ43" s="21"/>
      <c r="PAK43" s="21"/>
      <c r="PAL43" s="21"/>
      <c r="PAM43" s="21"/>
      <c r="PAN43" s="21"/>
      <c r="PAO43" s="21"/>
      <c r="PAP43" s="21"/>
      <c r="PAQ43" s="21"/>
      <c r="PAR43" s="21"/>
      <c r="PAS43" s="21"/>
      <c r="PAT43" s="21"/>
      <c r="PAU43" s="21"/>
      <c r="PAV43" s="21"/>
      <c r="PAW43" s="21"/>
      <c r="PAX43" s="21"/>
      <c r="PAY43" s="21"/>
      <c r="PAZ43" s="21"/>
      <c r="PBA43" s="21"/>
      <c r="PBB43" s="21"/>
      <c r="PBC43" s="21"/>
      <c r="PBD43" s="21"/>
      <c r="PBE43" s="21"/>
      <c r="PBF43" s="21"/>
      <c r="PBG43" s="21"/>
      <c r="PBH43" s="21"/>
      <c r="PBI43" s="21"/>
      <c r="PBJ43" s="21"/>
      <c r="PBK43" s="21"/>
      <c r="PBL43" s="21"/>
      <c r="PBM43" s="21"/>
      <c r="PBN43" s="21"/>
      <c r="PBO43" s="21"/>
      <c r="PBP43" s="21"/>
      <c r="PBQ43" s="21"/>
      <c r="PBR43" s="21"/>
      <c r="PBS43" s="21"/>
      <c r="PBT43" s="21"/>
      <c r="PBU43" s="21"/>
      <c r="PBV43" s="21"/>
      <c r="PBW43" s="21"/>
      <c r="PBX43" s="21"/>
      <c r="PBY43" s="21"/>
      <c r="PBZ43" s="21"/>
      <c r="PCA43" s="21"/>
      <c r="PCB43" s="21"/>
      <c r="PCC43" s="21"/>
      <c r="PCD43" s="21"/>
      <c r="PCE43" s="21"/>
      <c r="PCF43" s="21"/>
      <c r="PCG43" s="21"/>
      <c r="PCH43" s="21"/>
      <c r="PCI43" s="21"/>
      <c r="PCJ43" s="21"/>
      <c r="PCK43" s="21"/>
      <c r="PCL43" s="21"/>
      <c r="PCM43" s="21"/>
      <c r="PCN43" s="21"/>
      <c r="PCO43" s="21"/>
      <c r="PCP43" s="21"/>
      <c r="PCQ43" s="21"/>
      <c r="PCR43" s="21"/>
      <c r="PCS43" s="21"/>
      <c r="PCT43" s="21"/>
      <c r="PCU43" s="21"/>
      <c r="PCV43" s="21"/>
      <c r="PCW43" s="21"/>
      <c r="PCX43" s="21"/>
      <c r="PCY43" s="21"/>
      <c r="PCZ43" s="21"/>
      <c r="PDA43" s="21"/>
      <c r="PDB43" s="21"/>
      <c r="PDC43" s="21"/>
      <c r="PDD43" s="21"/>
      <c r="PDE43" s="21"/>
      <c r="PDF43" s="21"/>
      <c r="PDG43" s="21"/>
      <c r="PDH43" s="21"/>
      <c r="PDI43" s="21"/>
      <c r="PDJ43" s="21"/>
      <c r="PDK43" s="21"/>
      <c r="PDL43" s="21"/>
      <c r="PDM43" s="21"/>
      <c r="PDN43" s="21"/>
      <c r="PDO43" s="21"/>
      <c r="PDP43" s="21"/>
      <c r="PDQ43" s="21"/>
      <c r="PDR43" s="21"/>
      <c r="PDS43" s="21"/>
      <c r="PDT43" s="21"/>
      <c r="PDU43" s="21"/>
      <c r="PDV43" s="21"/>
      <c r="PDW43" s="21"/>
      <c r="PDX43" s="21"/>
      <c r="PDY43" s="21"/>
      <c r="PDZ43" s="21"/>
      <c r="PEA43" s="21"/>
      <c r="PEB43" s="21"/>
      <c r="PEC43" s="21"/>
      <c r="PED43" s="21"/>
      <c r="PEE43" s="21"/>
      <c r="PEF43" s="21"/>
      <c r="PEG43" s="21"/>
      <c r="PEH43" s="21"/>
      <c r="PEI43" s="21"/>
      <c r="PEJ43" s="21"/>
      <c r="PEK43" s="21"/>
      <c r="PEL43" s="21"/>
      <c r="PEM43" s="21"/>
      <c r="PEN43" s="21"/>
      <c r="PEO43" s="21"/>
      <c r="PEP43" s="21"/>
      <c r="PEQ43" s="21"/>
      <c r="PER43" s="21"/>
      <c r="PES43" s="21"/>
      <c r="PET43" s="21"/>
      <c r="PEU43" s="21"/>
      <c r="PEV43" s="21"/>
      <c r="PEW43" s="21"/>
      <c r="PEX43" s="21"/>
      <c r="PEY43" s="21"/>
      <c r="PEZ43" s="21"/>
      <c r="PFA43" s="21"/>
      <c r="PFB43" s="21"/>
      <c r="PFC43" s="21"/>
      <c r="PFD43" s="21"/>
      <c r="PFE43" s="21"/>
      <c r="PFF43" s="21"/>
      <c r="PFG43" s="21"/>
      <c r="PFH43" s="21"/>
      <c r="PFI43" s="21"/>
      <c r="PFJ43" s="21"/>
      <c r="PFK43" s="21"/>
      <c r="PFL43" s="21"/>
      <c r="PFM43" s="21"/>
      <c r="PFN43" s="21"/>
      <c r="PFO43" s="21"/>
      <c r="PFP43" s="21"/>
      <c r="PFQ43" s="21"/>
      <c r="PFR43" s="21"/>
      <c r="PFS43" s="21"/>
      <c r="PFT43" s="21"/>
      <c r="PFU43" s="21"/>
      <c r="PFV43" s="21"/>
      <c r="PFW43" s="21"/>
      <c r="PFX43" s="21"/>
      <c r="PFY43" s="21"/>
      <c r="PFZ43" s="21"/>
      <c r="PGA43" s="21"/>
      <c r="PGB43" s="21"/>
      <c r="PGC43" s="21"/>
      <c r="PGD43" s="21"/>
      <c r="PGE43" s="21"/>
      <c r="PGF43" s="21"/>
      <c r="PGG43" s="21"/>
      <c r="PGH43" s="21"/>
      <c r="PGI43" s="21"/>
      <c r="PGJ43" s="21"/>
      <c r="PGK43" s="21"/>
      <c r="PGL43" s="21"/>
      <c r="PGM43" s="21"/>
      <c r="PGN43" s="21"/>
      <c r="PGO43" s="21"/>
      <c r="PGP43" s="21"/>
      <c r="PGQ43" s="21"/>
      <c r="PGR43" s="21"/>
      <c r="PGS43" s="21"/>
      <c r="PGT43" s="21"/>
      <c r="PGU43" s="21"/>
      <c r="PGV43" s="21"/>
      <c r="PGW43" s="21"/>
      <c r="PGX43" s="21"/>
      <c r="PGY43" s="21"/>
      <c r="PGZ43" s="21"/>
      <c r="PHA43" s="21"/>
      <c r="PHB43" s="21"/>
      <c r="PHC43" s="21"/>
      <c r="PHD43" s="21"/>
      <c r="PHE43" s="21"/>
      <c r="PHF43" s="21"/>
      <c r="PHG43" s="21"/>
      <c r="PHH43" s="21"/>
      <c r="PHI43" s="21"/>
      <c r="PHJ43" s="21"/>
      <c r="PHK43" s="21"/>
      <c r="PHL43" s="21"/>
      <c r="PHM43" s="21"/>
      <c r="PHN43" s="21"/>
      <c r="PHO43" s="21"/>
      <c r="PHP43" s="21"/>
      <c r="PHQ43" s="21"/>
      <c r="PHR43" s="21"/>
      <c r="PHS43" s="21"/>
      <c r="PHT43" s="21"/>
      <c r="PHU43" s="21"/>
      <c r="PHV43" s="21"/>
      <c r="PHW43" s="21"/>
      <c r="PHX43" s="21"/>
      <c r="PHY43" s="21"/>
      <c r="PHZ43" s="21"/>
      <c r="PIA43" s="21"/>
      <c r="PIB43" s="21"/>
      <c r="PIC43" s="21"/>
      <c r="PID43" s="21"/>
      <c r="PIE43" s="21"/>
      <c r="PIF43" s="21"/>
      <c r="PIG43" s="21"/>
      <c r="PIH43" s="21"/>
      <c r="PII43" s="21"/>
      <c r="PIJ43" s="21"/>
      <c r="PIK43" s="21"/>
      <c r="PIL43" s="21"/>
      <c r="PIM43" s="21"/>
      <c r="PIN43" s="21"/>
      <c r="PIO43" s="21"/>
      <c r="PIP43" s="21"/>
      <c r="PIQ43" s="21"/>
      <c r="PIR43" s="21"/>
      <c r="PIS43" s="21"/>
      <c r="PIT43" s="21"/>
      <c r="PIU43" s="21"/>
      <c r="PIV43" s="21"/>
      <c r="PIW43" s="21"/>
      <c r="PIX43" s="21"/>
      <c r="PIY43" s="21"/>
      <c r="PIZ43" s="21"/>
      <c r="PJA43" s="21"/>
      <c r="PJB43" s="21"/>
      <c r="PJC43" s="21"/>
      <c r="PJD43" s="21"/>
      <c r="PJE43" s="21"/>
      <c r="PJF43" s="21"/>
      <c r="PJG43" s="21"/>
      <c r="PJH43" s="21"/>
      <c r="PJI43" s="21"/>
      <c r="PJJ43" s="21"/>
      <c r="PJK43" s="21"/>
      <c r="PJL43" s="21"/>
      <c r="PJM43" s="21"/>
      <c r="PJN43" s="21"/>
      <c r="PJO43" s="21"/>
      <c r="PJP43" s="21"/>
      <c r="PJQ43" s="21"/>
      <c r="PJR43" s="21"/>
      <c r="PJS43" s="21"/>
      <c r="PJT43" s="21"/>
      <c r="PJU43" s="21"/>
      <c r="PJV43" s="21"/>
      <c r="PJW43" s="21"/>
      <c r="PJX43" s="21"/>
      <c r="PJY43" s="21"/>
      <c r="PJZ43" s="21"/>
      <c r="PKA43" s="21"/>
      <c r="PKB43" s="21"/>
      <c r="PKC43" s="21"/>
      <c r="PKD43" s="21"/>
      <c r="PKE43" s="21"/>
      <c r="PKF43" s="21"/>
      <c r="PKG43" s="21"/>
      <c r="PKH43" s="21"/>
      <c r="PKI43" s="21"/>
      <c r="PKJ43" s="21"/>
      <c r="PKK43" s="21"/>
      <c r="PKL43" s="21"/>
      <c r="PKM43" s="21"/>
      <c r="PKN43" s="21"/>
      <c r="PKO43" s="21"/>
      <c r="PKP43" s="21"/>
      <c r="PKQ43" s="21"/>
      <c r="PKR43" s="21"/>
      <c r="PKS43" s="21"/>
      <c r="PKT43" s="21"/>
      <c r="PKU43" s="21"/>
      <c r="PKV43" s="21"/>
      <c r="PKW43" s="21"/>
      <c r="PKX43" s="21"/>
      <c r="PKY43" s="21"/>
      <c r="PKZ43" s="21"/>
      <c r="PLA43" s="21"/>
      <c r="PLB43" s="21"/>
      <c r="PLC43" s="21"/>
      <c r="PLD43" s="21"/>
      <c r="PLE43" s="21"/>
      <c r="PLF43" s="21"/>
      <c r="PLG43" s="21"/>
      <c r="PLH43" s="21"/>
      <c r="PLI43" s="21"/>
      <c r="PLJ43" s="21"/>
      <c r="PLK43" s="21"/>
      <c r="PLL43" s="21"/>
      <c r="PLM43" s="21"/>
      <c r="PLN43" s="21"/>
      <c r="PLO43" s="21"/>
      <c r="PLP43" s="21"/>
      <c r="PLQ43" s="21"/>
      <c r="PLR43" s="21"/>
      <c r="PLS43" s="21"/>
      <c r="PLT43" s="21"/>
      <c r="PLU43" s="21"/>
      <c r="PLV43" s="21"/>
      <c r="PLW43" s="21"/>
      <c r="PLX43" s="21"/>
      <c r="PLY43" s="21"/>
      <c r="PLZ43" s="21"/>
      <c r="PMA43" s="21"/>
      <c r="PMB43" s="21"/>
      <c r="PMC43" s="21"/>
      <c r="PMD43" s="21"/>
      <c r="PME43" s="21"/>
      <c r="PMF43" s="21"/>
      <c r="PMG43" s="21"/>
      <c r="PMH43" s="21"/>
      <c r="PMI43" s="21"/>
      <c r="PMJ43" s="21"/>
      <c r="PMK43" s="21"/>
      <c r="PML43" s="21"/>
      <c r="PMM43" s="21"/>
      <c r="PMN43" s="21"/>
      <c r="PMO43" s="21"/>
      <c r="PMP43" s="21"/>
      <c r="PMQ43" s="21"/>
      <c r="PMR43" s="21"/>
      <c r="PMS43" s="21"/>
      <c r="PMT43" s="21"/>
      <c r="PMU43" s="21"/>
      <c r="PMV43" s="21"/>
      <c r="PMW43" s="21"/>
      <c r="PMX43" s="21"/>
      <c r="PMY43" s="21"/>
      <c r="PMZ43" s="21"/>
      <c r="PNA43" s="21"/>
      <c r="PNB43" s="21"/>
      <c r="PNC43" s="21"/>
      <c r="PND43" s="21"/>
      <c r="PNE43" s="21"/>
      <c r="PNF43" s="21"/>
      <c r="PNG43" s="21"/>
      <c r="PNH43" s="21"/>
      <c r="PNI43" s="21"/>
      <c r="PNJ43" s="21"/>
      <c r="PNK43" s="21"/>
      <c r="PNL43" s="21"/>
      <c r="PNM43" s="21"/>
      <c r="PNN43" s="21"/>
      <c r="PNO43" s="21"/>
      <c r="PNP43" s="21"/>
      <c r="PNQ43" s="21"/>
      <c r="PNR43" s="21"/>
      <c r="PNS43" s="21"/>
      <c r="PNT43" s="21"/>
      <c r="PNU43" s="21"/>
      <c r="PNV43" s="21"/>
      <c r="PNW43" s="21"/>
      <c r="PNX43" s="21"/>
      <c r="PNY43" s="21"/>
      <c r="PNZ43" s="21"/>
      <c r="POA43" s="21"/>
      <c r="POB43" s="21"/>
      <c r="POC43" s="21"/>
      <c r="POD43" s="21"/>
      <c r="POE43" s="21"/>
      <c r="POF43" s="21"/>
      <c r="POG43" s="21"/>
      <c r="POH43" s="21"/>
      <c r="POI43" s="21"/>
      <c r="POJ43" s="21"/>
      <c r="POK43" s="21"/>
      <c r="POL43" s="21"/>
      <c r="POM43" s="21"/>
      <c r="PON43" s="21"/>
      <c r="POO43" s="21"/>
      <c r="POP43" s="21"/>
      <c r="POQ43" s="21"/>
      <c r="POR43" s="21"/>
      <c r="POS43" s="21"/>
      <c r="POT43" s="21"/>
      <c r="POU43" s="21"/>
      <c r="POV43" s="21"/>
      <c r="POW43" s="21"/>
      <c r="POX43" s="21"/>
      <c r="POY43" s="21"/>
      <c r="POZ43" s="21"/>
      <c r="PPA43" s="21"/>
      <c r="PPB43" s="21"/>
      <c r="PPC43" s="21"/>
      <c r="PPD43" s="21"/>
      <c r="PPE43" s="21"/>
      <c r="PPF43" s="21"/>
      <c r="PPG43" s="21"/>
      <c r="PPH43" s="21"/>
      <c r="PPI43" s="21"/>
      <c r="PPJ43" s="21"/>
      <c r="PPK43" s="21"/>
      <c r="PPL43" s="21"/>
      <c r="PPM43" s="21"/>
      <c r="PPN43" s="21"/>
      <c r="PPO43" s="21"/>
      <c r="PPP43" s="21"/>
      <c r="PPQ43" s="21"/>
      <c r="PPR43" s="21"/>
      <c r="PPS43" s="21"/>
      <c r="PPT43" s="21"/>
      <c r="PPU43" s="21"/>
      <c r="PPV43" s="21"/>
      <c r="PPW43" s="21"/>
      <c r="PPX43" s="21"/>
      <c r="PPY43" s="21"/>
      <c r="PPZ43" s="21"/>
      <c r="PQA43" s="21"/>
      <c r="PQB43" s="21"/>
      <c r="PQC43" s="21"/>
      <c r="PQD43" s="21"/>
      <c r="PQE43" s="21"/>
      <c r="PQF43" s="21"/>
      <c r="PQG43" s="21"/>
      <c r="PQH43" s="21"/>
      <c r="PQI43" s="21"/>
      <c r="PQJ43" s="21"/>
      <c r="PQK43" s="21"/>
      <c r="PQL43" s="21"/>
      <c r="PQM43" s="21"/>
      <c r="PQN43" s="21"/>
      <c r="PQO43" s="21"/>
      <c r="PQP43" s="21"/>
      <c r="PQQ43" s="21"/>
      <c r="PQR43" s="21"/>
      <c r="PQS43" s="21"/>
      <c r="PQT43" s="21"/>
      <c r="PQU43" s="21"/>
      <c r="PQV43" s="21"/>
      <c r="PQW43" s="21"/>
      <c r="PQX43" s="21"/>
      <c r="PQY43" s="21"/>
      <c r="PQZ43" s="21"/>
      <c r="PRA43" s="21"/>
      <c r="PRB43" s="21"/>
      <c r="PRC43" s="21"/>
      <c r="PRD43" s="21"/>
      <c r="PRE43" s="21"/>
      <c r="PRF43" s="21"/>
      <c r="PRG43" s="21"/>
      <c r="PRH43" s="21"/>
      <c r="PRI43" s="21"/>
      <c r="PRJ43" s="21"/>
      <c r="PRK43" s="21"/>
      <c r="PRL43" s="21"/>
      <c r="PRM43" s="21"/>
      <c r="PRN43" s="21"/>
      <c r="PRO43" s="21"/>
      <c r="PRP43" s="21"/>
      <c r="PRQ43" s="21"/>
      <c r="PRR43" s="21"/>
      <c r="PRS43" s="21"/>
      <c r="PRT43" s="21"/>
      <c r="PRU43" s="21"/>
      <c r="PRV43" s="21"/>
      <c r="PRW43" s="21"/>
      <c r="PRX43" s="21"/>
      <c r="PRY43" s="21"/>
      <c r="PRZ43" s="21"/>
      <c r="PSA43" s="21"/>
      <c r="PSB43" s="21"/>
      <c r="PSC43" s="21"/>
      <c r="PSD43" s="21"/>
      <c r="PSE43" s="21"/>
      <c r="PSF43" s="21"/>
      <c r="PSG43" s="21"/>
      <c r="PSH43" s="21"/>
      <c r="PSI43" s="21"/>
      <c r="PSJ43" s="21"/>
      <c r="PSK43" s="21"/>
      <c r="PSL43" s="21"/>
      <c r="PSM43" s="21"/>
      <c r="PSN43" s="21"/>
      <c r="PSO43" s="21"/>
      <c r="PSP43" s="21"/>
      <c r="PSQ43" s="21"/>
      <c r="PSR43" s="21"/>
      <c r="PSS43" s="21"/>
      <c r="PST43" s="21"/>
      <c r="PSU43" s="21"/>
      <c r="PSV43" s="21"/>
      <c r="PSW43" s="21"/>
      <c r="PSX43" s="21"/>
      <c r="PSY43" s="21"/>
      <c r="PSZ43" s="21"/>
      <c r="PTA43" s="21"/>
      <c r="PTB43" s="21"/>
      <c r="PTC43" s="21"/>
      <c r="PTD43" s="21"/>
      <c r="PTE43" s="21"/>
      <c r="PTF43" s="21"/>
      <c r="PTG43" s="21"/>
      <c r="PTH43" s="21"/>
      <c r="PTI43" s="21"/>
      <c r="PTJ43" s="21"/>
      <c r="PTK43" s="21"/>
      <c r="PTL43" s="21"/>
      <c r="PTM43" s="21"/>
      <c r="PTN43" s="21"/>
      <c r="PTO43" s="21"/>
      <c r="PTP43" s="21"/>
      <c r="PTQ43" s="21"/>
      <c r="PTR43" s="21"/>
      <c r="PTS43" s="21"/>
      <c r="PTT43" s="21"/>
      <c r="PTU43" s="21"/>
      <c r="PTV43" s="21"/>
      <c r="PTW43" s="21"/>
      <c r="PTX43" s="21"/>
      <c r="PTY43" s="21"/>
      <c r="PTZ43" s="21"/>
      <c r="PUA43" s="21"/>
      <c r="PUB43" s="21"/>
      <c r="PUC43" s="21"/>
      <c r="PUD43" s="21"/>
      <c r="PUE43" s="21"/>
      <c r="PUF43" s="21"/>
      <c r="PUG43" s="21"/>
      <c r="PUH43" s="21"/>
      <c r="PUI43" s="21"/>
      <c r="PUJ43" s="21"/>
      <c r="PUK43" s="21"/>
      <c r="PUL43" s="21"/>
      <c r="PUM43" s="21"/>
      <c r="PUN43" s="21"/>
      <c r="PUO43" s="21"/>
      <c r="PUP43" s="21"/>
      <c r="PUQ43" s="21"/>
      <c r="PUR43" s="21"/>
      <c r="PUS43" s="21"/>
      <c r="PUT43" s="21"/>
      <c r="PUU43" s="21"/>
      <c r="PUV43" s="21"/>
      <c r="PUW43" s="21"/>
      <c r="PUX43" s="21"/>
      <c r="PUY43" s="21"/>
      <c r="PUZ43" s="21"/>
      <c r="PVA43" s="21"/>
      <c r="PVB43" s="21"/>
      <c r="PVC43" s="21"/>
      <c r="PVD43" s="21"/>
      <c r="PVE43" s="21"/>
      <c r="PVF43" s="21"/>
      <c r="PVG43" s="21"/>
      <c r="PVH43" s="21"/>
      <c r="PVI43" s="21"/>
      <c r="PVJ43" s="21"/>
      <c r="PVK43" s="21"/>
      <c r="PVL43" s="21"/>
      <c r="PVM43" s="21"/>
      <c r="PVN43" s="21"/>
      <c r="PVO43" s="21"/>
      <c r="PVP43" s="21"/>
      <c r="PVQ43" s="21"/>
      <c r="PVR43" s="21"/>
      <c r="PVS43" s="21"/>
      <c r="PVT43" s="21"/>
      <c r="PVU43" s="21"/>
      <c r="PVV43" s="21"/>
      <c r="PVW43" s="21"/>
      <c r="PVX43" s="21"/>
      <c r="PVY43" s="21"/>
      <c r="PVZ43" s="21"/>
      <c r="PWA43" s="21"/>
      <c r="PWB43" s="21"/>
      <c r="PWC43" s="21"/>
      <c r="PWD43" s="21"/>
      <c r="PWE43" s="21"/>
      <c r="PWF43" s="21"/>
      <c r="PWG43" s="21"/>
      <c r="PWH43" s="21"/>
      <c r="PWI43" s="21"/>
      <c r="PWJ43" s="21"/>
      <c r="PWK43" s="21"/>
      <c r="PWL43" s="21"/>
      <c r="PWM43" s="21"/>
      <c r="PWN43" s="21"/>
      <c r="PWO43" s="21"/>
      <c r="PWP43" s="21"/>
      <c r="PWQ43" s="21"/>
      <c r="PWR43" s="21"/>
      <c r="PWS43" s="21"/>
      <c r="PWT43" s="21"/>
      <c r="PWU43" s="21"/>
      <c r="PWV43" s="21"/>
      <c r="PWW43" s="21"/>
      <c r="PWX43" s="21"/>
      <c r="PWY43" s="21"/>
      <c r="PWZ43" s="21"/>
      <c r="PXA43" s="21"/>
      <c r="PXB43" s="21"/>
      <c r="PXC43" s="21"/>
      <c r="PXD43" s="21"/>
      <c r="PXE43" s="21"/>
      <c r="PXF43" s="21"/>
      <c r="PXG43" s="21"/>
      <c r="PXH43" s="21"/>
      <c r="PXI43" s="21"/>
      <c r="PXJ43" s="21"/>
      <c r="PXK43" s="21"/>
      <c r="PXL43" s="21"/>
      <c r="PXM43" s="21"/>
      <c r="PXN43" s="21"/>
      <c r="PXO43" s="21"/>
      <c r="PXP43" s="21"/>
      <c r="PXQ43" s="21"/>
      <c r="PXR43" s="21"/>
      <c r="PXS43" s="21"/>
      <c r="PXT43" s="21"/>
      <c r="PXU43" s="21"/>
      <c r="PXV43" s="21"/>
      <c r="PXW43" s="21"/>
      <c r="PXX43" s="21"/>
      <c r="PXY43" s="21"/>
      <c r="PXZ43" s="21"/>
      <c r="PYA43" s="21"/>
      <c r="PYB43" s="21"/>
      <c r="PYC43" s="21"/>
      <c r="PYD43" s="21"/>
      <c r="PYE43" s="21"/>
      <c r="PYF43" s="21"/>
      <c r="PYG43" s="21"/>
      <c r="PYH43" s="21"/>
      <c r="PYI43" s="21"/>
      <c r="PYJ43" s="21"/>
      <c r="PYK43" s="21"/>
      <c r="PYL43" s="21"/>
      <c r="PYM43" s="21"/>
      <c r="PYN43" s="21"/>
      <c r="PYO43" s="21"/>
      <c r="PYP43" s="21"/>
      <c r="PYQ43" s="21"/>
      <c r="PYR43" s="21"/>
      <c r="PYS43" s="21"/>
      <c r="PYT43" s="21"/>
      <c r="PYU43" s="21"/>
      <c r="PYV43" s="21"/>
      <c r="PYW43" s="21"/>
      <c r="PYX43" s="21"/>
      <c r="PYY43" s="21"/>
      <c r="PYZ43" s="21"/>
      <c r="PZA43" s="21"/>
      <c r="PZB43" s="21"/>
      <c r="PZC43" s="21"/>
      <c r="PZD43" s="21"/>
      <c r="PZE43" s="21"/>
      <c r="PZF43" s="21"/>
      <c r="PZG43" s="21"/>
      <c r="PZH43" s="21"/>
      <c r="PZI43" s="21"/>
      <c r="PZJ43" s="21"/>
      <c r="PZK43" s="21"/>
      <c r="PZL43" s="21"/>
      <c r="PZM43" s="21"/>
      <c r="PZN43" s="21"/>
      <c r="PZO43" s="21"/>
      <c r="PZP43" s="21"/>
      <c r="PZQ43" s="21"/>
      <c r="PZR43" s="21"/>
      <c r="PZS43" s="21"/>
      <c r="PZT43" s="21"/>
      <c r="PZU43" s="21"/>
      <c r="PZV43" s="21"/>
      <c r="PZW43" s="21"/>
      <c r="PZX43" s="21"/>
      <c r="PZY43" s="21"/>
      <c r="PZZ43" s="21"/>
      <c r="QAA43" s="21"/>
      <c r="QAB43" s="21"/>
      <c r="QAC43" s="21"/>
      <c r="QAD43" s="21"/>
      <c r="QAE43" s="21"/>
      <c r="QAF43" s="21"/>
      <c r="QAG43" s="21"/>
      <c r="QAH43" s="21"/>
      <c r="QAI43" s="21"/>
      <c r="QAJ43" s="21"/>
      <c r="QAK43" s="21"/>
      <c r="QAL43" s="21"/>
      <c r="QAM43" s="21"/>
      <c r="QAN43" s="21"/>
      <c r="QAO43" s="21"/>
      <c r="QAP43" s="21"/>
      <c r="QAQ43" s="21"/>
      <c r="QAR43" s="21"/>
      <c r="QAS43" s="21"/>
      <c r="QAT43" s="21"/>
      <c r="QAU43" s="21"/>
      <c r="QAV43" s="21"/>
      <c r="QAW43" s="21"/>
      <c r="QAX43" s="21"/>
      <c r="QAY43" s="21"/>
      <c r="QAZ43" s="21"/>
      <c r="QBA43" s="21"/>
      <c r="QBB43" s="21"/>
      <c r="QBC43" s="21"/>
      <c r="QBD43" s="21"/>
      <c r="QBE43" s="21"/>
      <c r="QBF43" s="21"/>
      <c r="QBG43" s="21"/>
      <c r="QBH43" s="21"/>
      <c r="QBI43" s="21"/>
      <c r="QBJ43" s="21"/>
      <c r="QBK43" s="21"/>
      <c r="QBL43" s="21"/>
      <c r="QBM43" s="21"/>
      <c r="QBN43" s="21"/>
      <c r="QBO43" s="21"/>
      <c r="QBP43" s="21"/>
      <c r="QBQ43" s="21"/>
      <c r="QBR43" s="21"/>
      <c r="QBS43" s="21"/>
      <c r="QBT43" s="21"/>
      <c r="QBU43" s="21"/>
      <c r="QBV43" s="21"/>
      <c r="QBW43" s="21"/>
      <c r="QBX43" s="21"/>
      <c r="QBY43" s="21"/>
      <c r="QBZ43" s="21"/>
      <c r="QCA43" s="21"/>
      <c r="QCB43" s="21"/>
      <c r="QCC43" s="21"/>
      <c r="QCD43" s="21"/>
      <c r="QCE43" s="21"/>
      <c r="QCF43" s="21"/>
      <c r="QCG43" s="21"/>
      <c r="QCH43" s="21"/>
      <c r="QCI43" s="21"/>
      <c r="QCJ43" s="21"/>
      <c r="QCK43" s="21"/>
      <c r="QCL43" s="21"/>
      <c r="QCM43" s="21"/>
      <c r="QCN43" s="21"/>
      <c r="QCO43" s="21"/>
      <c r="QCP43" s="21"/>
      <c r="QCQ43" s="21"/>
      <c r="QCR43" s="21"/>
      <c r="QCS43" s="21"/>
      <c r="QCT43" s="21"/>
      <c r="QCU43" s="21"/>
      <c r="QCV43" s="21"/>
      <c r="QCW43" s="21"/>
      <c r="QCX43" s="21"/>
      <c r="QCY43" s="21"/>
      <c r="QCZ43" s="21"/>
      <c r="QDA43" s="21"/>
      <c r="QDB43" s="21"/>
      <c r="QDC43" s="21"/>
      <c r="QDD43" s="21"/>
      <c r="QDE43" s="21"/>
      <c r="QDF43" s="21"/>
      <c r="QDG43" s="21"/>
      <c r="QDH43" s="21"/>
      <c r="QDI43" s="21"/>
      <c r="QDJ43" s="21"/>
      <c r="QDK43" s="21"/>
      <c r="QDL43" s="21"/>
      <c r="QDM43" s="21"/>
      <c r="QDN43" s="21"/>
      <c r="QDO43" s="21"/>
      <c r="QDP43" s="21"/>
      <c r="QDQ43" s="21"/>
      <c r="QDR43" s="21"/>
      <c r="QDS43" s="21"/>
      <c r="QDT43" s="21"/>
      <c r="QDU43" s="21"/>
      <c r="QDV43" s="21"/>
      <c r="QDW43" s="21"/>
      <c r="QDX43" s="21"/>
      <c r="QDY43" s="21"/>
      <c r="QDZ43" s="21"/>
      <c r="QEA43" s="21"/>
      <c r="QEB43" s="21"/>
      <c r="QEC43" s="21"/>
      <c r="QED43" s="21"/>
      <c r="QEE43" s="21"/>
      <c r="QEF43" s="21"/>
      <c r="QEG43" s="21"/>
      <c r="QEH43" s="21"/>
      <c r="QEI43" s="21"/>
      <c r="QEJ43" s="21"/>
      <c r="QEK43" s="21"/>
      <c r="QEL43" s="21"/>
      <c r="QEM43" s="21"/>
      <c r="QEN43" s="21"/>
      <c r="QEO43" s="21"/>
      <c r="QEP43" s="21"/>
      <c r="QEQ43" s="21"/>
      <c r="QER43" s="21"/>
      <c r="QES43" s="21"/>
      <c r="QET43" s="21"/>
      <c r="QEU43" s="21"/>
      <c r="QEV43" s="21"/>
      <c r="QEW43" s="21"/>
      <c r="QEX43" s="21"/>
      <c r="QEY43" s="21"/>
      <c r="QEZ43" s="21"/>
      <c r="QFA43" s="21"/>
      <c r="QFB43" s="21"/>
      <c r="QFC43" s="21"/>
      <c r="QFD43" s="21"/>
      <c r="QFE43" s="21"/>
      <c r="QFF43" s="21"/>
      <c r="QFG43" s="21"/>
      <c r="QFH43" s="21"/>
      <c r="QFI43" s="21"/>
      <c r="QFJ43" s="21"/>
      <c r="QFK43" s="21"/>
      <c r="QFL43" s="21"/>
      <c r="QFM43" s="21"/>
      <c r="QFN43" s="21"/>
      <c r="QFO43" s="21"/>
      <c r="QFP43" s="21"/>
      <c r="QFQ43" s="21"/>
      <c r="QFR43" s="21"/>
      <c r="QFS43" s="21"/>
      <c r="QFT43" s="21"/>
      <c r="QFU43" s="21"/>
      <c r="QFV43" s="21"/>
      <c r="QFW43" s="21"/>
      <c r="QFX43" s="21"/>
      <c r="QFY43" s="21"/>
      <c r="QFZ43" s="21"/>
      <c r="QGA43" s="21"/>
      <c r="QGB43" s="21"/>
      <c r="QGC43" s="21"/>
      <c r="QGD43" s="21"/>
      <c r="QGE43" s="21"/>
      <c r="QGF43" s="21"/>
      <c r="QGG43" s="21"/>
      <c r="QGH43" s="21"/>
      <c r="QGI43" s="21"/>
      <c r="QGJ43" s="21"/>
      <c r="QGK43" s="21"/>
      <c r="QGL43" s="21"/>
      <c r="QGM43" s="21"/>
      <c r="QGN43" s="21"/>
      <c r="QGO43" s="21"/>
      <c r="QGP43" s="21"/>
      <c r="QGQ43" s="21"/>
      <c r="QGR43" s="21"/>
      <c r="QGS43" s="21"/>
      <c r="QGT43" s="21"/>
      <c r="QGU43" s="21"/>
      <c r="QGV43" s="21"/>
      <c r="QGW43" s="21"/>
      <c r="QGX43" s="21"/>
      <c r="QGY43" s="21"/>
      <c r="QGZ43" s="21"/>
      <c r="QHA43" s="21"/>
      <c r="QHB43" s="21"/>
      <c r="QHC43" s="21"/>
      <c r="QHD43" s="21"/>
      <c r="QHE43" s="21"/>
      <c r="QHF43" s="21"/>
      <c r="QHG43" s="21"/>
      <c r="QHH43" s="21"/>
      <c r="QHI43" s="21"/>
      <c r="QHJ43" s="21"/>
      <c r="QHK43" s="21"/>
      <c r="QHL43" s="21"/>
      <c r="QHM43" s="21"/>
      <c r="QHN43" s="21"/>
      <c r="QHO43" s="21"/>
      <c r="QHP43" s="21"/>
      <c r="QHQ43" s="21"/>
      <c r="QHR43" s="21"/>
      <c r="QHS43" s="21"/>
      <c r="QHT43" s="21"/>
      <c r="QHU43" s="21"/>
      <c r="QHV43" s="21"/>
      <c r="QHW43" s="21"/>
      <c r="QHX43" s="21"/>
      <c r="QHY43" s="21"/>
      <c r="QHZ43" s="21"/>
      <c r="QIA43" s="21"/>
      <c r="QIB43" s="21"/>
      <c r="QIC43" s="21"/>
      <c r="QID43" s="21"/>
      <c r="QIE43" s="21"/>
      <c r="QIF43" s="21"/>
      <c r="QIG43" s="21"/>
      <c r="QIH43" s="21"/>
      <c r="QII43" s="21"/>
      <c r="QIJ43" s="21"/>
      <c r="QIK43" s="21"/>
      <c r="QIL43" s="21"/>
      <c r="QIM43" s="21"/>
      <c r="QIN43" s="21"/>
      <c r="QIO43" s="21"/>
      <c r="QIP43" s="21"/>
      <c r="QIQ43" s="21"/>
      <c r="QIR43" s="21"/>
      <c r="QIS43" s="21"/>
      <c r="QIT43" s="21"/>
      <c r="QIU43" s="21"/>
      <c r="QIV43" s="21"/>
      <c r="QIW43" s="21"/>
      <c r="QIX43" s="21"/>
      <c r="QIY43" s="21"/>
      <c r="QIZ43" s="21"/>
      <c r="QJA43" s="21"/>
      <c r="QJB43" s="21"/>
      <c r="QJC43" s="21"/>
      <c r="QJD43" s="21"/>
      <c r="QJE43" s="21"/>
      <c r="QJF43" s="21"/>
      <c r="QJG43" s="21"/>
      <c r="QJH43" s="21"/>
      <c r="QJI43" s="21"/>
      <c r="QJJ43" s="21"/>
      <c r="QJK43" s="21"/>
      <c r="QJL43" s="21"/>
      <c r="QJM43" s="21"/>
      <c r="QJN43" s="21"/>
      <c r="QJO43" s="21"/>
      <c r="QJP43" s="21"/>
      <c r="QJQ43" s="21"/>
      <c r="QJR43" s="21"/>
      <c r="QJS43" s="21"/>
      <c r="QJT43" s="21"/>
      <c r="QJU43" s="21"/>
      <c r="QJV43" s="21"/>
      <c r="QJW43" s="21"/>
      <c r="QJX43" s="21"/>
      <c r="QJY43" s="21"/>
      <c r="QJZ43" s="21"/>
      <c r="QKA43" s="21"/>
      <c r="QKB43" s="21"/>
      <c r="QKC43" s="21"/>
      <c r="QKD43" s="21"/>
      <c r="QKE43" s="21"/>
      <c r="QKF43" s="21"/>
      <c r="QKG43" s="21"/>
      <c r="QKH43" s="21"/>
      <c r="QKI43" s="21"/>
      <c r="QKJ43" s="21"/>
      <c r="QKK43" s="21"/>
      <c r="QKL43" s="21"/>
      <c r="QKM43" s="21"/>
      <c r="QKN43" s="21"/>
      <c r="QKO43" s="21"/>
      <c r="QKP43" s="21"/>
      <c r="QKQ43" s="21"/>
      <c r="QKR43" s="21"/>
      <c r="QKS43" s="21"/>
      <c r="QKT43" s="21"/>
      <c r="QKU43" s="21"/>
      <c r="QKV43" s="21"/>
      <c r="QKW43" s="21"/>
      <c r="QKX43" s="21"/>
      <c r="QKY43" s="21"/>
      <c r="QKZ43" s="21"/>
      <c r="QLA43" s="21"/>
      <c r="QLB43" s="21"/>
      <c r="QLC43" s="21"/>
      <c r="QLD43" s="21"/>
      <c r="QLE43" s="21"/>
      <c r="QLF43" s="21"/>
      <c r="QLG43" s="21"/>
      <c r="QLH43" s="21"/>
      <c r="QLI43" s="21"/>
      <c r="QLJ43" s="21"/>
      <c r="QLK43" s="21"/>
      <c r="QLL43" s="21"/>
      <c r="QLM43" s="21"/>
      <c r="QLN43" s="21"/>
      <c r="QLO43" s="21"/>
      <c r="QLP43" s="21"/>
      <c r="QLQ43" s="21"/>
      <c r="QLR43" s="21"/>
      <c r="QLS43" s="21"/>
      <c r="QLT43" s="21"/>
      <c r="QLU43" s="21"/>
      <c r="QLV43" s="21"/>
      <c r="QLW43" s="21"/>
      <c r="QLX43" s="21"/>
      <c r="QLY43" s="21"/>
      <c r="QLZ43" s="21"/>
      <c r="QMA43" s="21"/>
      <c r="QMB43" s="21"/>
      <c r="QMC43" s="21"/>
      <c r="QMD43" s="21"/>
      <c r="QME43" s="21"/>
      <c r="QMF43" s="21"/>
      <c r="QMG43" s="21"/>
      <c r="QMH43" s="21"/>
      <c r="QMI43" s="21"/>
      <c r="QMJ43" s="21"/>
      <c r="QMK43" s="21"/>
      <c r="QML43" s="21"/>
      <c r="QMM43" s="21"/>
      <c r="QMN43" s="21"/>
      <c r="QMO43" s="21"/>
      <c r="QMP43" s="21"/>
      <c r="QMQ43" s="21"/>
      <c r="QMR43" s="21"/>
      <c r="QMS43" s="21"/>
      <c r="QMT43" s="21"/>
      <c r="QMU43" s="21"/>
      <c r="QMV43" s="21"/>
      <c r="QMW43" s="21"/>
      <c r="QMX43" s="21"/>
      <c r="QMY43" s="21"/>
      <c r="QMZ43" s="21"/>
      <c r="QNA43" s="21"/>
      <c r="QNB43" s="21"/>
      <c r="QNC43" s="21"/>
      <c r="QND43" s="21"/>
      <c r="QNE43" s="21"/>
      <c r="QNF43" s="21"/>
      <c r="QNG43" s="21"/>
      <c r="QNH43" s="21"/>
      <c r="QNI43" s="21"/>
      <c r="QNJ43" s="21"/>
      <c r="QNK43" s="21"/>
      <c r="QNL43" s="21"/>
      <c r="QNM43" s="21"/>
      <c r="QNN43" s="21"/>
      <c r="QNO43" s="21"/>
      <c r="QNP43" s="21"/>
      <c r="QNQ43" s="21"/>
      <c r="QNR43" s="21"/>
      <c r="QNS43" s="21"/>
      <c r="QNT43" s="21"/>
      <c r="QNU43" s="21"/>
      <c r="QNV43" s="21"/>
      <c r="QNW43" s="21"/>
      <c r="QNX43" s="21"/>
      <c r="QNY43" s="21"/>
      <c r="QNZ43" s="21"/>
      <c r="QOA43" s="21"/>
      <c r="QOB43" s="21"/>
      <c r="QOC43" s="21"/>
      <c r="QOD43" s="21"/>
      <c r="QOE43" s="21"/>
      <c r="QOF43" s="21"/>
      <c r="QOG43" s="21"/>
      <c r="QOH43" s="21"/>
      <c r="QOI43" s="21"/>
      <c r="QOJ43" s="21"/>
      <c r="QOK43" s="21"/>
      <c r="QOL43" s="21"/>
      <c r="QOM43" s="21"/>
      <c r="QON43" s="21"/>
      <c r="QOO43" s="21"/>
      <c r="QOP43" s="21"/>
      <c r="QOQ43" s="21"/>
      <c r="QOR43" s="21"/>
      <c r="QOS43" s="21"/>
      <c r="QOT43" s="21"/>
      <c r="QOU43" s="21"/>
      <c r="QOV43" s="21"/>
      <c r="QOW43" s="21"/>
      <c r="QOX43" s="21"/>
      <c r="QOY43" s="21"/>
      <c r="QOZ43" s="21"/>
      <c r="QPA43" s="21"/>
      <c r="QPB43" s="21"/>
      <c r="QPC43" s="21"/>
      <c r="QPD43" s="21"/>
      <c r="QPE43" s="21"/>
      <c r="QPF43" s="21"/>
      <c r="QPG43" s="21"/>
      <c r="QPH43" s="21"/>
      <c r="QPI43" s="21"/>
      <c r="QPJ43" s="21"/>
      <c r="QPK43" s="21"/>
      <c r="QPL43" s="21"/>
      <c r="QPM43" s="21"/>
      <c r="QPN43" s="21"/>
      <c r="QPO43" s="21"/>
      <c r="QPP43" s="21"/>
      <c r="QPQ43" s="21"/>
      <c r="QPR43" s="21"/>
      <c r="QPS43" s="21"/>
      <c r="QPT43" s="21"/>
      <c r="QPU43" s="21"/>
      <c r="QPV43" s="21"/>
      <c r="QPW43" s="21"/>
      <c r="QPX43" s="21"/>
      <c r="QPY43" s="21"/>
      <c r="QPZ43" s="21"/>
      <c r="QQA43" s="21"/>
      <c r="QQB43" s="21"/>
      <c r="QQC43" s="21"/>
      <c r="QQD43" s="21"/>
      <c r="QQE43" s="21"/>
      <c r="QQF43" s="21"/>
      <c r="QQG43" s="21"/>
      <c r="QQH43" s="21"/>
      <c r="QQI43" s="21"/>
      <c r="QQJ43" s="21"/>
      <c r="QQK43" s="21"/>
      <c r="QQL43" s="21"/>
      <c r="QQM43" s="21"/>
      <c r="QQN43" s="21"/>
      <c r="QQO43" s="21"/>
      <c r="QQP43" s="21"/>
      <c r="QQQ43" s="21"/>
      <c r="QQR43" s="21"/>
      <c r="QQS43" s="21"/>
      <c r="QQT43" s="21"/>
      <c r="QQU43" s="21"/>
      <c r="QQV43" s="21"/>
      <c r="QQW43" s="21"/>
      <c r="QQX43" s="21"/>
      <c r="QQY43" s="21"/>
      <c r="QQZ43" s="21"/>
      <c r="QRA43" s="21"/>
      <c r="QRB43" s="21"/>
      <c r="QRC43" s="21"/>
      <c r="QRD43" s="21"/>
      <c r="QRE43" s="21"/>
      <c r="QRF43" s="21"/>
      <c r="QRG43" s="21"/>
      <c r="QRH43" s="21"/>
      <c r="QRI43" s="21"/>
      <c r="QRJ43" s="21"/>
      <c r="QRK43" s="21"/>
      <c r="QRL43" s="21"/>
      <c r="QRM43" s="21"/>
      <c r="QRN43" s="21"/>
      <c r="QRO43" s="21"/>
      <c r="QRP43" s="21"/>
      <c r="QRQ43" s="21"/>
      <c r="QRR43" s="21"/>
      <c r="QRS43" s="21"/>
      <c r="QRT43" s="21"/>
      <c r="QRU43" s="21"/>
      <c r="QRV43" s="21"/>
      <c r="QRW43" s="21"/>
      <c r="QRX43" s="21"/>
      <c r="QRY43" s="21"/>
      <c r="QRZ43" s="21"/>
      <c r="QSA43" s="21"/>
      <c r="QSB43" s="21"/>
      <c r="QSC43" s="21"/>
      <c r="QSD43" s="21"/>
      <c r="QSE43" s="21"/>
      <c r="QSF43" s="21"/>
      <c r="QSG43" s="21"/>
      <c r="QSH43" s="21"/>
      <c r="QSI43" s="21"/>
      <c r="QSJ43" s="21"/>
      <c r="QSK43" s="21"/>
      <c r="QSL43" s="21"/>
      <c r="QSM43" s="21"/>
      <c r="QSN43" s="21"/>
      <c r="QSO43" s="21"/>
      <c r="QSP43" s="21"/>
      <c r="QSQ43" s="21"/>
      <c r="QSR43" s="21"/>
      <c r="QSS43" s="21"/>
      <c r="QST43" s="21"/>
      <c r="QSU43" s="21"/>
      <c r="QSV43" s="21"/>
      <c r="QSW43" s="21"/>
      <c r="QSX43" s="21"/>
      <c r="QSY43" s="21"/>
      <c r="QSZ43" s="21"/>
      <c r="QTA43" s="21"/>
      <c r="QTB43" s="21"/>
      <c r="QTC43" s="21"/>
      <c r="QTD43" s="21"/>
      <c r="QTE43" s="21"/>
      <c r="QTF43" s="21"/>
      <c r="QTG43" s="21"/>
      <c r="QTH43" s="21"/>
      <c r="QTI43" s="21"/>
      <c r="QTJ43" s="21"/>
      <c r="QTK43" s="21"/>
      <c r="QTL43" s="21"/>
      <c r="QTM43" s="21"/>
      <c r="QTN43" s="21"/>
      <c r="QTO43" s="21"/>
      <c r="QTP43" s="21"/>
      <c r="QTQ43" s="21"/>
      <c r="QTR43" s="21"/>
      <c r="QTS43" s="21"/>
      <c r="QTT43" s="21"/>
      <c r="QTU43" s="21"/>
      <c r="QTV43" s="21"/>
      <c r="QTW43" s="21"/>
      <c r="QTX43" s="21"/>
      <c r="QTY43" s="21"/>
      <c r="QTZ43" s="21"/>
      <c r="QUA43" s="21"/>
      <c r="QUB43" s="21"/>
      <c r="QUC43" s="21"/>
      <c r="QUD43" s="21"/>
      <c r="QUE43" s="21"/>
      <c r="QUF43" s="21"/>
      <c r="QUG43" s="21"/>
      <c r="QUH43" s="21"/>
      <c r="QUI43" s="21"/>
      <c r="QUJ43" s="21"/>
      <c r="QUK43" s="21"/>
      <c r="QUL43" s="21"/>
      <c r="QUM43" s="21"/>
      <c r="QUN43" s="21"/>
      <c r="QUO43" s="21"/>
      <c r="QUP43" s="21"/>
      <c r="QUQ43" s="21"/>
      <c r="QUR43" s="21"/>
      <c r="QUS43" s="21"/>
      <c r="QUT43" s="21"/>
      <c r="QUU43" s="21"/>
      <c r="QUV43" s="21"/>
      <c r="QUW43" s="21"/>
      <c r="QUX43" s="21"/>
      <c r="QUY43" s="21"/>
      <c r="QUZ43" s="21"/>
      <c r="QVA43" s="21"/>
      <c r="QVB43" s="21"/>
      <c r="QVC43" s="21"/>
      <c r="QVD43" s="21"/>
      <c r="QVE43" s="21"/>
      <c r="QVF43" s="21"/>
      <c r="QVG43" s="21"/>
      <c r="QVH43" s="21"/>
      <c r="QVI43" s="21"/>
      <c r="QVJ43" s="21"/>
      <c r="QVK43" s="21"/>
      <c r="QVL43" s="21"/>
      <c r="QVM43" s="21"/>
      <c r="QVN43" s="21"/>
      <c r="QVO43" s="21"/>
      <c r="QVP43" s="21"/>
      <c r="QVQ43" s="21"/>
      <c r="QVR43" s="21"/>
      <c r="QVS43" s="21"/>
      <c r="QVT43" s="21"/>
      <c r="QVU43" s="21"/>
      <c r="QVV43" s="21"/>
      <c r="QVW43" s="21"/>
      <c r="QVX43" s="21"/>
      <c r="QVY43" s="21"/>
      <c r="QVZ43" s="21"/>
      <c r="QWA43" s="21"/>
      <c r="QWB43" s="21"/>
      <c r="QWC43" s="21"/>
      <c r="QWD43" s="21"/>
      <c r="QWE43" s="21"/>
      <c r="QWF43" s="21"/>
      <c r="QWG43" s="21"/>
      <c r="QWH43" s="21"/>
      <c r="QWI43" s="21"/>
      <c r="QWJ43" s="21"/>
      <c r="QWK43" s="21"/>
      <c r="QWL43" s="21"/>
      <c r="QWM43" s="21"/>
      <c r="QWN43" s="21"/>
      <c r="QWO43" s="21"/>
      <c r="QWP43" s="21"/>
      <c r="QWQ43" s="21"/>
      <c r="QWR43" s="21"/>
      <c r="QWS43" s="21"/>
      <c r="QWT43" s="21"/>
      <c r="QWU43" s="21"/>
      <c r="QWV43" s="21"/>
      <c r="QWW43" s="21"/>
      <c r="QWX43" s="21"/>
      <c r="QWY43" s="21"/>
      <c r="QWZ43" s="21"/>
      <c r="QXA43" s="21"/>
      <c r="QXB43" s="21"/>
      <c r="QXC43" s="21"/>
      <c r="QXD43" s="21"/>
      <c r="QXE43" s="21"/>
      <c r="QXF43" s="21"/>
      <c r="QXG43" s="21"/>
      <c r="QXH43" s="21"/>
      <c r="QXI43" s="21"/>
      <c r="QXJ43" s="21"/>
      <c r="QXK43" s="21"/>
      <c r="QXL43" s="21"/>
      <c r="QXM43" s="21"/>
      <c r="QXN43" s="21"/>
      <c r="QXO43" s="21"/>
      <c r="QXP43" s="21"/>
      <c r="QXQ43" s="21"/>
      <c r="QXR43" s="21"/>
      <c r="QXS43" s="21"/>
      <c r="QXT43" s="21"/>
      <c r="QXU43" s="21"/>
      <c r="QXV43" s="21"/>
      <c r="QXW43" s="21"/>
      <c r="QXX43" s="21"/>
      <c r="QXY43" s="21"/>
      <c r="QXZ43" s="21"/>
      <c r="QYA43" s="21"/>
      <c r="QYB43" s="21"/>
      <c r="QYC43" s="21"/>
      <c r="QYD43" s="21"/>
      <c r="QYE43" s="21"/>
      <c r="QYF43" s="21"/>
      <c r="QYG43" s="21"/>
      <c r="QYH43" s="21"/>
      <c r="QYI43" s="21"/>
      <c r="QYJ43" s="21"/>
      <c r="QYK43" s="21"/>
      <c r="QYL43" s="21"/>
      <c r="QYM43" s="21"/>
      <c r="QYN43" s="21"/>
      <c r="QYO43" s="21"/>
      <c r="QYP43" s="21"/>
      <c r="QYQ43" s="21"/>
      <c r="QYR43" s="21"/>
      <c r="QYS43" s="21"/>
      <c r="QYT43" s="21"/>
      <c r="QYU43" s="21"/>
      <c r="QYV43" s="21"/>
      <c r="QYW43" s="21"/>
      <c r="QYX43" s="21"/>
      <c r="QYY43" s="21"/>
      <c r="QYZ43" s="21"/>
      <c r="QZA43" s="21"/>
      <c r="QZB43" s="21"/>
      <c r="QZC43" s="21"/>
      <c r="QZD43" s="21"/>
      <c r="QZE43" s="21"/>
      <c r="QZF43" s="21"/>
      <c r="QZG43" s="21"/>
      <c r="QZH43" s="21"/>
      <c r="QZI43" s="21"/>
      <c r="QZJ43" s="21"/>
      <c r="QZK43" s="21"/>
      <c r="QZL43" s="21"/>
      <c r="QZM43" s="21"/>
      <c r="QZN43" s="21"/>
      <c r="QZO43" s="21"/>
      <c r="QZP43" s="21"/>
      <c r="QZQ43" s="21"/>
      <c r="QZR43" s="21"/>
      <c r="QZS43" s="21"/>
      <c r="QZT43" s="21"/>
      <c r="QZU43" s="21"/>
      <c r="QZV43" s="21"/>
      <c r="QZW43" s="21"/>
      <c r="QZX43" s="21"/>
      <c r="QZY43" s="21"/>
      <c r="QZZ43" s="21"/>
      <c r="RAA43" s="21"/>
      <c r="RAB43" s="21"/>
      <c r="RAC43" s="21"/>
      <c r="RAD43" s="21"/>
      <c r="RAE43" s="21"/>
      <c r="RAF43" s="21"/>
      <c r="RAG43" s="21"/>
      <c r="RAH43" s="21"/>
      <c r="RAI43" s="21"/>
      <c r="RAJ43" s="21"/>
      <c r="RAK43" s="21"/>
      <c r="RAL43" s="21"/>
      <c r="RAM43" s="21"/>
      <c r="RAN43" s="21"/>
      <c r="RAO43" s="21"/>
      <c r="RAP43" s="21"/>
      <c r="RAQ43" s="21"/>
      <c r="RAR43" s="21"/>
      <c r="RAS43" s="21"/>
      <c r="RAT43" s="21"/>
      <c r="RAU43" s="21"/>
      <c r="RAV43" s="21"/>
      <c r="RAW43" s="21"/>
      <c r="RAX43" s="21"/>
      <c r="RAY43" s="21"/>
      <c r="RAZ43" s="21"/>
      <c r="RBA43" s="21"/>
      <c r="RBB43" s="21"/>
      <c r="RBC43" s="21"/>
      <c r="RBD43" s="21"/>
      <c r="RBE43" s="21"/>
      <c r="RBF43" s="21"/>
      <c r="RBG43" s="21"/>
      <c r="RBH43" s="21"/>
      <c r="RBI43" s="21"/>
      <c r="RBJ43" s="21"/>
      <c r="RBK43" s="21"/>
      <c r="RBL43" s="21"/>
      <c r="RBM43" s="21"/>
      <c r="RBN43" s="21"/>
      <c r="RBO43" s="21"/>
      <c r="RBP43" s="21"/>
      <c r="RBQ43" s="21"/>
      <c r="RBR43" s="21"/>
      <c r="RBS43" s="21"/>
      <c r="RBT43" s="21"/>
      <c r="RBU43" s="21"/>
      <c r="RBV43" s="21"/>
      <c r="RBW43" s="21"/>
      <c r="RBX43" s="21"/>
      <c r="RBY43" s="21"/>
      <c r="RBZ43" s="21"/>
      <c r="RCA43" s="21"/>
      <c r="RCB43" s="21"/>
      <c r="RCC43" s="21"/>
      <c r="RCD43" s="21"/>
      <c r="RCE43" s="21"/>
      <c r="RCF43" s="21"/>
      <c r="RCG43" s="21"/>
      <c r="RCH43" s="21"/>
      <c r="RCI43" s="21"/>
      <c r="RCJ43" s="21"/>
      <c r="RCK43" s="21"/>
      <c r="RCL43" s="21"/>
      <c r="RCM43" s="21"/>
      <c r="RCN43" s="21"/>
      <c r="RCO43" s="21"/>
      <c r="RCP43" s="21"/>
      <c r="RCQ43" s="21"/>
      <c r="RCR43" s="21"/>
      <c r="RCS43" s="21"/>
      <c r="RCT43" s="21"/>
      <c r="RCU43" s="21"/>
      <c r="RCV43" s="21"/>
      <c r="RCW43" s="21"/>
      <c r="RCX43" s="21"/>
      <c r="RCY43" s="21"/>
      <c r="RCZ43" s="21"/>
      <c r="RDA43" s="21"/>
      <c r="RDB43" s="21"/>
      <c r="RDC43" s="21"/>
      <c r="RDD43" s="21"/>
      <c r="RDE43" s="21"/>
      <c r="RDF43" s="21"/>
      <c r="RDG43" s="21"/>
      <c r="RDH43" s="21"/>
      <c r="RDI43" s="21"/>
      <c r="RDJ43" s="21"/>
      <c r="RDK43" s="21"/>
      <c r="RDL43" s="21"/>
      <c r="RDM43" s="21"/>
      <c r="RDN43" s="21"/>
      <c r="RDO43" s="21"/>
      <c r="RDP43" s="21"/>
      <c r="RDQ43" s="21"/>
      <c r="RDR43" s="21"/>
      <c r="RDS43" s="21"/>
      <c r="RDT43" s="21"/>
      <c r="RDU43" s="21"/>
      <c r="RDV43" s="21"/>
      <c r="RDW43" s="21"/>
      <c r="RDX43" s="21"/>
      <c r="RDY43" s="21"/>
      <c r="RDZ43" s="21"/>
      <c r="REA43" s="21"/>
      <c r="REB43" s="21"/>
      <c r="REC43" s="21"/>
      <c r="RED43" s="21"/>
      <c r="REE43" s="21"/>
      <c r="REF43" s="21"/>
      <c r="REG43" s="21"/>
      <c r="REH43" s="21"/>
      <c r="REI43" s="21"/>
      <c r="REJ43" s="21"/>
      <c r="REK43" s="21"/>
      <c r="REL43" s="21"/>
      <c r="REM43" s="21"/>
      <c r="REN43" s="21"/>
      <c r="REO43" s="21"/>
      <c r="REP43" s="21"/>
      <c r="REQ43" s="21"/>
      <c r="RER43" s="21"/>
      <c r="RES43" s="21"/>
      <c r="RET43" s="21"/>
      <c r="REU43" s="21"/>
      <c r="REV43" s="21"/>
      <c r="REW43" s="21"/>
      <c r="REX43" s="21"/>
      <c r="REY43" s="21"/>
      <c r="REZ43" s="21"/>
      <c r="RFA43" s="21"/>
      <c r="RFB43" s="21"/>
      <c r="RFC43" s="21"/>
      <c r="RFD43" s="21"/>
      <c r="RFE43" s="21"/>
      <c r="RFF43" s="21"/>
      <c r="RFG43" s="21"/>
      <c r="RFH43" s="21"/>
      <c r="RFI43" s="21"/>
      <c r="RFJ43" s="21"/>
      <c r="RFK43" s="21"/>
      <c r="RFL43" s="21"/>
      <c r="RFM43" s="21"/>
      <c r="RFN43" s="21"/>
      <c r="RFO43" s="21"/>
      <c r="RFP43" s="21"/>
      <c r="RFQ43" s="21"/>
      <c r="RFR43" s="21"/>
      <c r="RFS43" s="21"/>
      <c r="RFT43" s="21"/>
      <c r="RFU43" s="21"/>
      <c r="RFV43" s="21"/>
      <c r="RFW43" s="21"/>
      <c r="RFX43" s="21"/>
      <c r="RFY43" s="21"/>
      <c r="RFZ43" s="21"/>
      <c r="RGA43" s="21"/>
      <c r="RGB43" s="21"/>
      <c r="RGC43" s="21"/>
      <c r="RGD43" s="21"/>
      <c r="RGE43" s="21"/>
      <c r="RGF43" s="21"/>
      <c r="RGG43" s="21"/>
      <c r="RGH43" s="21"/>
      <c r="RGI43" s="21"/>
      <c r="RGJ43" s="21"/>
      <c r="RGK43" s="21"/>
      <c r="RGL43" s="21"/>
      <c r="RGM43" s="21"/>
      <c r="RGN43" s="21"/>
      <c r="RGO43" s="21"/>
      <c r="RGP43" s="21"/>
      <c r="RGQ43" s="21"/>
      <c r="RGR43" s="21"/>
      <c r="RGS43" s="21"/>
      <c r="RGT43" s="21"/>
      <c r="RGU43" s="21"/>
      <c r="RGV43" s="21"/>
      <c r="RGW43" s="21"/>
      <c r="RGX43" s="21"/>
      <c r="RGY43" s="21"/>
      <c r="RGZ43" s="21"/>
      <c r="RHA43" s="21"/>
      <c r="RHB43" s="21"/>
      <c r="RHC43" s="21"/>
      <c r="RHD43" s="21"/>
      <c r="RHE43" s="21"/>
      <c r="RHF43" s="21"/>
      <c r="RHG43" s="21"/>
      <c r="RHH43" s="21"/>
      <c r="RHI43" s="21"/>
      <c r="RHJ43" s="21"/>
      <c r="RHK43" s="21"/>
      <c r="RHL43" s="21"/>
      <c r="RHM43" s="21"/>
      <c r="RHN43" s="21"/>
      <c r="RHO43" s="21"/>
      <c r="RHP43" s="21"/>
      <c r="RHQ43" s="21"/>
      <c r="RHR43" s="21"/>
      <c r="RHS43" s="21"/>
      <c r="RHT43" s="21"/>
      <c r="RHU43" s="21"/>
      <c r="RHV43" s="21"/>
      <c r="RHW43" s="21"/>
      <c r="RHX43" s="21"/>
      <c r="RHY43" s="21"/>
      <c r="RHZ43" s="21"/>
      <c r="RIA43" s="21"/>
      <c r="RIB43" s="21"/>
      <c r="RIC43" s="21"/>
      <c r="RID43" s="21"/>
      <c r="RIE43" s="21"/>
      <c r="RIF43" s="21"/>
      <c r="RIG43" s="21"/>
      <c r="RIH43" s="21"/>
      <c r="RII43" s="21"/>
      <c r="RIJ43" s="21"/>
      <c r="RIK43" s="21"/>
      <c r="RIL43" s="21"/>
      <c r="RIM43" s="21"/>
      <c r="RIN43" s="21"/>
      <c r="RIO43" s="21"/>
      <c r="RIP43" s="21"/>
      <c r="RIQ43" s="21"/>
      <c r="RIR43" s="21"/>
      <c r="RIS43" s="21"/>
      <c r="RIT43" s="21"/>
      <c r="RIU43" s="21"/>
      <c r="RIV43" s="21"/>
      <c r="RIW43" s="21"/>
      <c r="RIX43" s="21"/>
      <c r="RIY43" s="21"/>
      <c r="RIZ43" s="21"/>
      <c r="RJA43" s="21"/>
      <c r="RJB43" s="21"/>
      <c r="RJC43" s="21"/>
      <c r="RJD43" s="21"/>
      <c r="RJE43" s="21"/>
      <c r="RJF43" s="21"/>
      <c r="RJG43" s="21"/>
      <c r="RJH43" s="21"/>
      <c r="RJI43" s="21"/>
      <c r="RJJ43" s="21"/>
      <c r="RJK43" s="21"/>
      <c r="RJL43" s="21"/>
      <c r="RJM43" s="21"/>
      <c r="RJN43" s="21"/>
      <c r="RJO43" s="21"/>
      <c r="RJP43" s="21"/>
      <c r="RJQ43" s="21"/>
      <c r="RJR43" s="21"/>
      <c r="RJS43" s="21"/>
      <c r="RJT43" s="21"/>
      <c r="RJU43" s="21"/>
      <c r="RJV43" s="21"/>
      <c r="RJW43" s="21"/>
      <c r="RJX43" s="21"/>
      <c r="RJY43" s="21"/>
      <c r="RJZ43" s="21"/>
      <c r="RKA43" s="21"/>
      <c r="RKB43" s="21"/>
      <c r="RKC43" s="21"/>
      <c r="RKD43" s="21"/>
      <c r="RKE43" s="21"/>
      <c r="RKF43" s="21"/>
      <c r="RKG43" s="21"/>
      <c r="RKH43" s="21"/>
      <c r="RKI43" s="21"/>
      <c r="RKJ43" s="21"/>
      <c r="RKK43" s="21"/>
      <c r="RKL43" s="21"/>
      <c r="RKM43" s="21"/>
      <c r="RKN43" s="21"/>
      <c r="RKO43" s="21"/>
      <c r="RKP43" s="21"/>
      <c r="RKQ43" s="21"/>
      <c r="RKR43" s="21"/>
      <c r="RKS43" s="21"/>
      <c r="RKT43" s="21"/>
      <c r="RKU43" s="21"/>
      <c r="RKV43" s="21"/>
      <c r="RKW43" s="21"/>
      <c r="RKX43" s="21"/>
      <c r="RKY43" s="21"/>
      <c r="RKZ43" s="21"/>
      <c r="RLA43" s="21"/>
      <c r="RLB43" s="21"/>
      <c r="RLC43" s="21"/>
      <c r="RLD43" s="21"/>
      <c r="RLE43" s="21"/>
      <c r="RLF43" s="21"/>
      <c r="RLG43" s="21"/>
      <c r="RLH43" s="21"/>
      <c r="RLI43" s="21"/>
      <c r="RLJ43" s="21"/>
      <c r="RLK43" s="21"/>
      <c r="RLL43" s="21"/>
      <c r="RLM43" s="21"/>
      <c r="RLN43" s="21"/>
      <c r="RLO43" s="21"/>
      <c r="RLP43" s="21"/>
      <c r="RLQ43" s="21"/>
      <c r="RLR43" s="21"/>
      <c r="RLS43" s="21"/>
      <c r="RLT43" s="21"/>
      <c r="RLU43" s="21"/>
      <c r="RLV43" s="21"/>
      <c r="RLW43" s="21"/>
      <c r="RLX43" s="21"/>
      <c r="RLY43" s="21"/>
      <c r="RLZ43" s="21"/>
      <c r="RMA43" s="21"/>
      <c r="RMB43" s="21"/>
      <c r="RMC43" s="21"/>
      <c r="RMD43" s="21"/>
      <c r="RME43" s="21"/>
      <c r="RMF43" s="21"/>
      <c r="RMG43" s="21"/>
      <c r="RMH43" s="21"/>
      <c r="RMI43" s="21"/>
      <c r="RMJ43" s="21"/>
      <c r="RMK43" s="21"/>
      <c r="RML43" s="21"/>
      <c r="RMM43" s="21"/>
      <c r="RMN43" s="21"/>
      <c r="RMO43" s="21"/>
      <c r="RMP43" s="21"/>
      <c r="RMQ43" s="21"/>
      <c r="RMR43" s="21"/>
      <c r="RMS43" s="21"/>
      <c r="RMT43" s="21"/>
      <c r="RMU43" s="21"/>
      <c r="RMV43" s="21"/>
      <c r="RMW43" s="21"/>
      <c r="RMX43" s="21"/>
      <c r="RMY43" s="21"/>
      <c r="RMZ43" s="21"/>
      <c r="RNA43" s="21"/>
      <c r="RNB43" s="21"/>
      <c r="RNC43" s="21"/>
      <c r="RND43" s="21"/>
      <c r="RNE43" s="21"/>
      <c r="RNF43" s="21"/>
      <c r="RNG43" s="21"/>
      <c r="RNH43" s="21"/>
      <c r="RNI43" s="21"/>
      <c r="RNJ43" s="21"/>
      <c r="RNK43" s="21"/>
      <c r="RNL43" s="21"/>
      <c r="RNM43" s="21"/>
      <c r="RNN43" s="21"/>
      <c r="RNO43" s="21"/>
      <c r="RNP43" s="21"/>
      <c r="RNQ43" s="21"/>
      <c r="RNR43" s="21"/>
      <c r="RNS43" s="21"/>
      <c r="RNT43" s="21"/>
      <c r="RNU43" s="21"/>
      <c r="RNV43" s="21"/>
      <c r="RNW43" s="21"/>
      <c r="RNX43" s="21"/>
      <c r="RNY43" s="21"/>
      <c r="RNZ43" s="21"/>
      <c r="ROA43" s="21"/>
      <c r="ROB43" s="21"/>
      <c r="ROC43" s="21"/>
      <c r="ROD43" s="21"/>
      <c r="ROE43" s="21"/>
      <c r="ROF43" s="21"/>
      <c r="ROG43" s="21"/>
      <c r="ROH43" s="21"/>
      <c r="ROI43" s="21"/>
      <c r="ROJ43" s="21"/>
      <c r="ROK43" s="21"/>
      <c r="ROL43" s="21"/>
      <c r="ROM43" s="21"/>
      <c r="RON43" s="21"/>
      <c r="ROO43" s="21"/>
      <c r="ROP43" s="21"/>
      <c r="ROQ43" s="21"/>
      <c r="ROR43" s="21"/>
      <c r="ROS43" s="21"/>
      <c r="ROT43" s="21"/>
      <c r="ROU43" s="21"/>
      <c r="ROV43" s="21"/>
      <c r="ROW43" s="21"/>
      <c r="ROX43" s="21"/>
      <c r="ROY43" s="21"/>
      <c r="ROZ43" s="21"/>
      <c r="RPA43" s="21"/>
      <c r="RPB43" s="21"/>
      <c r="RPC43" s="21"/>
      <c r="RPD43" s="21"/>
      <c r="RPE43" s="21"/>
      <c r="RPF43" s="21"/>
      <c r="RPG43" s="21"/>
      <c r="RPH43" s="21"/>
      <c r="RPI43" s="21"/>
      <c r="RPJ43" s="21"/>
      <c r="RPK43" s="21"/>
      <c r="RPL43" s="21"/>
      <c r="RPM43" s="21"/>
      <c r="RPN43" s="21"/>
      <c r="RPO43" s="21"/>
      <c r="RPP43" s="21"/>
      <c r="RPQ43" s="21"/>
      <c r="RPR43" s="21"/>
      <c r="RPS43" s="21"/>
      <c r="RPT43" s="21"/>
      <c r="RPU43" s="21"/>
      <c r="RPV43" s="21"/>
      <c r="RPW43" s="21"/>
      <c r="RPX43" s="21"/>
      <c r="RPY43" s="21"/>
      <c r="RPZ43" s="21"/>
      <c r="RQA43" s="21"/>
      <c r="RQB43" s="21"/>
      <c r="RQC43" s="21"/>
      <c r="RQD43" s="21"/>
      <c r="RQE43" s="21"/>
      <c r="RQF43" s="21"/>
      <c r="RQG43" s="21"/>
      <c r="RQH43" s="21"/>
      <c r="RQI43" s="21"/>
      <c r="RQJ43" s="21"/>
      <c r="RQK43" s="21"/>
      <c r="RQL43" s="21"/>
      <c r="RQM43" s="21"/>
      <c r="RQN43" s="21"/>
      <c r="RQO43" s="21"/>
      <c r="RQP43" s="21"/>
      <c r="RQQ43" s="21"/>
      <c r="RQR43" s="21"/>
      <c r="RQS43" s="21"/>
      <c r="RQT43" s="21"/>
      <c r="RQU43" s="21"/>
      <c r="RQV43" s="21"/>
      <c r="RQW43" s="21"/>
      <c r="RQX43" s="21"/>
      <c r="RQY43" s="21"/>
      <c r="RQZ43" s="21"/>
      <c r="RRA43" s="21"/>
      <c r="RRB43" s="21"/>
      <c r="RRC43" s="21"/>
      <c r="RRD43" s="21"/>
      <c r="RRE43" s="21"/>
      <c r="RRF43" s="21"/>
      <c r="RRG43" s="21"/>
      <c r="RRH43" s="21"/>
      <c r="RRI43" s="21"/>
      <c r="RRJ43" s="21"/>
      <c r="RRK43" s="21"/>
      <c r="RRL43" s="21"/>
      <c r="RRM43" s="21"/>
      <c r="RRN43" s="21"/>
      <c r="RRO43" s="21"/>
      <c r="RRP43" s="21"/>
      <c r="RRQ43" s="21"/>
      <c r="RRR43" s="21"/>
      <c r="RRS43" s="21"/>
      <c r="RRT43" s="21"/>
      <c r="RRU43" s="21"/>
      <c r="RRV43" s="21"/>
      <c r="RRW43" s="21"/>
      <c r="RRX43" s="21"/>
      <c r="RRY43" s="21"/>
      <c r="RRZ43" s="21"/>
      <c r="RSA43" s="21"/>
      <c r="RSB43" s="21"/>
      <c r="RSC43" s="21"/>
      <c r="RSD43" s="21"/>
      <c r="RSE43" s="21"/>
      <c r="RSF43" s="21"/>
      <c r="RSG43" s="21"/>
      <c r="RSH43" s="21"/>
      <c r="RSI43" s="21"/>
      <c r="RSJ43" s="21"/>
      <c r="RSK43" s="21"/>
      <c r="RSL43" s="21"/>
      <c r="RSM43" s="21"/>
      <c r="RSN43" s="21"/>
      <c r="RSO43" s="21"/>
      <c r="RSP43" s="21"/>
      <c r="RSQ43" s="21"/>
      <c r="RSR43" s="21"/>
      <c r="RSS43" s="21"/>
      <c r="RST43" s="21"/>
      <c r="RSU43" s="21"/>
      <c r="RSV43" s="21"/>
      <c r="RSW43" s="21"/>
      <c r="RSX43" s="21"/>
      <c r="RSY43" s="21"/>
      <c r="RSZ43" s="21"/>
      <c r="RTA43" s="21"/>
      <c r="RTB43" s="21"/>
      <c r="RTC43" s="21"/>
      <c r="RTD43" s="21"/>
      <c r="RTE43" s="21"/>
      <c r="RTF43" s="21"/>
      <c r="RTG43" s="21"/>
      <c r="RTH43" s="21"/>
      <c r="RTI43" s="21"/>
      <c r="RTJ43" s="21"/>
      <c r="RTK43" s="21"/>
      <c r="RTL43" s="21"/>
      <c r="RTM43" s="21"/>
      <c r="RTN43" s="21"/>
      <c r="RTO43" s="21"/>
      <c r="RTP43" s="21"/>
      <c r="RTQ43" s="21"/>
      <c r="RTR43" s="21"/>
      <c r="RTS43" s="21"/>
      <c r="RTT43" s="21"/>
      <c r="RTU43" s="21"/>
      <c r="RTV43" s="21"/>
      <c r="RTW43" s="21"/>
      <c r="RTX43" s="21"/>
      <c r="RTY43" s="21"/>
      <c r="RTZ43" s="21"/>
      <c r="RUA43" s="21"/>
      <c r="RUB43" s="21"/>
      <c r="RUC43" s="21"/>
      <c r="RUD43" s="21"/>
      <c r="RUE43" s="21"/>
      <c r="RUF43" s="21"/>
      <c r="RUG43" s="21"/>
      <c r="RUH43" s="21"/>
      <c r="RUI43" s="21"/>
      <c r="RUJ43" s="21"/>
      <c r="RUK43" s="21"/>
      <c r="RUL43" s="21"/>
      <c r="RUM43" s="21"/>
      <c r="RUN43" s="21"/>
      <c r="RUO43" s="21"/>
      <c r="RUP43" s="21"/>
      <c r="RUQ43" s="21"/>
      <c r="RUR43" s="21"/>
      <c r="RUS43" s="21"/>
      <c r="RUT43" s="21"/>
      <c r="RUU43" s="21"/>
      <c r="RUV43" s="21"/>
      <c r="RUW43" s="21"/>
      <c r="RUX43" s="21"/>
      <c r="RUY43" s="21"/>
      <c r="RUZ43" s="21"/>
      <c r="RVA43" s="21"/>
      <c r="RVB43" s="21"/>
      <c r="RVC43" s="21"/>
      <c r="RVD43" s="21"/>
      <c r="RVE43" s="21"/>
      <c r="RVF43" s="21"/>
      <c r="RVG43" s="21"/>
      <c r="RVH43" s="21"/>
      <c r="RVI43" s="21"/>
      <c r="RVJ43" s="21"/>
      <c r="RVK43" s="21"/>
      <c r="RVL43" s="21"/>
      <c r="RVM43" s="21"/>
      <c r="RVN43" s="21"/>
      <c r="RVO43" s="21"/>
      <c r="RVP43" s="21"/>
      <c r="RVQ43" s="21"/>
      <c r="RVR43" s="21"/>
      <c r="RVS43" s="21"/>
      <c r="RVT43" s="21"/>
      <c r="RVU43" s="21"/>
      <c r="RVV43" s="21"/>
      <c r="RVW43" s="21"/>
      <c r="RVX43" s="21"/>
      <c r="RVY43" s="21"/>
      <c r="RVZ43" s="21"/>
      <c r="RWA43" s="21"/>
      <c r="RWB43" s="21"/>
      <c r="RWC43" s="21"/>
      <c r="RWD43" s="21"/>
      <c r="RWE43" s="21"/>
      <c r="RWF43" s="21"/>
      <c r="RWG43" s="21"/>
      <c r="RWH43" s="21"/>
      <c r="RWI43" s="21"/>
      <c r="RWJ43" s="21"/>
      <c r="RWK43" s="21"/>
      <c r="RWL43" s="21"/>
      <c r="RWM43" s="21"/>
      <c r="RWN43" s="21"/>
      <c r="RWO43" s="21"/>
      <c r="RWP43" s="21"/>
      <c r="RWQ43" s="21"/>
      <c r="RWR43" s="21"/>
      <c r="RWS43" s="21"/>
      <c r="RWT43" s="21"/>
      <c r="RWU43" s="21"/>
      <c r="RWV43" s="21"/>
      <c r="RWW43" s="21"/>
      <c r="RWX43" s="21"/>
      <c r="RWY43" s="21"/>
      <c r="RWZ43" s="21"/>
      <c r="RXA43" s="21"/>
      <c r="RXB43" s="21"/>
      <c r="RXC43" s="21"/>
      <c r="RXD43" s="21"/>
      <c r="RXE43" s="21"/>
      <c r="RXF43" s="21"/>
      <c r="RXG43" s="21"/>
      <c r="RXH43" s="21"/>
      <c r="RXI43" s="21"/>
      <c r="RXJ43" s="21"/>
      <c r="RXK43" s="21"/>
      <c r="RXL43" s="21"/>
      <c r="RXM43" s="21"/>
      <c r="RXN43" s="21"/>
      <c r="RXO43" s="21"/>
      <c r="RXP43" s="21"/>
      <c r="RXQ43" s="21"/>
      <c r="RXR43" s="21"/>
      <c r="RXS43" s="21"/>
      <c r="RXT43" s="21"/>
      <c r="RXU43" s="21"/>
      <c r="RXV43" s="21"/>
      <c r="RXW43" s="21"/>
      <c r="RXX43" s="21"/>
      <c r="RXY43" s="21"/>
      <c r="RXZ43" s="21"/>
      <c r="RYA43" s="21"/>
      <c r="RYB43" s="21"/>
      <c r="RYC43" s="21"/>
      <c r="RYD43" s="21"/>
      <c r="RYE43" s="21"/>
      <c r="RYF43" s="21"/>
      <c r="RYG43" s="21"/>
      <c r="RYH43" s="21"/>
      <c r="RYI43" s="21"/>
      <c r="RYJ43" s="21"/>
      <c r="RYK43" s="21"/>
      <c r="RYL43" s="21"/>
      <c r="RYM43" s="21"/>
      <c r="RYN43" s="21"/>
      <c r="RYO43" s="21"/>
      <c r="RYP43" s="21"/>
      <c r="RYQ43" s="21"/>
      <c r="RYR43" s="21"/>
      <c r="RYS43" s="21"/>
      <c r="RYT43" s="21"/>
      <c r="RYU43" s="21"/>
      <c r="RYV43" s="21"/>
      <c r="RYW43" s="21"/>
      <c r="RYX43" s="21"/>
      <c r="RYY43" s="21"/>
      <c r="RYZ43" s="21"/>
      <c r="RZA43" s="21"/>
      <c r="RZB43" s="21"/>
      <c r="RZC43" s="21"/>
      <c r="RZD43" s="21"/>
      <c r="RZE43" s="21"/>
      <c r="RZF43" s="21"/>
      <c r="RZG43" s="21"/>
      <c r="RZH43" s="21"/>
      <c r="RZI43" s="21"/>
      <c r="RZJ43" s="21"/>
      <c r="RZK43" s="21"/>
      <c r="RZL43" s="21"/>
      <c r="RZM43" s="21"/>
      <c r="RZN43" s="21"/>
      <c r="RZO43" s="21"/>
      <c r="RZP43" s="21"/>
      <c r="RZQ43" s="21"/>
      <c r="RZR43" s="21"/>
      <c r="RZS43" s="21"/>
      <c r="RZT43" s="21"/>
      <c r="RZU43" s="21"/>
      <c r="RZV43" s="21"/>
      <c r="RZW43" s="21"/>
      <c r="RZX43" s="21"/>
      <c r="RZY43" s="21"/>
      <c r="RZZ43" s="21"/>
      <c r="SAA43" s="21"/>
      <c r="SAB43" s="21"/>
      <c r="SAC43" s="21"/>
      <c r="SAD43" s="21"/>
      <c r="SAE43" s="21"/>
      <c r="SAF43" s="21"/>
      <c r="SAG43" s="21"/>
      <c r="SAH43" s="21"/>
      <c r="SAI43" s="21"/>
      <c r="SAJ43" s="21"/>
      <c r="SAK43" s="21"/>
      <c r="SAL43" s="21"/>
      <c r="SAM43" s="21"/>
      <c r="SAN43" s="21"/>
      <c r="SAO43" s="21"/>
      <c r="SAP43" s="21"/>
      <c r="SAQ43" s="21"/>
      <c r="SAR43" s="21"/>
      <c r="SAS43" s="21"/>
      <c r="SAT43" s="21"/>
      <c r="SAU43" s="21"/>
      <c r="SAV43" s="21"/>
      <c r="SAW43" s="21"/>
      <c r="SAX43" s="21"/>
      <c r="SAY43" s="21"/>
      <c r="SAZ43" s="21"/>
      <c r="SBA43" s="21"/>
      <c r="SBB43" s="21"/>
      <c r="SBC43" s="21"/>
      <c r="SBD43" s="21"/>
      <c r="SBE43" s="21"/>
      <c r="SBF43" s="21"/>
      <c r="SBG43" s="21"/>
      <c r="SBH43" s="21"/>
      <c r="SBI43" s="21"/>
      <c r="SBJ43" s="21"/>
      <c r="SBK43" s="21"/>
      <c r="SBL43" s="21"/>
      <c r="SBM43" s="21"/>
      <c r="SBN43" s="21"/>
      <c r="SBO43" s="21"/>
      <c r="SBP43" s="21"/>
      <c r="SBQ43" s="21"/>
      <c r="SBR43" s="21"/>
      <c r="SBS43" s="21"/>
      <c r="SBT43" s="21"/>
      <c r="SBU43" s="21"/>
      <c r="SBV43" s="21"/>
      <c r="SBW43" s="21"/>
      <c r="SBX43" s="21"/>
      <c r="SBY43" s="21"/>
      <c r="SBZ43" s="21"/>
      <c r="SCA43" s="21"/>
      <c r="SCB43" s="21"/>
      <c r="SCC43" s="21"/>
      <c r="SCD43" s="21"/>
      <c r="SCE43" s="21"/>
      <c r="SCF43" s="21"/>
      <c r="SCG43" s="21"/>
      <c r="SCH43" s="21"/>
      <c r="SCI43" s="21"/>
      <c r="SCJ43" s="21"/>
      <c r="SCK43" s="21"/>
      <c r="SCL43" s="21"/>
      <c r="SCM43" s="21"/>
      <c r="SCN43" s="21"/>
      <c r="SCO43" s="21"/>
      <c r="SCP43" s="21"/>
      <c r="SCQ43" s="21"/>
      <c r="SCR43" s="21"/>
      <c r="SCS43" s="21"/>
      <c r="SCT43" s="21"/>
      <c r="SCU43" s="21"/>
      <c r="SCV43" s="21"/>
      <c r="SCW43" s="21"/>
      <c r="SCX43" s="21"/>
      <c r="SCY43" s="21"/>
      <c r="SCZ43" s="21"/>
      <c r="SDA43" s="21"/>
      <c r="SDB43" s="21"/>
      <c r="SDC43" s="21"/>
      <c r="SDD43" s="21"/>
      <c r="SDE43" s="21"/>
      <c r="SDF43" s="21"/>
      <c r="SDG43" s="21"/>
      <c r="SDH43" s="21"/>
      <c r="SDI43" s="21"/>
      <c r="SDJ43" s="21"/>
      <c r="SDK43" s="21"/>
      <c r="SDL43" s="21"/>
      <c r="SDM43" s="21"/>
      <c r="SDN43" s="21"/>
      <c r="SDO43" s="21"/>
      <c r="SDP43" s="21"/>
      <c r="SDQ43" s="21"/>
      <c r="SDR43" s="21"/>
      <c r="SDS43" s="21"/>
      <c r="SDT43" s="21"/>
      <c r="SDU43" s="21"/>
      <c r="SDV43" s="21"/>
      <c r="SDW43" s="21"/>
      <c r="SDX43" s="21"/>
      <c r="SDY43" s="21"/>
      <c r="SDZ43" s="21"/>
      <c r="SEA43" s="21"/>
      <c r="SEB43" s="21"/>
      <c r="SEC43" s="21"/>
      <c r="SED43" s="21"/>
      <c r="SEE43" s="21"/>
      <c r="SEF43" s="21"/>
      <c r="SEG43" s="21"/>
      <c r="SEH43" s="21"/>
      <c r="SEI43" s="21"/>
      <c r="SEJ43" s="21"/>
      <c r="SEK43" s="21"/>
      <c r="SEL43" s="21"/>
      <c r="SEM43" s="21"/>
      <c r="SEN43" s="21"/>
      <c r="SEO43" s="21"/>
      <c r="SEP43" s="21"/>
      <c r="SEQ43" s="21"/>
      <c r="SER43" s="21"/>
      <c r="SES43" s="21"/>
      <c r="SET43" s="21"/>
      <c r="SEU43" s="21"/>
      <c r="SEV43" s="21"/>
      <c r="SEW43" s="21"/>
      <c r="SEX43" s="21"/>
      <c r="SEY43" s="21"/>
      <c r="SEZ43" s="21"/>
      <c r="SFA43" s="21"/>
      <c r="SFB43" s="21"/>
      <c r="SFC43" s="21"/>
      <c r="SFD43" s="21"/>
      <c r="SFE43" s="21"/>
      <c r="SFF43" s="21"/>
      <c r="SFG43" s="21"/>
      <c r="SFH43" s="21"/>
      <c r="SFI43" s="21"/>
      <c r="SFJ43" s="21"/>
      <c r="SFK43" s="21"/>
      <c r="SFL43" s="21"/>
      <c r="SFM43" s="21"/>
      <c r="SFN43" s="21"/>
      <c r="SFO43" s="21"/>
      <c r="SFP43" s="21"/>
      <c r="SFQ43" s="21"/>
      <c r="SFR43" s="21"/>
      <c r="SFS43" s="21"/>
      <c r="SFT43" s="21"/>
      <c r="SFU43" s="21"/>
      <c r="SFV43" s="21"/>
      <c r="SFW43" s="21"/>
      <c r="SFX43" s="21"/>
      <c r="SFY43" s="21"/>
      <c r="SFZ43" s="21"/>
      <c r="SGA43" s="21"/>
      <c r="SGB43" s="21"/>
      <c r="SGC43" s="21"/>
      <c r="SGD43" s="21"/>
      <c r="SGE43" s="21"/>
      <c r="SGF43" s="21"/>
      <c r="SGG43" s="21"/>
      <c r="SGH43" s="21"/>
      <c r="SGI43" s="21"/>
      <c r="SGJ43" s="21"/>
      <c r="SGK43" s="21"/>
      <c r="SGL43" s="21"/>
      <c r="SGM43" s="21"/>
      <c r="SGN43" s="21"/>
      <c r="SGO43" s="21"/>
      <c r="SGP43" s="21"/>
      <c r="SGQ43" s="21"/>
      <c r="SGR43" s="21"/>
      <c r="SGS43" s="21"/>
      <c r="SGT43" s="21"/>
      <c r="SGU43" s="21"/>
      <c r="SGV43" s="21"/>
      <c r="SGW43" s="21"/>
      <c r="SGX43" s="21"/>
      <c r="SGY43" s="21"/>
      <c r="SGZ43" s="21"/>
      <c r="SHA43" s="21"/>
      <c r="SHB43" s="21"/>
      <c r="SHC43" s="21"/>
      <c r="SHD43" s="21"/>
      <c r="SHE43" s="21"/>
      <c r="SHF43" s="21"/>
      <c r="SHG43" s="21"/>
      <c r="SHH43" s="21"/>
      <c r="SHI43" s="21"/>
      <c r="SHJ43" s="21"/>
      <c r="SHK43" s="21"/>
      <c r="SHL43" s="21"/>
      <c r="SHM43" s="21"/>
      <c r="SHN43" s="21"/>
      <c r="SHO43" s="21"/>
      <c r="SHP43" s="21"/>
      <c r="SHQ43" s="21"/>
      <c r="SHR43" s="21"/>
      <c r="SHS43" s="21"/>
      <c r="SHT43" s="21"/>
      <c r="SHU43" s="21"/>
      <c r="SHV43" s="21"/>
      <c r="SHW43" s="21"/>
      <c r="SHX43" s="21"/>
      <c r="SHY43" s="21"/>
      <c r="SHZ43" s="21"/>
      <c r="SIA43" s="21"/>
      <c r="SIB43" s="21"/>
      <c r="SIC43" s="21"/>
      <c r="SID43" s="21"/>
      <c r="SIE43" s="21"/>
      <c r="SIF43" s="21"/>
      <c r="SIG43" s="21"/>
      <c r="SIH43" s="21"/>
      <c r="SII43" s="21"/>
      <c r="SIJ43" s="21"/>
      <c r="SIK43" s="21"/>
      <c r="SIL43" s="21"/>
      <c r="SIM43" s="21"/>
      <c r="SIN43" s="21"/>
      <c r="SIO43" s="21"/>
      <c r="SIP43" s="21"/>
      <c r="SIQ43" s="21"/>
      <c r="SIR43" s="21"/>
      <c r="SIS43" s="21"/>
      <c r="SIT43" s="21"/>
      <c r="SIU43" s="21"/>
      <c r="SIV43" s="21"/>
      <c r="SIW43" s="21"/>
      <c r="SIX43" s="21"/>
      <c r="SIY43" s="21"/>
      <c r="SIZ43" s="21"/>
      <c r="SJA43" s="21"/>
      <c r="SJB43" s="21"/>
      <c r="SJC43" s="21"/>
      <c r="SJD43" s="21"/>
      <c r="SJE43" s="21"/>
      <c r="SJF43" s="21"/>
      <c r="SJG43" s="21"/>
      <c r="SJH43" s="21"/>
      <c r="SJI43" s="21"/>
      <c r="SJJ43" s="21"/>
      <c r="SJK43" s="21"/>
      <c r="SJL43" s="21"/>
      <c r="SJM43" s="21"/>
      <c r="SJN43" s="21"/>
      <c r="SJO43" s="21"/>
      <c r="SJP43" s="21"/>
      <c r="SJQ43" s="21"/>
      <c r="SJR43" s="21"/>
      <c r="SJS43" s="21"/>
      <c r="SJT43" s="21"/>
      <c r="SJU43" s="21"/>
      <c r="SJV43" s="21"/>
      <c r="SJW43" s="21"/>
      <c r="SJX43" s="21"/>
      <c r="SJY43" s="21"/>
      <c r="SJZ43" s="21"/>
      <c r="SKA43" s="21"/>
      <c r="SKB43" s="21"/>
      <c r="SKC43" s="21"/>
      <c r="SKD43" s="21"/>
      <c r="SKE43" s="21"/>
      <c r="SKF43" s="21"/>
      <c r="SKG43" s="21"/>
      <c r="SKH43" s="21"/>
      <c r="SKI43" s="21"/>
      <c r="SKJ43" s="21"/>
      <c r="SKK43" s="21"/>
      <c r="SKL43" s="21"/>
      <c r="SKM43" s="21"/>
      <c r="SKN43" s="21"/>
      <c r="SKO43" s="21"/>
      <c r="SKP43" s="21"/>
      <c r="SKQ43" s="21"/>
      <c r="SKR43" s="21"/>
      <c r="SKS43" s="21"/>
      <c r="SKT43" s="21"/>
      <c r="SKU43" s="21"/>
      <c r="SKV43" s="21"/>
      <c r="SKW43" s="21"/>
      <c r="SKX43" s="21"/>
      <c r="SKY43" s="21"/>
      <c r="SKZ43" s="21"/>
      <c r="SLA43" s="21"/>
      <c r="SLB43" s="21"/>
      <c r="SLC43" s="21"/>
      <c r="SLD43" s="21"/>
      <c r="SLE43" s="21"/>
      <c r="SLF43" s="21"/>
      <c r="SLG43" s="21"/>
      <c r="SLH43" s="21"/>
      <c r="SLI43" s="21"/>
      <c r="SLJ43" s="21"/>
      <c r="SLK43" s="21"/>
      <c r="SLL43" s="21"/>
      <c r="SLM43" s="21"/>
      <c r="SLN43" s="21"/>
      <c r="SLO43" s="21"/>
      <c r="SLP43" s="21"/>
      <c r="SLQ43" s="21"/>
      <c r="SLR43" s="21"/>
      <c r="SLS43" s="21"/>
      <c r="SLT43" s="21"/>
      <c r="SLU43" s="21"/>
      <c r="SLV43" s="21"/>
      <c r="SLW43" s="21"/>
      <c r="SLX43" s="21"/>
      <c r="SLY43" s="21"/>
      <c r="SLZ43" s="21"/>
      <c r="SMA43" s="21"/>
      <c r="SMB43" s="21"/>
      <c r="SMC43" s="21"/>
      <c r="SMD43" s="21"/>
      <c r="SME43" s="21"/>
      <c r="SMF43" s="21"/>
      <c r="SMG43" s="21"/>
      <c r="SMH43" s="21"/>
      <c r="SMI43" s="21"/>
      <c r="SMJ43" s="21"/>
      <c r="SMK43" s="21"/>
      <c r="SML43" s="21"/>
      <c r="SMM43" s="21"/>
      <c r="SMN43" s="21"/>
      <c r="SMO43" s="21"/>
      <c r="SMP43" s="21"/>
      <c r="SMQ43" s="21"/>
      <c r="SMR43" s="21"/>
      <c r="SMS43" s="21"/>
      <c r="SMT43" s="21"/>
      <c r="SMU43" s="21"/>
      <c r="SMV43" s="21"/>
      <c r="SMW43" s="21"/>
      <c r="SMX43" s="21"/>
      <c r="SMY43" s="21"/>
      <c r="SMZ43" s="21"/>
      <c r="SNA43" s="21"/>
      <c r="SNB43" s="21"/>
      <c r="SNC43" s="21"/>
      <c r="SND43" s="21"/>
      <c r="SNE43" s="21"/>
      <c r="SNF43" s="21"/>
      <c r="SNG43" s="21"/>
      <c r="SNH43" s="21"/>
      <c r="SNI43" s="21"/>
      <c r="SNJ43" s="21"/>
      <c r="SNK43" s="21"/>
      <c r="SNL43" s="21"/>
      <c r="SNM43" s="21"/>
      <c r="SNN43" s="21"/>
      <c r="SNO43" s="21"/>
      <c r="SNP43" s="21"/>
      <c r="SNQ43" s="21"/>
      <c r="SNR43" s="21"/>
      <c r="SNS43" s="21"/>
      <c r="SNT43" s="21"/>
      <c r="SNU43" s="21"/>
      <c r="SNV43" s="21"/>
      <c r="SNW43" s="21"/>
      <c r="SNX43" s="21"/>
      <c r="SNY43" s="21"/>
      <c r="SNZ43" s="21"/>
      <c r="SOA43" s="21"/>
      <c r="SOB43" s="21"/>
      <c r="SOC43" s="21"/>
      <c r="SOD43" s="21"/>
      <c r="SOE43" s="21"/>
      <c r="SOF43" s="21"/>
      <c r="SOG43" s="21"/>
      <c r="SOH43" s="21"/>
      <c r="SOI43" s="21"/>
      <c r="SOJ43" s="21"/>
      <c r="SOK43" s="21"/>
      <c r="SOL43" s="21"/>
      <c r="SOM43" s="21"/>
      <c r="SON43" s="21"/>
      <c r="SOO43" s="21"/>
      <c r="SOP43" s="21"/>
      <c r="SOQ43" s="21"/>
      <c r="SOR43" s="21"/>
      <c r="SOS43" s="21"/>
      <c r="SOT43" s="21"/>
      <c r="SOU43" s="21"/>
      <c r="SOV43" s="21"/>
      <c r="SOW43" s="21"/>
      <c r="SOX43" s="21"/>
      <c r="SOY43" s="21"/>
      <c r="SOZ43" s="21"/>
      <c r="SPA43" s="21"/>
      <c r="SPB43" s="21"/>
      <c r="SPC43" s="21"/>
      <c r="SPD43" s="21"/>
      <c r="SPE43" s="21"/>
      <c r="SPF43" s="21"/>
      <c r="SPG43" s="21"/>
      <c r="SPH43" s="21"/>
      <c r="SPI43" s="21"/>
      <c r="SPJ43" s="21"/>
      <c r="SPK43" s="21"/>
      <c r="SPL43" s="21"/>
      <c r="SPM43" s="21"/>
      <c r="SPN43" s="21"/>
      <c r="SPO43" s="21"/>
      <c r="SPP43" s="21"/>
      <c r="SPQ43" s="21"/>
      <c r="SPR43" s="21"/>
      <c r="SPS43" s="21"/>
      <c r="SPT43" s="21"/>
      <c r="SPU43" s="21"/>
      <c r="SPV43" s="21"/>
      <c r="SPW43" s="21"/>
      <c r="SPX43" s="21"/>
      <c r="SPY43" s="21"/>
      <c r="SPZ43" s="21"/>
      <c r="SQA43" s="21"/>
      <c r="SQB43" s="21"/>
      <c r="SQC43" s="21"/>
      <c r="SQD43" s="21"/>
      <c r="SQE43" s="21"/>
      <c r="SQF43" s="21"/>
      <c r="SQG43" s="21"/>
      <c r="SQH43" s="21"/>
      <c r="SQI43" s="21"/>
      <c r="SQJ43" s="21"/>
      <c r="SQK43" s="21"/>
      <c r="SQL43" s="21"/>
      <c r="SQM43" s="21"/>
      <c r="SQN43" s="21"/>
      <c r="SQO43" s="21"/>
      <c r="SQP43" s="21"/>
      <c r="SQQ43" s="21"/>
      <c r="SQR43" s="21"/>
      <c r="SQS43" s="21"/>
      <c r="SQT43" s="21"/>
      <c r="SQU43" s="21"/>
      <c r="SQV43" s="21"/>
      <c r="SQW43" s="21"/>
      <c r="SQX43" s="21"/>
      <c r="SQY43" s="21"/>
      <c r="SQZ43" s="21"/>
      <c r="SRA43" s="21"/>
      <c r="SRB43" s="21"/>
      <c r="SRC43" s="21"/>
      <c r="SRD43" s="21"/>
      <c r="SRE43" s="21"/>
      <c r="SRF43" s="21"/>
      <c r="SRG43" s="21"/>
      <c r="SRH43" s="21"/>
      <c r="SRI43" s="21"/>
      <c r="SRJ43" s="21"/>
      <c r="SRK43" s="21"/>
      <c r="SRL43" s="21"/>
      <c r="SRM43" s="21"/>
      <c r="SRN43" s="21"/>
      <c r="SRO43" s="21"/>
      <c r="SRP43" s="21"/>
      <c r="SRQ43" s="21"/>
      <c r="SRR43" s="21"/>
      <c r="SRS43" s="21"/>
      <c r="SRT43" s="21"/>
      <c r="SRU43" s="21"/>
      <c r="SRV43" s="21"/>
      <c r="SRW43" s="21"/>
      <c r="SRX43" s="21"/>
      <c r="SRY43" s="21"/>
      <c r="SRZ43" s="21"/>
      <c r="SSA43" s="21"/>
      <c r="SSB43" s="21"/>
      <c r="SSC43" s="21"/>
      <c r="SSD43" s="21"/>
      <c r="SSE43" s="21"/>
      <c r="SSF43" s="21"/>
      <c r="SSG43" s="21"/>
      <c r="SSH43" s="21"/>
      <c r="SSI43" s="21"/>
      <c r="SSJ43" s="21"/>
      <c r="SSK43" s="21"/>
      <c r="SSL43" s="21"/>
      <c r="SSM43" s="21"/>
      <c r="SSN43" s="21"/>
      <c r="SSO43" s="21"/>
      <c r="SSP43" s="21"/>
      <c r="SSQ43" s="21"/>
      <c r="SSR43" s="21"/>
      <c r="SSS43" s="21"/>
      <c r="SST43" s="21"/>
      <c r="SSU43" s="21"/>
      <c r="SSV43" s="21"/>
      <c r="SSW43" s="21"/>
      <c r="SSX43" s="21"/>
      <c r="SSY43" s="21"/>
      <c r="SSZ43" s="21"/>
      <c r="STA43" s="21"/>
      <c r="STB43" s="21"/>
      <c r="STC43" s="21"/>
      <c r="STD43" s="21"/>
      <c r="STE43" s="21"/>
      <c r="STF43" s="21"/>
      <c r="STG43" s="21"/>
      <c r="STH43" s="21"/>
      <c r="STI43" s="21"/>
      <c r="STJ43" s="21"/>
      <c r="STK43" s="21"/>
      <c r="STL43" s="21"/>
      <c r="STM43" s="21"/>
      <c r="STN43" s="21"/>
      <c r="STO43" s="21"/>
      <c r="STP43" s="21"/>
      <c r="STQ43" s="21"/>
      <c r="STR43" s="21"/>
      <c r="STS43" s="21"/>
      <c r="STT43" s="21"/>
      <c r="STU43" s="21"/>
      <c r="STV43" s="21"/>
      <c r="STW43" s="21"/>
      <c r="STX43" s="21"/>
      <c r="STY43" s="21"/>
      <c r="STZ43" s="21"/>
      <c r="SUA43" s="21"/>
      <c r="SUB43" s="21"/>
      <c r="SUC43" s="21"/>
      <c r="SUD43" s="21"/>
      <c r="SUE43" s="21"/>
      <c r="SUF43" s="21"/>
      <c r="SUG43" s="21"/>
      <c r="SUH43" s="21"/>
      <c r="SUI43" s="21"/>
      <c r="SUJ43" s="21"/>
      <c r="SUK43" s="21"/>
      <c r="SUL43" s="21"/>
      <c r="SUM43" s="21"/>
      <c r="SUN43" s="21"/>
      <c r="SUO43" s="21"/>
      <c r="SUP43" s="21"/>
      <c r="SUQ43" s="21"/>
      <c r="SUR43" s="21"/>
      <c r="SUS43" s="21"/>
      <c r="SUT43" s="21"/>
      <c r="SUU43" s="21"/>
      <c r="SUV43" s="21"/>
      <c r="SUW43" s="21"/>
      <c r="SUX43" s="21"/>
      <c r="SUY43" s="21"/>
      <c r="SUZ43" s="21"/>
      <c r="SVA43" s="21"/>
      <c r="SVB43" s="21"/>
      <c r="SVC43" s="21"/>
      <c r="SVD43" s="21"/>
      <c r="SVE43" s="21"/>
      <c r="SVF43" s="21"/>
      <c r="SVG43" s="21"/>
      <c r="SVH43" s="21"/>
      <c r="SVI43" s="21"/>
      <c r="SVJ43" s="21"/>
      <c r="SVK43" s="21"/>
      <c r="SVL43" s="21"/>
      <c r="SVM43" s="21"/>
      <c r="SVN43" s="21"/>
      <c r="SVO43" s="21"/>
      <c r="SVP43" s="21"/>
      <c r="SVQ43" s="21"/>
      <c r="SVR43" s="21"/>
      <c r="SVS43" s="21"/>
      <c r="SVT43" s="21"/>
      <c r="SVU43" s="21"/>
      <c r="SVV43" s="21"/>
      <c r="SVW43" s="21"/>
      <c r="SVX43" s="21"/>
      <c r="SVY43" s="21"/>
      <c r="SVZ43" s="21"/>
      <c r="SWA43" s="21"/>
      <c r="SWB43" s="21"/>
      <c r="SWC43" s="21"/>
      <c r="SWD43" s="21"/>
      <c r="SWE43" s="21"/>
      <c r="SWF43" s="21"/>
      <c r="SWG43" s="21"/>
      <c r="SWH43" s="21"/>
      <c r="SWI43" s="21"/>
      <c r="SWJ43" s="21"/>
      <c r="SWK43" s="21"/>
      <c r="SWL43" s="21"/>
      <c r="SWM43" s="21"/>
      <c r="SWN43" s="21"/>
      <c r="SWO43" s="21"/>
      <c r="SWP43" s="21"/>
      <c r="SWQ43" s="21"/>
      <c r="SWR43" s="21"/>
      <c r="SWS43" s="21"/>
      <c r="SWT43" s="21"/>
      <c r="SWU43" s="21"/>
      <c r="SWV43" s="21"/>
      <c r="SWW43" s="21"/>
      <c r="SWX43" s="21"/>
      <c r="SWY43" s="21"/>
      <c r="SWZ43" s="21"/>
      <c r="SXA43" s="21"/>
      <c r="SXB43" s="21"/>
      <c r="SXC43" s="21"/>
      <c r="SXD43" s="21"/>
      <c r="SXE43" s="21"/>
      <c r="SXF43" s="21"/>
      <c r="SXG43" s="21"/>
      <c r="SXH43" s="21"/>
      <c r="SXI43" s="21"/>
      <c r="SXJ43" s="21"/>
      <c r="SXK43" s="21"/>
      <c r="SXL43" s="21"/>
      <c r="SXM43" s="21"/>
      <c r="SXN43" s="21"/>
      <c r="SXO43" s="21"/>
      <c r="SXP43" s="21"/>
      <c r="SXQ43" s="21"/>
      <c r="SXR43" s="21"/>
      <c r="SXS43" s="21"/>
      <c r="SXT43" s="21"/>
      <c r="SXU43" s="21"/>
      <c r="SXV43" s="21"/>
      <c r="SXW43" s="21"/>
      <c r="SXX43" s="21"/>
      <c r="SXY43" s="21"/>
      <c r="SXZ43" s="21"/>
      <c r="SYA43" s="21"/>
      <c r="SYB43" s="21"/>
      <c r="SYC43" s="21"/>
      <c r="SYD43" s="21"/>
      <c r="SYE43" s="21"/>
      <c r="SYF43" s="21"/>
      <c r="SYG43" s="21"/>
      <c r="SYH43" s="21"/>
      <c r="SYI43" s="21"/>
      <c r="SYJ43" s="21"/>
      <c r="SYK43" s="21"/>
      <c r="SYL43" s="21"/>
      <c r="SYM43" s="21"/>
      <c r="SYN43" s="21"/>
      <c r="SYO43" s="21"/>
      <c r="SYP43" s="21"/>
      <c r="SYQ43" s="21"/>
      <c r="SYR43" s="21"/>
      <c r="SYS43" s="21"/>
      <c r="SYT43" s="21"/>
      <c r="SYU43" s="21"/>
      <c r="SYV43" s="21"/>
      <c r="SYW43" s="21"/>
      <c r="SYX43" s="21"/>
      <c r="SYY43" s="21"/>
      <c r="SYZ43" s="21"/>
      <c r="SZA43" s="21"/>
      <c r="SZB43" s="21"/>
      <c r="SZC43" s="21"/>
      <c r="SZD43" s="21"/>
      <c r="SZE43" s="21"/>
      <c r="SZF43" s="21"/>
      <c r="SZG43" s="21"/>
      <c r="SZH43" s="21"/>
      <c r="SZI43" s="21"/>
      <c r="SZJ43" s="21"/>
      <c r="SZK43" s="21"/>
      <c r="SZL43" s="21"/>
      <c r="SZM43" s="21"/>
      <c r="SZN43" s="21"/>
      <c r="SZO43" s="21"/>
      <c r="SZP43" s="21"/>
      <c r="SZQ43" s="21"/>
      <c r="SZR43" s="21"/>
      <c r="SZS43" s="21"/>
      <c r="SZT43" s="21"/>
      <c r="SZU43" s="21"/>
      <c r="SZV43" s="21"/>
      <c r="SZW43" s="21"/>
      <c r="SZX43" s="21"/>
      <c r="SZY43" s="21"/>
      <c r="SZZ43" s="21"/>
      <c r="TAA43" s="21"/>
      <c r="TAB43" s="21"/>
      <c r="TAC43" s="21"/>
      <c r="TAD43" s="21"/>
      <c r="TAE43" s="21"/>
      <c r="TAF43" s="21"/>
      <c r="TAG43" s="21"/>
      <c r="TAH43" s="21"/>
      <c r="TAI43" s="21"/>
      <c r="TAJ43" s="21"/>
      <c r="TAK43" s="21"/>
      <c r="TAL43" s="21"/>
      <c r="TAM43" s="21"/>
      <c r="TAN43" s="21"/>
      <c r="TAO43" s="21"/>
      <c r="TAP43" s="21"/>
      <c r="TAQ43" s="21"/>
      <c r="TAR43" s="21"/>
      <c r="TAS43" s="21"/>
      <c r="TAT43" s="21"/>
      <c r="TAU43" s="21"/>
      <c r="TAV43" s="21"/>
      <c r="TAW43" s="21"/>
      <c r="TAX43" s="21"/>
      <c r="TAY43" s="21"/>
      <c r="TAZ43" s="21"/>
      <c r="TBA43" s="21"/>
      <c r="TBB43" s="21"/>
      <c r="TBC43" s="21"/>
      <c r="TBD43" s="21"/>
      <c r="TBE43" s="21"/>
      <c r="TBF43" s="21"/>
      <c r="TBG43" s="21"/>
      <c r="TBH43" s="21"/>
      <c r="TBI43" s="21"/>
      <c r="TBJ43" s="21"/>
      <c r="TBK43" s="21"/>
      <c r="TBL43" s="21"/>
      <c r="TBM43" s="21"/>
      <c r="TBN43" s="21"/>
      <c r="TBO43" s="21"/>
      <c r="TBP43" s="21"/>
      <c r="TBQ43" s="21"/>
      <c r="TBR43" s="21"/>
      <c r="TBS43" s="21"/>
      <c r="TBT43" s="21"/>
      <c r="TBU43" s="21"/>
      <c r="TBV43" s="21"/>
      <c r="TBW43" s="21"/>
      <c r="TBX43" s="21"/>
      <c r="TBY43" s="21"/>
      <c r="TBZ43" s="21"/>
      <c r="TCA43" s="21"/>
      <c r="TCB43" s="21"/>
      <c r="TCC43" s="21"/>
      <c r="TCD43" s="21"/>
      <c r="TCE43" s="21"/>
      <c r="TCF43" s="21"/>
      <c r="TCG43" s="21"/>
      <c r="TCH43" s="21"/>
      <c r="TCI43" s="21"/>
      <c r="TCJ43" s="21"/>
      <c r="TCK43" s="21"/>
      <c r="TCL43" s="21"/>
      <c r="TCM43" s="21"/>
      <c r="TCN43" s="21"/>
      <c r="TCO43" s="21"/>
      <c r="TCP43" s="21"/>
      <c r="TCQ43" s="21"/>
      <c r="TCR43" s="21"/>
      <c r="TCS43" s="21"/>
      <c r="TCT43" s="21"/>
      <c r="TCU43" s="21"/>
      <c r="TCV43" s="21"/>
      <c r="TCW43" s="21"/>
      <c r="TCX43" s="21"/>
      <c r="TCY43" s="21"/>
      <c r="TCZ43" s="21"/>
      <c r="TDA43" s="21"/>
      <c r="TDB43" s="21"/>
      <c r="TDC43" s="21"/>
      <c r="TDD43" s="21"/>
      <c r="TDE43" s="21"/>
      <c r="TDF43" s="21"/>
      <c r="TDG43" s="21"/>
      <c r="TDH43" s="21"/>
      <c r="TDI43" s="21"/>
      <c r="TDJ43" s="21"/>
      <c r="TDK43" s="21"/>
      <c r="TDL43" s="21"/>
      <c r="TDM43" s="21"/>
      <c r="TDN43" s="21"/>
      <c r="TDO43" s="21"/>
      <c r="TDP43" s="21"/>
      <c r="TDQ43" s="21"/>
      <c r="TDR43" s="21"/>
      <c r="TDS43" s="21"/>
      <c r="TDT43" s="21"/>
      <c r="TDU43" s="21"/>
      <c r="TDV43" s="21"/>
      <c r="TDW43" s="21"/>
      <c r="TDX43" s="21"/>
      <c r="TDY43" s="21"/>
      <c r="TDZ43" s="21"/>
      <c r="TEA43" s="21"/>
      <c r="TEB43" s="21"/>
      <c r="TEC43" s="21"/>
      <c r="TED43" s="21"/>
      <c r="TEE43" s="21"/>
      <c r="TEF43" s="21"/>
      <c r="TEG43" s="21"/>
      <c r="TEH43" s="21"/>
      <c r="TEI43" s="21"/>
      <c r="TEJ43" s="21"/>
      <c r="TEK43" s="21"/>
      <c r="TEL43" s="21"/>
      <c r="TEM43" s="21"/>
      <c r="TEN43" s="21"/>
      <c r="TEO43" s="21"/>
      <c r="TEP43" s="21"/>
      <c r="TEQ43" s="21"/>
      <c r="TER43" s="21"/>
      <c r="TES43" s="21"/>
      <c r="TET43" s="21"/>
      <c r="TEU43" s="21"/>
      <c r="TEV43" s="21"/>
      <c r="TEW43" s="21"/>
      <c r="TEX43" s="21"/>
      <c r="TEY43" s="21"/>
      <c r="TEZ43" s="21"/>
      <c r="TFA43" s="21"/>
      <c r="TFB43" s="21"/>
      <c r="TFC43" s="21"/>
      <c r="TFD43" s="21"/>
      <c r="TFE43" s="21"/>
      <c r="TFF43" s="21"/>
      <c r="TFG43" s="21"/>
      <c r="TFH43" s="21"/>
      <c r="TFI43" s="21"/>
      <c r="TFJ43" s="21"/>
      <c r="TFK43" s="21"/>
      <c r="TFL43" s="21"/>
      <c r="TFM43" s="21"/>
      <c r="TFN43" s="21"/>
      <c r="TFO43" s="21"/>
      <c r="TFP43" s="21"/>
      <c r="TFQ43" s="21"/>
      <c r="TFR43" s="21"/>
      <c r="TFS43" s="21"/>
      <c r="TFT43" s="21"/>
      <c r="TFU43" s="21"/>
      <c r="TFV43" s="21"/>
      <c r="TFW43" s="21"/>
      <c r="TFX43" s="21"/>
      <c r="TFY43" s="21"/>
      <c r="TFZ43" s="21"/>
      <c r="TGA43" s="21"/>
      <c r="TGB43" s="21"/>
      <c r="TGC43" s="21"/>
      <c r="TGD43" s="21"/>
      <c r="TGE43" s="21"/>
      <c r="TGF43" s="21"/>
      <c r="TGG43" s="21"/>
      <c r="TGH43" s="21"/>
      <c r="TGI43" s="21"/>
      <c r="TGJ43" s="21"/>
      <c r="TGK43" s="21"/>
      <c r="TGL43" s="21"/>
      <c r="TGM43" s="21"/>
      <c r="TGN43" s="21"/>
      <c r="TGO43" s="21"/>
      <c r="TGP43" s="21"/>
      <c r="TGQ43" s="21"/>
      <c r="TGR43" s="21"/>
      <c r="TGS43" s="21"/>
      <c r="TGT43" s="21"/>
      <c r="TGU43" s="21"/>
      <c r="TGV43" s="21"/>
      <c r="TGW43" s="21"/>
      <c r="TGX43" s="21"/>
      <c r="TGY43" s="21"/>
      <c r="TGZ43" s="21"/>
      <c r="THA43" s="21"/>
      <c r="THB43" s="21"/>
      <c r="THC43" s="21"/>
      <c r="THD43" s="21"/>
      <c r="THE43" s="21"/>
      <c r="THF43" s="21"/>
      <c r="THG43" s="21"/>
      <c r="THH43" s="21"/>
      <c r="THI43" s="21"/>
      <c r="THJ43" s="21"/>
      <c r="THK43" s="21"/>
      <c r="THL43" s="21"/>
      <c r="THM43" s="21"/>
      <c r="THN43" s="21"/>
      <c r="THO43" s="21"/>
      <c r="THP43" s="21"/>
      <c r="THQ43" s="21"/>
      <c r="THR43" s="21"/>
      <c r="THS43" s="21"/>
      <c r="THT43" s="21"/>
      <c r="THU43" s="21"/>
      <c r="THV43" s="21"/>
      <c r="THW43" s="21"/>
      <c r="THX43" s="21"/>
      <c r="THY43" s="21"/>
      <c r="THZ43" s="21"/>
      <c r="TIA43" s="21"/>
      <c r="TIB43" s="21"/>
      <c r="TIC43" s="21"/>
      <c r="TID43" s="21"/>
      <c r="TIE43" s="21"/>
      <c r="TIF43" s="21"/>
      <c r="TIG43" s="21"/>
      <c r="TIH43" s="21"/>
      <c r="TII43" s="21"/>
      <c r="TIJ43" s="21"/>
      <c r="TIK43" s="21"/>
      <c r="TIL43" s="21"/>
      <c r="TIM43" s="21"/>
      <c r="TIN43" s="21"/>
      <c r="TIO43" s="21"/>
      <c r="TIP43" s="21"/>
      <c r="TIQ43" s="21"/>
      <c r="TIR43" s="21"/>
      <c r="TIS43" s="21"/>
      <c r="TIT43" s="21"/>
      <c r="TIU43" s="21"/>
      <c r="TIV43" s="21"/>
      <c r="TIW43" s="21"/>
      <c r="TIX43" s="21"/>
      <c r="TIY43" s="21"/>
      <c r="TIZ43" s="21"/>
      <c r="TJA43" s="21"/>
      <c r="TJB43" s="21"/>
      <c r="TJC43" s="21"/>
      <c r="TJD43" s="21"/>
      <c r="TJE43" s="21"/>
      <c r="TJF43" s="21"/>
      <c r="TJG43" s="21"/>
      <c r="TJH43" s="21"/>
      <c r="TJI43" s="21"/>
      <c r="TJJ43" s="21"/>
      <c r="TJK43" s="21"/>
      <c r="TJL43" s="21"/>
      <c r="TJM43" s="21"/>
      <c r="TJN43" s="21"/>
      <c r="TJO43" s="21"/>
      <c r="TJP43" s="21"/>
      <c r="TJQ43" s="21"/>
      <c r="TJR43" s="21"/>
      <c r="TJS43" s="21"/>
      <c r="TJT43" s="21"/>
      <c r="TJU43" s="21"/>
      <c r="TJV43" s="21"/>
      <c r="TJW43" s="21"/>
      <c r="TJX43" s="21"/>
      <c r="TJY43" s="21"/>
      <c r="TJZ43" s="21"/>
      <c r="TKA43" s="21"/>
      <c r="TKB43" s="21"/>
      <c r="TKC43" s="21"/>
      <c r="TKD43" s="21"/>
      <c r="TKE43" s="21"/>
      <c r="TKF43" s="21"/>
      <c r="TKG43" s="21"/>
      <c r="TKH43" s="21"/>
      <c r="TKI43" s="21"/>
      <c r="TKJ43" s="21"/>
      <c r="TKK43" s="21"/>
      <c r="TKL43" s="21"/>
      <c r="TKM43" s="21"/>
      <c r="TKN43" s="21"/>
      <c r="TKO43" s="21"/>
      <c r="TKP43" s="21"/>
      <c r="TKQ43" s="21"/>
      <c r="TKR43" s="21"/>
      <c r="TKS43" s="21"/>
      <c r="TKT43" s="21"/>
      <c r="TKU43" s="21"/>
      <c r="TKV43" s="21"/>
      <c r="TKW43" s="21"/>
      <c r="TKX43" s="21"/>
      <c r="TKY43" s="21"/>
      <c r="TKZ43" s="21"/>
      <c r="TLA43" s="21"/>
      <c r="TLB43" s="21"/>
      <c r="TLC43" s="21"/>
      <c r="TLD43" s="21"/>
      <c r="TLE43" s="21"/>
      <c r="TLF43" s="21"/>
      <c r="TLG43" s="21"/>
      <c r="TLH43" s="21"/>
      <c r="TLI43" s="21"/>
      <c r="TLJ43" s="21"/>
      <c r="TLK43" s="21"/>
      <c r="TLL43" s="21"/>
      <c r="TLM43" s="21"/>
      <c r="TLN43" s="21"/>
      <c r="TLO43" s="21"/>
      <c r="TLP43" s="21"/>
      <c r="TLQ43" s="21"/>
      <c r="TLR43" s="21"/>
      <c r="TLS43" s="21"/>
      <c r="TLT43" s="21"/>
      <c r="TLU43" s="21"/>
      <c r="TLV43" s="21"/>
      <c r="TLW43" s="21"/>
      <c r="TLX43" s="21"/>
      <c r="TLY43" s="21"/>
      <c r="TLZ43" s="21"/>
      <c r="TMA43" s="21"/>
      <c r="TMB43" s="21"/>
      <c r="TMC43" s="21"/>
      <c r="TMD43" s="21"/>
      <c r="TME43" s="21"/>
      <c r="TMF43" s="21"/>
      <c r="TMG43" s="21"/>
      <c r="TMH43" s="21"/>
      <c r="TMI43" s="21"/>
      <c r="TMJ43" s="21"/>
      <c r="TMK43" s="21"/>
      <c r="TML43" s="21"/>
      <c r="TMM43" s="21"/>
      <c r="TMN43" s="21"/>
      <c r="TMO43" s="21"/>
      <c r="TMP43" s="21"/>
      <c r="TMQ43" s="21"/>
      <c r="TMR43" s="21"/>
      <c r="TMS43" s="21"/>
      <c r="TMT43" s="21"/>
      <c r="TMU43" s="21"/>
      <c r="TMV43" s="21"/>
      <c r="TMW43" s="21"/>
      <c r="TMX43" s="21"/>
      <c r="TMY43" s="21"/>
      <c r="TMZ43" s="21"/>
      <c r="TNA43" s="21"/>
      <c r="TNB43" s="21"/>
      <c r="TNC43" s="21"/>
      <c r="TND43" s="21"/>
      <c r="TNE43" s="21"/>
      <c r="TNF43" s="21"/>
      <c r="TNG43" s="21"/>
      <c r="TNH43" s="21"/>
      <c r="TNI43" s="21"/>
      <c r="TNJ43" s="21"/>
      <c r="TNK43" s="21"/>
      <c r="TNL43" s="21"/>
      <c r="TNM43" s="21"/>
      <c r="TNN43" s="21"/>
      <c r="TNO43" s="21"/>
      <c r="TNP43" s="21"/>
      <c r="TNQ43" s="21"/>
      <c r="TNR43" s="21"/>
      <c r="TNS43" s="21"/>
      <c r="TNT43" s="21"/>
      <c r="TNU43" s="21"/>
      <c r="TNV43" s="21"/>
      <c r="TNW43" s="21"/>
      <c r="TNX43" s="21"/>
      <c r="TNY43" s="21"/>
      <c r="TNZ43" s="21"/>
      <c r="TOA43" s="21"/>
      <c r="TOB43" s="21"/>
      <c r="TOC43" s="21"/>
      <c r="TOD43" s="21"/>
      <c r="TOE43" s="21"/>
      <c r="TOF43" s="21"/>
      <c r="TOG43" s="21"/>
      <c r="TOH43" s="21"/>
      <c r="TOI43" s="21"/>
      <c r="TOJ43" s="21"/>
      <c r="TOK43" s="21"/>
      <c r="TOL43" s="21"/>
      <c r="TOM43" s="21"/>
      <c r="TON43" s="21"/>
      <c r="TOO43" s="21"/>
      <c r="TOP43" s="21"/>
      <c r="TOQ43" s="21"/>
      <c r="TOR43" s="21"/>
      <c r="TOS43" s="21"/>
      <c r="TOT43" s="21"/>
      <c r="TOU43" s="21"/>
      <c r="TOV43" s="21"/>
      <c r="TOW43" s="21"/>
      <c r="TOX43" s="21"/>
      <c r="TOY43" s="21"/>
      <c r="TOZ43" s="21"/>
      <c r="TPA43" s="21"/>
      <c r="TPB43" s="21"/>
      <c r="TPC43" s="21"/>
      <c r="TPD43" s="21"/>
      <c r="TPE43" s="21"/>
      <c r="TPF43" s="21"/>
      <c r="TPG43" s="21"/>
      <c r="TPH43" s="21"/>
      <c r="TPI43" s="21"/>
      <c r="TPJ43" s="21"/>
      <c r="TPK43" s="21"/>
      <c r="TPL43" s="21"/>
      <c r="TPM43" s="21"/>
      <c r="TPN43" s="21"/>
      <c r="TPO43" s="21"/>
      <c r="TPP43" s="21"/>
      <c r="TPQ43" s="21"/>
      <c r="TPR43" s="21"/>
      <c r="TPS43" s="21"/>
      <c r="TPT43" s="21"/>
      <c r="TPU43" s="21"/>
      <c r="TPV43" s="21"/>
      <c r="TPW43" s="21"/>
      <c r="TPX43" s="21"/>
      <c r="TPY43" s="21"/>
      <c r="TPZ43" s="21"/>
      <c r="TQA43" s="21"/>
      <c r="TQB43" s="21"/>
      <c r="TQC43" s="21"/>
      <c r="TQD43" s="21"/>
      <c r="TQE43" s="21"/>
      <c r="TQF43" s="21"/>
      <c r="TQG43" s="21"/>
      <c r="TQH43" s="21"/>
      <c r="TQI43" s="21"/>
      <c r="TQJ43" s="21"/>
      <c r="TQK43" s="21"/>
      <c r="TQL43" s="21"/>
      <c r="TQM43" s="21"/>
      <c r="TQN43" s="21"/>
      <c r="TQO43" s="21"/>
      <c r="TQP43" s="21"/>
      <c r="TQQ43" s="21"/>
      <c r="TQR43" s="21"/>
      <c r="TQS43" s="21"/>
      <c r="TQT43" s="21"/>
      <c r="TQU43" s="21"/>
      <c r="TQV43" s="21"/>
      <c r="TQW43" s="21"/>
      <c r="TQX43" s="21"/>
      <c r="TQY43" s="21"/>
      <c r="TQZ43" s="21"/>
      <c r="TRA43" s="21"/>
      <c r="TRB43" s="21"/>
      <c r="TRC43" s="21"/>
      <c r="TRD43" s="21"/>
      <c r="TRE43" s="21"/>
      <c r="TRF43" s="21"/>
      <c r="TRG43" s="21"/>
      <c r="TRH43" s="21"/>
      <c r="TRI43" s="21"/>
      <c r="TRJ43" s="21"/>
      <c r="TRK43" s="21"/>
      <c r="TRL43" s="21"/>
      <c r="TRM43" s="21"/>
      <c r="TRN43" s="21"/>
      <c r="TRO43" s="21"/>
      <c r="TRP43" s="21"/>
      <c r="TRQ43" s="21"/>
      <c r="TRR43" s="21"/>
      <c r="TRS43" s="21"/>
      <c r="TRT43" s="21"/>
      <c r="TRU43" s="21"/>
      <c r="TRV43" s="21"/>
      <c r="TRW43" s="21"/>
      <c r="TRX43" s="21"/>
      <c r="TRY43" s="21"/>
      <c r="TRZ43" s="21"/>
      <c r="TSA43" s="21"/>
      <c r="TSB43" s="21"/>
      <c r="TSC43" s="21"/>
      <c r="TSD43" s="21"/>
      <c r="TSE43" s="21"/>
      <c r="TSF43" s="21"/>
      <c r="TSG43" s="21"/>
      <c r="TSH43" s="21"/>
      <c r="TSI43" s="21"/>
      <c r="TSJ43" s="21"/>
      <c r="TSK43" s="21"/>
      <c r="TSL43" s="21"/>
      <c r="TSM43" s="21"/>
      <c r="TSN43" s="21"/>
      <c r="TSO43" s="21"/>
      <c r="TSP43" s="21"/>
      <c r="TSQ43" s="21"/>
      <c r="TSR43" s="21"/>
      <c r="TSS43" s="21"/>
      <c r="TST43" s="21"/>
      <c r="TSU43" s="21"/>
      <c r="TSV43" s="21"/>
      <c r="TSW43" s="21"/>
      <c r="TSX43" s="21"/>
      <c r="TSY43" s="21"/>
      <c r="TSZ43" s="21"/>
      <c r="TTA43" s="21"/>
      <c r="TTB43" s="21"/>
      <c r="TTC43" s="21"/>
      <c r="TTD43" s="21"/>
      <c r="TTE43" s="21"/>
      <c r="TTF43" s="21"/>
      <c r="TTG43" s="21"/>
      <c r="TTH43" s="21"/>
      <c r="TTI43" s="21"/>
      <c r="TTJ43" s="21"/>
      <c r="TTK43" s="21"/>
      <c r="TTL43" s="21"/>
      <c r="TTM43" s="21"/>
      <c r="TTN43" s="21"/>
      <c r="TTO43" s="21"/>
      <c r="TTP43" s="21"/>
      <c r="TTQ43" s="21"/>
      <c r="TTR43" s="21"/>
      <c r="TTS43" s="21"/>
      <c r="TTT43" s="21"/>
      <c r="TTU43" s="21"/>
      <c r="TTV43" s="21"/>
      <c r="TTW43" s="21"/>
      <c r="TTX43" s="21"/>
      <c r="TTY43" s="21"/>
      <c r="TTZ43" s="21"/>
      <c r="TUA43" s="21"/>
      <c r="TUB43" s="21"/>
      <c r="TUC43" s="21"/>
      <c r="TUD43" s="21"/>
      <c r="TUE43" s="21"/>
      <c r="TUF43" s="21"/>
      <c r="TUG43" s="21"/>
      <c r="TUH43" s="21"/>
      <c r="TUI43" s="21"/>
      <c r="TUJ43" s="21"/>
      <c r="TUK43" s="21"/>
      <c r="TUL43" s="21"/>
      <c r="TUM43" s="21"/>
      <c r="TUN43" s="21"/>
      <c r="TUO43" s="21"/>
      <c r="TUP43" s="21"/>
      <c r="TUQ43" s="21"/>
      <c r="TUR43" s="21"/>
      <c r="TUS43" s="21"/>
      <c r="TUT43" s="21"/>
      <c r="TUU43" s="21"/>
      <c r="TUV43" s="21"/>
      <c r="TUW43" s="21"/>
      <c r="TUX43" s="21"/>
      <c r="TUY43" s="21"/>
      <c r="TUZ43" s="21"/>
      <c r="TVA43" s="21"/>
      <c r="TVB43" s="21"/>
      <c r="TVC43" s="21"/>
      <c r="TVD43" s="21"/>
      <c r="TVE43" s="21"/>
      <c r="TVF43" s="21"/>
      <c r="TVG43" s="21"/>
      <c r="TVH43" s="21"/>
      <c r="TVI43" s="21"/>
      <c r="TVJ43" s="21"/>
      <c r="TVK43" s="21"/>
      <c r="TVL43" s="21"/>
      <c r="TVM43" s="21"/>
      <c r="TVN43" s="21"/>
      <c r="TVO43" s="21"/>
      <c r="TVP43" s="21"/>
      <c r="TVQ43" s="21"/>
      <c r="TVR43" s="21"/>
      <c r="TVS43" s="21"/>
      <c r="TVT43" s="21"/>
      <c r="TVU43" s="21"/>
      <c r="TVV43" s="21"/>
      <c r="TVW43" s="21"/>
      <c r="TVX43" s="21"/>
      <c r="TVY43" s="21"/>
      <c r="TVZ43" s="21"/>
      <c r="TWA43" s="21"/>
      <c r="TWB43" s="21"/>
      <c r="TWC43" s="21"/>
      <c r="TWD43" s="21"/>
      <c r="TWE43" s="21"/>
      <c r="TWF43" s="21"/>
      <c r="TWG43" s="21"/>
      <c r="TWH43" s="21"/>
      <c r="TWI43" s="21"/>
      <c r="TWJ43" s="21"/>
      <c r="TWK43" s="21"/>
      <c r="TWL43" s="21"/>
      <c r="TWM43" s="21"/>
      <c r="TWN43" s="21"/>
      <c r="TWO43" s="21"/>
      <c r="TWP43" s="21"/>
      <c r="TWQ43" s="21"/>
      <c r="TWR43" s="21"/>
      <c r="TWS43" s="21"/>
      <c r="TWT43" s="21"/>
      <c r="TWU43" s="21"/>
      <c r="TWV43" s="21"/>
      <c r="TWW43" s="21"/>
      <c r="TWX43" s="21"/>
      <c r="TWY43" s="21"/>
      <c r="TWZ43" s="21"/>
      <c r="TXA43" s="21"/>
      <c r="TXB43" s="21"/>
      <c r="TXC43" s="21"/>
      <c r="TXD43" s="21"/>
      <c r="TXE43" s="21"/>
      <c r="TXF43" s="21"/>
      <c r="TXG43" s="21"/>
      <c r="TXH43" s="21"/>
      <c r="TXI43" s="21"/>
      <c r="TXJ43" s="21"/>
      <c r="TXK43" s="21"/>
      <c r="TXL43" s="21"/>
      <c r="TXM43" s="21"/>
      <c r="TXN43" s="21"/>
      <c r="TXO43" s="21"/>
      <c r="TXP43" s="21"/>
      <c r="TXQ43" s="21"/>
      <c r="TXR43" s="21"/>
      <c r="TXS43" s="21"/>
      <c r="TXT43" s="21"/>
      <c r="TXU43" s="21"/>
      <c r="TXV43" s="21"/>
      <c r="TXW43" s="21"/>
      <c r="TXX43" s="21"/>
      <c r="TXY43" s="21"/>
      <c r="TXZ43" s="21"/>
      <c r="TYA43" s="21"/>
      <c r="TYB43" s="21"/>
      <c r="TYC43" s="21"/>
      <c r="TYD43" s="21"/>
      <c r="TYE43" s="21"/>
      <c r="TYF43" s="21"/>
      <c r="TYG43" s="21"/>
      <c r="TYH43" s="21"/>
      <c r="TYI43" s="21"/>
      <c r="TYJ43" s="21"/>
      <c r="TYK43" s="21"/>
      <c r="TYL43" s="21"/>
      <c r="TYM43" s="21"/>
      <c r="TYN43" s="21"/>
      <c r="TYO43" s="21"/>
      <c r="TYP43" s="21"/>
      <c r="TYQ43" s="21"/>
      <c r="TYR43" s="21"/>
      <c r="TYS43" s="21"/>
      <c r="TYT43" s="21"/>
      <c r="TYU43" s="21"/>
      <c r="TYV43" s="21"/>
      <c r="TYW43" s="21"/>
      <c r="TYX43" s="21"/>
      <c r="TYY43" s="21"/>
      <c r="TYZ43" s="21"/>
      <c r="TZA43" s="21"/>
      <c r="TZB43" s="21"/>
      <c r="TZC43" s="21"/>
      <c r="TZD43" s="21"/>
      <c r="TZE43" s="21"/>
      <c r="TZF43" s="21"/>
      <c r="TZG43" s="21"/>
      <c r="TZH43" s="21"/>
      <c r="TZI43" s="21"/>
      <c r="TZJ43" s="21"/>
      <c r="TZK43" s="21"/>
      <c r="TZL43" s="21"/>
      <c r="TZM43" s="21"/>
      <c r="TZN43" s="21"/>
      <c r="TZO43" s="21"/>
      <c r="TZP43" s="21"/>
      <c r="TZQ43" s="21"/>
      <c r="TZR43" s="21"/>
      <c r="TZS43" s="21"/>
      <c r="TZT43" s="21"/>
      <c r="TZU43" s="21"/>
      <c r="TZV43" s="21"/>
      <c r="TZW43" s="21"/>
      <c r="TZX43" s="21"/>
      <c r="TZY43" s="21"/>
      <c r="TZZ43" s="21"/>
      <c r="UAA43" s="21"/>
      <c r="UAB43" s="21"/>
      <c r="UAC43" s="21"/>
      <c r="UAD43" s="21"/>
      <c r="UAE43" s="21"/>
      <c r="UAF43" s="21"/>
      <c r="UAG43" s="21"/>
      <c r="UAH43" s="21"/>
      <c r="UAI43" s="21"/>
      <c r="UAJ43" s="21"/>
      <c r="UAK43" s="21"/>
      <c r="UAL43" s="21"/>
      <c r="UAM43" s="21"/>
      <c r="UAN43" s="21"/>
      <c r="UAO43" s="21"/>
      <c r="UAP43" s="21"/>
      <c r="UAQ43" s="21"/>
      <c r="UAR43" s="21"/>
      <c r="UAS43" s="21"/>
      <c r="UAT43" s="21"/>
      <c r="UAU43" s="21"/>
      <c r="UAV43" s="21"/>
      <c r="UAW43" s="21"/>
      <c r="UAX43" s="21"/>
      <c r="UAY43" s="21"/>
      <c r="UAZ43" s="21"/>
      <c r="UBA43" s="21"/>
      <c r="UBB43" s="21"/>
      <c r="UBC43" s="21"/>
      <c r="UBD43" s="21"/>
      <c r="UBE43" s="21"/>
      <c r="UBF43" s="21"/>
      <c r="UBG43" s="21"/>
      <c r="UBH43" s="21"/>
      <c r="UBI43" s="21"/>
      <c r="UBJ43" s="21"/>
      <c r="UBK43" s="21"/>
      <c r="UBL43" s="21"/>
      <c r="UBM43" s="21"/>
      <c r="UBN43" s="21"/>
      <c r="UBO43" s="21"/>
      <c r="UBP43" s="21"/>
      <c r="UBQ43" s="21"/>
      <c r="UBR43" s="21"/>
      <c r="UBS43" s="21"/>
      <c r="UBT43" s="21"/>
      <c r="UBU43" s="21"/>
      <c r="UBV43" s="21"/>
      <c r="UBW43" s="21"/>
      <c r="UBX43" s="21"/>
      <c r="UBY43" s="21"/>
      <c r="UBZ43" s="21"/>
      <c r="UCA43" s="21"/>
      <c r="UCB43" s="21"/>
      <c r="UCC43" s="21"/>
      <c r="UCD43" s="21"/>
      <c r="UCE43" s="21"/>
      <c r="UCF43" s="21"/>
      <c r="UCG43" s="21"/>
      <c r="UCH43" s="21"/>
      <c r="UCI43" s="21"/>
      <c r="UCJ43" s="21"/>
      <c r="UCK43" s="21"/>
      <c r="UCL43" s="21"/>
      <c r="UCM43" s="21"/>
      <c r="UCN43" s="21"/>
      <c r="UCO43" s="21"/>
      <c r="UCP43" s="21"/>
      <c r="UCQ43" s="21"/>
      <c r="UCR43" s="21"/>
      <c r="UCS43" s="21"/>
      <c r="UCT43" s="21"/>
      <c r="UCU43" s="21"/>
      <c r="UCV43" s="21"/>
      <c r="UCW43" s="21"/>
      <c r="UCX43" s="21"/>
      <c r="UCY43" s="21"/>
      <c r="UCZ43" s="21"/>
      <c r="UDA43" s="21"/>
      <c r="UDB43" s="21"/>
      <c r="UDC43" s="21"/>
      <c r="UDD43" s="21"/>
      <c r="UDE43" s="21"/>
      <c r="UDF43" s="21"/>
      <c r="UDG43" s="21"/>
      <c r="UDH43" s="21"/>
      <c r="UDI43" s="21"/>
      <c r="UDJ43" s="21"/>
      <c r="UDK43" s="21"/>
      <c r="UDL43" s="21"/>
      <c r="UDM43" s="21"/>
      <c r="UDN43" s="21"/>
      <c r="UDO43" s="21"/>
      <c r="UDP43" s="21"/>
      <c r="UDQ43" s="21"/>
      <c r="UDR43" s="21"/>
      <c r="UDS43" s="21"/>
      <c r="UDT43" s="21"/>
      <c r="UDU43" s="21"/>
      <c r="UDV43" s="21"/>
      <c r="UDW43" s="21"/>
      <c r="UDX43" s="21"/>
      <c r="UDY43" s="21"/>
      <c r="UDZ43" s="21"/>
      <c r="UEA43" s="21"/>
      <c r="UEB43" s="21"/>
      <c r="UEC43" s="21"/>
      <c r="UED43" s="21"/>
      <c r="UEE43" s="21"/>
      <c r="UEF43" s="21"/>
      <c r="UEG43" s="21"/>
      <c r="UEH43" s="21"/>
      <c r="UEI43" s="21"/>
      <c r="UEJ43" s="21"/>
      <c r="UEK43" s="21"/>
      <c r="UEL43" s="21"/>
      <c r="UEM43" s="21"/>
      <c r="UEN43" s="21"/>
      <c r="UEO43" s="21"/>
      <c r="UEP43" s="21"/>
      <c r="UEQ43" s="21"/>
      <c r="UER43" s="21"/>
      <c r="UES43" s="21"/>
      <c r="UET43" s="21"/>
      <c r="UEU43" s="21"/>
      <c r="UEV43" s="21"/>
      <c r="UEW43" s="21"/>
      <c r="UEX43" s="21"/>
      <c r="UEY43" s="21"/>
      <c r="UEZ43" s="21"/>
      <c r="UFA43" s="21"/>
      <c r="UFB43" s="21"/>
      <c r="UFC43" s="21"/>
      <c r="UFD43" s="21"/>
      <c r="UFE43" s="21"/>
      <c r="UFF43" s="21"/>
      <c r="UFG43" s="21"/>
      <c r="UFH43" s="21"/>
      <c r="UFI43" s="21"/>
      <c r="UFJ43" s="21"/>
      <c r="UFK43" s="21"/>
      <c r="UFL43" s="21"/>
      <c r="UFM43" s="21"/>
      <c r="UFN43" s="21"/>
      <c r="UFO43" s="21"/>
      <c r="UFP43" s="21"/>
      <c r="UFQ43" s="21"/>
      <c r="UFR43" s="21"/>
      <c r="UFS43" s="21"/>
      <c r="UFT43" s="21"/>
      <c r="UFU43" s="21"/>
      <c r="UFV43" s="21"/>
      <c r="UFW43" s="21"/>
      <c r="UFX43" s="21"/>
      <c r="UFY43" s="21"/>
      <c r="UFZ43" s="21"/>
      <c r="UGA43" s="21"/>
      <c r="UGB43" s="21"/>
      <c r="UGC43" s="21"/>
      <c r="UGD43" s="21"/>
      <c r="UGE43" s="21"/>
      <c r="UGF43" s="21"/>
      <c r="UGG43" s="21"/>
      <c r="UGH43" s="21"/>
      <c r="UGI43" s="21"/>
      <c r="UGJ43" s="21"/>
      <c r="UGK43" s="21"/>
      <c r="UGL43" s="21"/>
      <c r="UGM43" s="21"/>
      <c r="UGN43" s="21"/>
      <c r="UGO43" s="21"/>
      <c r="UGP43" s="21"/>
      <c r="UGQ43" s="21"/>
      <c r="UGR43" s="21"/>
      <c r="UGS43" s="21"/>
      <c r="UGT43" s="21"/>
      <c r="UGU43" s="21"/>
      <c r="UGV43" s="21"/>
      <c r="UGW43" s="21"/>
      <c r="UGX43" s="21"/>
      <c r="UGY43" s="21"/>
      <c r="UGZ43" s="21"/>
      <c r="UHA43" s="21"/>
      <c r="UHB43" s="21"/>
      <c r="UHC43" s="21"/>
      <c r="UHD43" s="21"/>
      <c r="UHE43" s="21"/>
      <c r="UHF43" s="21"/>
      <c r="UHG43" s="21"/>
      <c r="UHH43" s="21"/>
      <c r="UHI43" s="21"/>
      <c r="UHJ43" s="21"/>
      <c r="UHK43" s="21"/>
      <c r="UHL43" s="21"/>
      <c r="UHM43" s="21"/>
      <c r="UHN43" s="21"/>
      <c r="UHO43" s="21"/>
      <c r="UHP43" s="21"/>
      <c r="UHQ43" s="21"/>
      <c r="UHR43" s="21"/>
      <c r="UHS43" s="21"/>
      <c r="UHT43" s="21"/>
      <c r="UHU43" s="21"/>
      <c r="UHV43" s="21"/>
      <c r="UHW43" s="21"/>
      <c r="UHX43" s="21"/>
      <c r="UHY43" s="21"/>
      <c r="UHZ43" s="21"/>
      <c r="UIA43" s="21"/>
      <c r="UIB43" s="21"/>
      <c r="UIC43" s="21"/>
      <c r="UID43" s="21"/>
      <c r="UIE43" s="21"/>
      <c r="UIF43" s="21"/>
      <c r="UIG43" s="21"/>
      <c r="UIH43" s="21"/>
      <c r="UII43" s="21"/>
      <c r="UIJ43" s="21"/>
      <c r="UIK43" s="21"/>
      <c r="UIL43" s="21"/>
      <c r="UIM43" s="21"/>
      <c r="UIN43" s="21"/>
      <c r="UIO43" s="21"/>
      <c r="UIP43" s="21"/>
      <c r="UIQ43" s="21"/>
      <c r="UIR43" s="21"/>
      <c r="UIS43" s="21"/>
      <c r="UIT43" s="21"/>
      <c r="UIU43" s="21"/>
      <c r="UIV43" s="21"/>
      <c r="UIW43" s="21"/>
      <c r="UIX43" s="21"/>
      <c r="UIY43" s="21"/>
      <c r="UIZ43" s="21"/>
      <c r="UJA43" s="21"/>
      <c r="UJB43" s="21"/>
      <c r="UJC43" s="21"/>
      <c r="UJD43" s="21"/>
      <c r="UJE43" s="21"/>
      <c r="UJF43" s="21"/>
      <c r="UJG43" s="21"/>
      <c r="UJH43" s="21"/>
      <c r="UJI43" s="21"/>
      <c r="UJJ43" s="21"/>
      <c r="UJK43" s="21"/>
      <c r="UJL43" s="21"/>
      <c r="UJM43" s="21"/>
      <c r="UJN43" s="21"/>
      <c r="UJO43" s="21"/>
      <c r="UJP43" s="21"/>
      <c r="UJQ43" s="21"/>
      <c r="UJR43" s="21"/>
      <c r="UJS43" s="21"/>
      <c r="UJT43" s="21"/>
      <c r="UJU43" s="21"/>
      <c r="UJV43" s="21"/>
      <c r="UJW43" s="21"/>
      <c r="UJX43" s="21"/>
      <c r="UJY43" s="21"/>
      <c r="UJZ43" s="21"/>
      <c r="UKA43" s="21"/>
      <c r="UKB43" s="21"/>
      <c r="UKC43" s="21"/>
      <c r="UKD43" s="21"/>
      <c r="UKE43" s="21"/>
      <c r="UKF43" s="21"/>
      <c r="UKG43" s="21"/>
      <c r="UKH43" s="21"/>
      <c r="UKI43" s="21"/>
      <c r="UKJ43" s="21"/>
      <c r="UKK43" s="21"/>
      <c r="UKL43" s="21"/>
      <c r="UKM43" s="21"/>
      <c r="UKN43" s="21"/>
      <c r="UKO43" s="21"/>
      <c r="UKP43" s="21"/>
      <c r="UKQ43" s="21"/>
      <c r="UKR43" s="21"/>
      <c r="UKS43" s="21"/>
      <c r="UKT43" s="21"/>
      <c r="UKU43" s="21"/>
      <c r="UKV43" s="21"/>
      <c r="UKW43" s="21"/>
      <c r="UKX43" s="21"/>
      <c r="UKY43" s="21"/>
      <c r="UKZ43" s="21"/>
      <c r="ULA43" s="21"/>
      <c r="ULB43" s="21"/>
      <c r="ULC43" s="21"/>
      <c r="ULD43" s="21"/>
      <c r="ULE43" s="21"/>
      <c r="ULF43" s="21"/>
      <c r="ULG43" s="21"/>
      <c r="ULH43" s="21"/>
      <c r="ULI43" s="21"/>
      <c r="ULJ43" s="21"/>
      <c r="ULK43" s="21"/>
      <c r="ULL43" s="21"/>
      <c r="ULM43" s="21"/>
      <c r="ULN43" s="21"/>
      <c r="ULO43" s="21"/>
      <c r="ULP43" s="21"/>
      <c r="ULQ43" s="21"/>
      <c r="ULR43" s="21"/>
      <c r="ULS43" s="21"/>
      <c r="ULT43" s="21"/>
      <c r="ULU43" s="21"/>
      <c r="ULV43" s="21"/>
      <c r="ULW43" s="21"/>
      <c r="ULX43" s="21"/>
      <c r="ULY43" s="21"/>
      <c r="ULZ43" s="21"/>
      <c r="UMA43" s="21"/>
      <c r="UMB43" s="21"/>
      <c r="UMC43" s="21"/>
      <c r="UMD43" s="21"/>
      <c r="UME43" s="21"/>
      <c r="UMF43" s="21"/>
      <c r="UMG43" s="21"/>
      <c r="UMH43" s="21"/>
      <c r="UMI43" s="21"/>
      <c r="UMJ43" s="21"/>
      <c r="UMK43" s="21"/>
      <c r="UML43" s="21"/>
      <c r="UMM43" s="21"/>
      <c r="UMN43" s="21"/>
      <c r="UMO43" s="21"/>
      <c r="UMP43" s="21"/>
      <c r="UMQ43" s="21"/>
      <c r="UMR43" s="21"/>
      <c r="UMS43" s="21"/>
      <c r="UMT43" s="21"/>
      <c r="UMU43" s="21"/>
      <c r="UMV43" s="21"/>
      <c r="UMW43" s="21"/>
      <c r="UMX43" s="21"/>
      <c r="UMY43" s="21"/>
      <c r="UMZ43" s="21"/>
      <c r="UNA43" s="21"/>
      <c r="UNB43" s="21"/>
      <c r="UNC43" s="21"/>
      <c r="UND43" s="21"/>
      <c r="UNE43" s="21"/>
      <c r="UNF43" s="21"/>
      <c r="UNG43" s="21"/>
      <c r="UNH43" s="21"/>
      <c r="UNI43" s="21"/>
      <c r="UNJ43" s="21"/>
      <c r="UNK43" s="21"/>
      <c r="UNL43" s="21"/>
      <c r="UNM43" s="21"/>
      <c r="UNN43" s="21"/>
      <c r="UNO43" s="21"/>
      <c r="UNP43" s="21"/>
      <c r="UNQ43" s="21"/>
      <c r="UNR43" s="21"/>
      <c r="UNS43" s="21"/>
      <c r="UNT43" s="21"/>
      <c r="UNU43" s="21"/>
      <c r="UNV43" s="21"/>
      <c r="UNW43" s="21"/>
      <c r="UNX43" s="21"/>
      <c r="UNY43" s="21"/>
      <c r="UNZ43" s="21"/>
      <c r="UOA43" s="21"/>
      <c r="UOB43" s="21"/>
      <c r="UOC43" s="21"/>
      <c r="UOD43" s="21"/>
      <c r="UOE43" s="21"/>
      <c r="UOF43" s="21"/>
      <c r="UOG43" s="21"/>
      <c r="UOH43" s="21"/>
      <c r="UOI43" s="21"/>
      <c r="UOJ43" s="21"/>
      <c r="UOK43" s="21"/>
      <c r="UOL43" s="21"/>
      <c r="UOM43" s="21"/>
      <c r="UON43" s="21"/>
      <c r="UOO43" s="21"/>
      <c r="UOP43" s="21"/>
      <c r="UOQ43" s="21"/>
      <c r="UOR43" s="21"/>
      <c r="UOS43" s="21"/>
      <c r="UOT43" s="21"/>
      <c r="UOU43" s="21"/>
      <c r="UOV43" s="21"/>
      <c r="UOW43" s="21"/>
      <c r="UOX43" s="21"/>
      <c r="UOY43" s="21"/>
      <c r="UOZ43" s="21"/>
      <c r="UPA43" s="21"/>
      <c r="UPB43" s="21"/>
      <c r="UPC43" s="21"/>
      <c r="UPD43" s="21"/>
      <c r="UPE43" s="21"/>
      <c r="UPF43" s="21"/>
      <c r="UPG43" s="21"/>
      <c r="UPH43" s="21"/>
      <c r="UPI43" s="21"/>
      <c r="UPJ43" s="21"/>
      <c r="UPK43" s="21"/>
      <c r="UPL43" s="21"/>
      <c r="UPM43" s="21"/>
      <c r="UPN43" s="21"/>
      <c r="UPO43" s="21"/>
      <c r="UPP43" s="21"/>
      <c r="UPQ43" s="21"/>
      <c r="UPR43" s="21"/>
      <c r="UPS43" s="21"/>
      <c r="UPT43" s="21"/>
      <c r="UPU43" s="21"/>
      <c r="UPV43" s="21"/>
      <c r="UPW43" s="21"/>
      <c r="UPX43" s="21"/>
      <c r="UPY43" s="21"/>
      <c r="UPZ43" s="21"/>
      <c r="UQA43" s="21"/>
      <c r="UQB43" s="21"/>
      <c r="UQC43" s="21"/>
      <c r="UQD43" s="21"/>
      <c r="UQE43" s="21"/>
      <c r="UQF43" s="21"/>
      <c r="UQG43" s="21"/>
      <c r="UQH43" s="21"/>
      <c r="UQI43" s="21"/>
      <c r="UQJ43" s="21"/>
      <c r="UQK43" s="21"/>
      <c r="UQL43" s="21"/>
      <c r="UQM43" s="21"/>
      <c r="UQN43" s="21"/>
      <c r="UQO43" s="21"/>
      <c r="UQP43" s="21"/>
      <c r="UQQ43" s="21"/>
      <c r="UQR43" s="21"/>
      <c r="UQS43" s="21"/>
      <c r="UQT43" s="21"/>
      <c r="UQU43" s="21"/>
      <c r="UQV43" s="21"/>
      <c r="UQW43" s="21"/>
      <c r="UQX43" s="21"/>
      <c r="UQY43" s="21"/>
      <c r="UQZ43" s="21"/>
      <c r="URA43" s="21"/>
      <c r="URB43" s="21"/>
      <c r="URC43" s="21"/>
      <c r="URD43" s="21"/>
      <c r="URE43" s="21"/>
      <c r="URF43" s="21"/>
      <c r="URG43" s="21"/>
      <c r="URH43" s="21"/>
      <c r="URI43" s="21"/>
      <c r="URJ43" s="21"/>
      <c r="URK43" s="21"/>
      <c r="URL43" s="21"/>
      <c r="URM43" s="21"/>
      <c r="URN43" s="21"/>
      <c r="URO43" s="21"/>
      <c r="URP43" s="21"/>
      <c r="URQ43" s="21"/>
      <c r="URR43" s="21"/>
      <c r="URS43" s="21"/>
      <c r="URT43" s="21"/>
      <c r="URU43" s="21"/>
      <c r="URV43" s="21"/>
      <c r="URW43" s="21"/>
      <c r="URX43" s="21"/>
      <c r="URY43" s="21"/>
      <c r="URZ43" s="21"/>
      <c r="USA43" s="21"/>
      <c r="USB43" s="21"/>
      <c r="USC43" s="21"/>
      <c r="USD43" s="21"/>
      <c r="USE43" s="21"/>
      <c r="USF43" s="21"/>
      <c r="USG43" s="21"/>
      <c r="USH43" s="21"/>
      <c r="USI43" s="21"/>
      <c r="USJ43" s="21"/>
      <c r="USK43" s="21"/>
      <c r="USL43" s="21"/>
      <c r="USM43" s="21"/>
      <c r="USN43" s="21"/>
      <c r="USO43" s="21"/>
      <c r="USP43" s="21"/>
      <c r="USQ43" s="21"/>
      <c r="USR43" s="21"/>
      <c r="USS43" s="21"/>
      <c r="UST43" s="21"/>
      <c r="USU43" s="21"/>
      <c r="USV43" s="21"/>
      <c r="USW43" s="21"/>
      <c r="USX43" s="21"/>
      <c r="USY43" s="21"/>
      <c r="USZ43" s="21"/>
      <c r="UTA43" s="21"/>
      <c r="UTB43" s="21"/>
      <c r="UTC43" s="21"/>
      <c r="UTD43" s="21"/>
      <c r="UTE43" s="21"/>
      <c r="UTF43" s="21"/>
      <c r="UTG43" s="21"/>
      <c r="UTH43" s="21"/>
      <c r="UTI43" s="21"/>
      <c r="UTJ43" s="21"/>
      <c r="UTK43" s="21"/>
      <c r="UTL43" s="21"/>
      <c r="UTM43" s="21"/>
      <c r="UTN43" s="21"/>
      <c r="UTO43" s="21"/>
      <c r="UTP43" s="21"/>
      <c r="UTQ43" s="21"/>
      <c r="UTR43" s="21"/>
      <c r="UTS43" s="21"/>
      <c r="UTT43" s="21"/>
      <c r="UTU43" s="21"/>
      <c r="UTV43" s="21"/>
      <c r="UTW43" s="21"/>
      <c r="UTX43" s="21"/>
      <c r="UTY43" s="21"/>
      <c r="UTZ43" s="21"/>
      <c r="UUA43" s="21"/>
      <c r="UUB43" s="21"/>
      <c r="UUC43" s="21"/>
      <c r="UUD43" s="21"/>
      <c r="UUE43" s="21"/>
      <c r="UUF43" s="21"/>
      <c r="UUG43" s="21"/>
      <c r="UUH43" s="21"/>
      <c r="UUI43" s="21"/>
      <c r="UUJ43" s="21"/>
      <c r="UUK43" s="21"/>
      <c r="UUL43" s="21"/>
      <c r="UUM43" s="21"/>
      <c r="UUN43" s="21"/>
      <c r="UUO43" s="21"/>
      <c r="UUP43" s="21"/>
      <c r="UUQ43" s="21"/>
      <c r="UUR43" s="21"/>
      <c r="UUS43" s="21"/>
      <c r="UUT43" s="21"/>
      <c r="UUU43" s="21"/>
      <c r="UUV43" s="21"/>
      <c r="UUW43" s="21"/>
      <c r="UUX43" s="21"/>
      <c r="UUY43" s="21"/>
      <c r="UUZ43" s="21"/>
      <c r="UVA43" s="21"/>
      <c r="UVB43" s="21"/>
      <c r="UVC43" s="21"/>
      <c r="UVD43" s="21"/>
      <c r="UVE43" s="21"/>
      <c r="UVF43" s="21"/>
      <c r="UVG43" s="21"/>
      <c r="UVH43" s="21"/>
      <c r="UVI43" s="21"/>
      <c r="UVJ43" s="21"/>
      <c r="UVK43" s="21"/>
      <c r="UVL43" s="21"/>
      <c r="UVM43" s="21"/>
      <c r="UVN43" s="21"/>
      <c r="UVO43" s="21"/>
      <c r="UVP43" s="21"/>
      <c r="UVQ43" s="21"/>
      <c r="UVR43" s="21"/>
      <c r="UVS43" s="21"/>
      <c r="UVT43" s="21"/>
      <c r="UVU43" s="21"/>
      <c r="UVV43" s="21"/>
      <c r="UVW43" s="21"/>
      <c r="UVX43" s="21"/>
      <c r="UVY43" s="21"/>
      <c r="UVZ43" s="21"/>
      <c r="UWA43" s="21"/>
      <c r="UWB43" s="21"/>
      <c r="UWC43" s="21"/>
      <c r="UWD43" s="21"/>
      <c r="UWE43" s="21"/>
      <c r="UWF43" s="21"/>
      <c r="UWG43" s="21"/>
      <c r="UWH43" s="21"/>
      <c r="UWI43" s="21"/>
      <c r="UWJ43" s="21"/>
      <c r="UWK43" s="21"/>
      <c r="UWL43" s="21"/>
      <c r="UWM43" s="21"/>
      <c r="UWN43" s="21"/>
      <c r="UWO43" s="21"/>
      <c r="UWP43" s="21"/>
      <c r="UWQ43" s="21"/>
      <c r="UWR43" s="21"/>
      <c r="UWS43" s="21"/>
      <c r="UWT43" s="21"/>
      <c r="UWU43" s="21"/>
      <c r="UWV43" s="21"/>
      <c r="UWW43" s="21"/>
      <c r="UWX43" s="21"/>
      <c r="UWY43" s="21"/>
      <c r="UWZ43" s="21"/>
      <c r="UXA43" s="21"/>
      <c r="UXB43" s="21"/>
      <c r="UXC43" s="21"/>
      <c r="UXD43" s="21"/>
      <c r="UXE43" s="21"/>
      <c r="UXF43" s="21"/>
      <c r="UXG43" s="21"/>
      <c r="UXH43" s="21"/>
      <c r="UXI43" s="21"/>
      <c r="UXJ43" s="21"/>
      <c r="UXK43" s="21"/>
      <c r="UXL43" s="21"/>
      <c r="UXM43" s="21"/>
      <c r="UXN43" s="21"/>
      <c r="UXO43" s="21"/>
      <c r="UXP43" s="21"/>
      <c r="UXQ43" s="21"/>
      <c r="UXR43" s="21"/>
      <c r="UXS43" s="21"/>
      <c r="UXT43" s="21"/>
      <c r="UXU43" s="21"/>
      <c r="UXV43" s="21"/>
      <c r="UXW43" s="21"/>
      <c r="UXX43" s="21"/>
      <c r="UXY43" s="21"/>
      <c r="UXZ43" s="21"/>
      <c r="UYA43" s="21"/>
      <c r="UYB43" s="21"/>
      <c r="UYC43" s="21"/>
      <c r="UYD43" s="21"/>
      <c r="UYE43" s="21"/>
      <c r="UYF43" s="21"/>
      <c r="UYG43" s="21"/>
      <c r="UYH43" s="21"/>
      <c r="UYI43" s="21"/>
      <c r="UYJ43" s="21"/>
      <c r="UYK43" s="21"/>
      <c r="UYL43" s="21"/>
      <c r="UYM43" s="21"/>
      <c r="UYN43" s="21"/>
      <c r="UYO43" s="21"/>
      <c r="UYP43" s="21"/>
      <c r="UYQ43" s="21"/>
      <c r="UYR43" s="21"/>
      <c r="UYS43" s="21"/>
      <c r="UYT43" s="21"/>
      <c r="UYU43" s="21"/>
      <c r="UYV43" s="21"/>
      <c r="UYW43" s="21"/>
      <c r="UYX43" s="21"/>
      <c r="UYY43" s="21"/>
      <c r="UYZ43" s="21"/>
      <c r="UZA43" s="21"/>
      <c r="UZB43" s="21"/>
      <c r="UZC43" s="21"/>
      <c r="UZD43" s="21"/>
      <c r="UZE43" s="21"/>
      <c r="UZF43" s="21"/>
      <c r="UZG43" s="21"/>
      <c r="UZH43" s="21"/>
      <c r="UZI43" s="21"/>
      <c r="UZJ43" s="21"/>
      <c r="UZK43" s="21"/>
      <c r="UZL43" s="21"/>
      <c r="UZM43" s="21"/>
      <c r="UZN43" s="21"/>
      <c r="UZO43" s="21"/>
      <c r="UZP43" s="21"/>
      <c r="UZQ43" s="21"/>
      <c r="UZR43" s="21"/>
      <c r="UZS43" s="21"/>
      <c r="UZT43" s="21"/>
      <c r="UZU43" s="21"/>
      <c r="UZV43" s="21"/>
      <c r="UZW43" s="21"/>
      <c r="UZX43" s="21"/>
      <c r="UZY43" s="21"/>
      <c r="UZZ43" s="21"/>
      <c r="VAA43" s="21"/>
      <c r="VAB43" s="21"/>
      <c r="VAC43" s="21"/>
      <c r="VAD43" s="21"/>
      <c r="VAE43" s="21"/>
      <c r="VAF43" s="21"/>
      <c r="VAG43" s="21"/>
      <c r="VAH43" s="21"/>
      <c r="VAI43" s="21"/>
      <c r="VAJ43" s="21"/>
      <c r="VAK43" s="21"/>
      <c r="VAL43" s="21"/>
      <c r="VAM43" s="21"/>
      <c r="VAN43" s="21"/>
      <c r="VAO43" s="21"/>
      <c r="VAP43" s="21"/>
      <c r="VAQ43" s="21"/>
      <c r="VAR43" s="21"/>
      <c r="VAS43" s="21"/>
      <c r="VAT43" s="21"/>
      <c r="VAU43" s="21"/>
      <c r="VAV43" s="21"/>
      <c r="VAW43" s="21"/>
      <c r="VAX43" s="21"/>
      <c r="VAY43" s="21"/>
      <c r="VAZ43" s="21"/>
      <c r="VBA43" s="21"/>
      <c r="VBB43" s="21"/>
      <c r="VBC43" s="21"/>
      <c r="VBD43" s="21"/>
      <c r="VBE43" s="21"/>
      <c r="VBF43" s="21"/>
      <c r="VBG43" s="21"/>
      <c r="VBH43" s="21"/>
      <c r="VBI43" s="21"/>
      <c r="VBJ43" s="21"/>
      <c r="VBK43" s="21"/>
      <c r="VBL43" s="21"/>
      <c r="VBM43" s="21"/>
      <c r="VBN43" s="21"/>
      <c r="VBO43" s="21"/>
      <c r="VBP43" s="21"/>
      <c r="VBQ43" s="21"/>
      <c r="VBR43" s="21"/>
      <c r="VBS43" s="21"/>
      <c r="VBT43" s="21"/>
      <c r="VBU43" s="21"/>
      <c r="VBV43" s="21"/>
      <c r="VBW43" s="21"/>
      <c r="VBX43" s="21"/>
      <c r="VBY43" s="21"/>
      <c r="VBZ43" s="21"/>
      <c r="VCA43" s="21"/>
      <c r="VCB43" s="21"/>
      <c r="VCC43" s="21"/>
      <c r="VCD43" s="21"/>
      <c r="VCE43" s="21"/>
      <c r="VCF43" s="21"/>
      <c r="VCG43" s="21"/>
      <c r="VCH43" s="21"/>
      <c r="VCI43" s="21"/>
      <c r="VCJ43" s="21"/>
      <c r="VCK43" s="21"/>
      <c r="VCL43" s="21"/>
      <c r="VCM43" s="21"/>
      <c r="VCN43" s="21"/>
      <c r="VCO43" s="21"/>
      <c r="VCP43" s="21"/>
      <c r="VCQ43" s="21"/>
      <c r="VCR43" s="21"/>
      <c r="VCS43" s="21"/>
      <c r="VCT43" s="21"/>
      <c r="VCU43" s="21"/>
      <c r="VCV43" s="21"/>
      <c r="VCW43" s="21"/>
      <c r="VCX43" s="21"/>
      <c r="VCY43" s="21"/>
      <c r="VCZ43" s="21"/>
      <c r="VDA43" s="21"/>
      <c r="VDB43" s="21"/>
      <c r="VDC43" s="21"/>
      <c r="VDD43" s="21"/>
      <c r="VDE43" s="21"/>
      <c r="VDF43" s="21"/>
      <c r="VDG43" s="21"/>
      <c r="VDH43" s="21"/>
      <c r="VDI43" s="21"/>
      <c r="VDJ43" s="21"/>
      <c r="VDK43" s="21"/>
      <c r="VDL43" s="21"/>
      <c r="VDM43" s="21"/>
      <c r="VDN43" s="21"/>
      <c r="VDO43" s="21"/>
      <c r="VDP43" s="21"/>
      <c r="VDQ43" s="21"/>
      <c r="VDR43" s="21"/>
      <c r="VDS43" s="21"/>
      <c r="VDT43" s="21"/>
      <c r="VDU43" s="21"/>
      <c r="VDV43" s="21"/>
      <c r="VDW43" s="21"/>
      <c r="VDX43" s="21"/>
      <c r="VDY43" s="21"/>
      <c r="VDZ43" s="21"/>
      <c r="VEA43" s="21"/>
      <c r="VEB43" s="21"/>
      <c r="VEC43" s="21"/>
      <c r="VED43" s="21"/>
      <c r="VEE43" s="21"/>
      <c r="VEF43" s="21"/>
      <c r="VEG43" s="21"/>
      <c r="VEH43" s="21"/>
      <c r="VEI43" s="21"/>
      <c r="VEJ43" s="21"/>
      <c r="VEK43" s="21"/>
      <c r="VEL43" s="21"/>
      <c r="VEM43" s="21"/>
      <c r="VEN43" s="21"/>
      <c r="VEO43" s="21"/>
      <c r="VEP43" s="21"/>
      <c r="VEQ43" s="21"/>
      <c r="VER43" s="21"/>
      <c r="VES43" s="21"/>
      <c r="VET43" s="21"/>
      <c r="VEU43" s="21"/>
      <c r="VEV43" s="21"/>
      <c r="VEW43" s="21"/>
      <c r="VEX43" s="21"/>
      <c r="VEY43" s="21"/>
      <c r="VEZ43" s="21"/>
      <c r="VFA43" s="21"/>
      <c r="VFB43" s="21"/>
      <c r="VFC43" s="21"/>
      <c r="VFD43" s="21"/>
      <c r="VFE43" s="21"/>
      <c r="VFF43" s="21"/>
      <c r="VFG43" s="21"/>
      <c r="VFH43" s="21"/>
      <c r="VFI43" s="21"/>
      <c r="VFJ43" s="21"/>
      <c r="VFK43" s="21"/>
      <c r="VFL43" s="21"/>
      <c r="VFM43" s="21"/>
      <c r="VFN43" s="21"/>
      <c r="VFO43" s="21"/>
      <c r="VFP43" s="21"/>
      <c r="VFQ43" s="21"/>
      <c r="VFR43" s="21"/>
      <c r="VFS43" s="21"/>
      <c r="VFT43" s="21"/>
      <c r="VFU43" s="21"/>
      <c r="VFV43" s="21"/>
      <c r="VFW43" s="21"/>
      <c r="VFX43" s="21"/>
      <c r="VFY43" s="21"/>
      <c r="VFZ43" s="21"/>
      <c r="VGA43" s="21"/>
      <c r="VGB43" s="21"/>
      <c r="VGC43" s="21"/>
      <c r="VGD43" s="21"/>
      <c r="VGE43" s="21"/>
      <c r="VGF43" s="21"/>
      <c r="VGG43" s="21"/>
      <c r="VGH43" s="21"/>
      <c r="VGI43" s="21"/>
      <c r="VGJ43" s="21"/>
      <c r="VGK43" s="21"/>
      <c r="VGL43" s="21"/>
      <c r="VGM43" s="21"/>
      <c r="VGN43" s="21"/>
      <c r="VGO43" s="21"/>
      <c r="VGP43" s="21"/>
      <c r="VGQ43" s="21"/>
      <c r="VGR43" s="21"/>
      <c r="VGS43" s="21"/>
      <c r="VGT43" s="21"/>
      <c r="VGU43" s="21"/>
      <c r="VGV43" s="21"/>
      <c r="VGW43" s="21"/>
      <c r="VGX43" s="21"/>
      <c r="VGY43" s="21"/>
      <c r="VGZ43" s="21"/>
      <c r="VHA43" s="21"/>
      <c r="VHB43" s="21"/>
      <c r="VHC43" s="21"/>
      <c r="VHD43" s="21"/>
      <c r="VHE43" s="21"/>
      <c r="VHF43" s="21"/>
      <c r="VHG43" s="21"/>
      <c r="VHH43" s="21"/>
      <c r="VHI43" s="21"/>
      <c r="VHJ43" s="21"/>
      <c r="VHK43" s="21"/>
      <c r="VHL43" s="21"/>
      <c r="VHM43" s="21"/>
      <c r="VHN43" s="21"/>
      <c r="VHO43" s="21"/>
      <c r="VHP43" s="21"/>
      <c r="VHQ43" s="21"/>
      <c r="VHR43" s="21"/>
      <c r="VHS43" s="21"/>
      <c r="VHT43" s="21"/>
      <c r="VHU43" s="21"/>
      <c r="VHV43" s="21"/>
      <c r="VHW43" s="21"/>
      <c r="VHX43" s="21"/>
      <c r="VHY43" s="21"/>
      <c r="VHZ43" s="21"/>
      <c r="VIA43" s="21"/>
      <c r="VIB43" s="21"/>
      <c r="VIC43" s="21"/>
      <c r="VID43" s="21"/>
      <c r="VIE43" s="21"/>
      <c r="VIF43" s="21"/>
      <c r="VIG43" s="21"/>
      <c r="VIH43" s="21"/>
      <c r="VII43" s="21"/>
      <c r="VIJ43" s="21"/>
      <c r="VIK43" s="21"/>
      <c r="VIL43" s="21"/>
      <c r="VIM43" s="21"/>
      <c r="VIN43" s="21"/>
      <c r="VIO43" s="21"/>
      <c r="VIP43" s="21"/>
      <c r="VIQ43" s="21"/>
      <c r="VIR43" s="21"/>
      <c r="VIS43" s="21"/>
      <c r="VIT43" s="21"/>
      <c r="VIU43" s="21"/>
      <c r="VIV43" s="21"/>
      <c r="VIW43" s="21"/>
      <c r="VIX43" s="21"/>
      <c r="VIY43" s="21"/>
      <c r="VIZ43" s="21"/>
      <c r="VJA43" s="21"/>
      <c r="VJB43" s="21"/>
      <c r="VJC43" s="21"/>
      <c r="VJD43" s="21"/>
      <c r="VJE43" s="21"/>
      <c r="VJF43" s="21"/>
      <c r="VJG43" s="21"/>
      <c r="VJH43" s="21"/>
      <c r="VJI43" s="21"/>
      <c r="VJJ43" s="21"/>
      <c r="VJK43" s="21"/>
      <c r="VJL43" s="21"/>
      <c r="VJM43" s="21"/>
      <c r="VJN43" s="21"/>
      <c r="VJO43" s="21"/>
      <c r="VJP43" s="21"/>
      <c r="VJQ43" s="21"/>
      <c r="VJR43" s="21"/>
      <c r="VJS43" s="21"/>
      <c r="VJT43" s="21"/>
      <c r="VJU43" s="21"/>
      <c r="VJV43" s="21"/>
      <c r="VJW43" s="21"/>
      <c r="VJX43" s="21"/>
      <c r="VJY43" s="21"/>
      <c r="VJZ43" s="21"/>
      <c r="VKA43" s="21"/>
      <c r="VKB43" s="21"/>
      <c r="VKC43" s="21"/>
      <c r="VKD43" s="21"/>
      <c r="VKE43" s="21"/>
      <c r="VKF43" s="21"/>
      <c r="VKG43" s="21"/>
      <c r="VKH43" s="21"/>
      <c r="VKI43" s="21"/>
      <c r="VKJ43" s="21"/>
      <c r="VKK43" s="21"/>
      <c r="VKL43" s="21"/>
      <c r="VKM43" s="21"/>
      <c r="VKN43" s="21"/>
      <c r="VKO43" s="21"/>
      <c r="VKP43" s="21"/>
      <c r="VKQ43" s="21"/>
      <c r="VKR43" s="21"/>
      <c r="VKS43" s="21"/>
      <c r="VKT43" s="21"/>
      <c r="VKU43" s="21"/>
      <c r="VKV43" s="21"/>
      <c r="VKW43" s="21"/>
      <c r="VKX43" s="21"/>
      <c r="VKY43" s="21"/>
      <c r="VKZ43" s="21"/>
      <c r="VLA43" s="21"/>
      <c r="VLB43" s="21"/>
      <c r="VLC43" s="21"/>
      <c r="VLD43" s="21"/>
      <c r="VLE43" s="21"/>
      <c r="VLF43" s="21"/>
      <c r="VLG43" s="21"/>
      <c r="VLH43" s="21"/>
      <c r="VLI43" s="21"/>
      <c r="VLJ43" s="21"/>
      <c r="VLK43" s="21"/>
      <c r="VLL43" s="21"/>
      <c r="VLM43" s="21"/>
      <c r="VLN43" s="21"/>
      <c r="VLO43" s="21"/>
      <c r="VLP43" s="21"/>
      <c r="VLQ43" s="21"/>
      <c r="VLR43" s="21"/>
      <c r="VLS43" s="21"/>
      <c r="VLT43" s="21"/>
      <c r="VLU43" s="21"/>
      <c r="VLV43" s="21"/>
      <c r="VLW43" s="21"/>
      <c r="VLX43" s="21"/>
      <c r="VLY43" s="21"/>
      <c r="VLZ43" s="21"/>
      <c r="VMA43" s="21"/>
      <c r="VMB43" s="21"/>
      <c r="VMC43" s="21"/>
      <c r="VMD43" s="21"/>
      <c r="VME43" s="21"/>
      <c r="VMF43" s="21"/>
      <c r="VMG43" s="21"/>
      <c r="VMH43" s="21"/>
      <c r="VMI43" s="21"/>
      <c r="VMJ43" s="21"/>
      <c r="VMK43" s="21"/>
      <c r="VML43" s="21"/>
      <c r="VMM43" s="21"/>
      <c r="VMN43" s="21"/>
      <c r="VMO43" s="21"/>
      <c r="VMP43" s="21"/>
      <c r="VMQ43" s="21"/>
      <c r="VMR43" s="21"/>
      <c r="VMS43" s="21"/>
      <c r="VMT43" s="21"/>
      <c r="VMU43" s="21"/>
      <c r="VMV43" s="21"/>
      <c r="VMW43" s="21"/>
      <c r="VMX43" s="21"/>
      <c r="VMY43" s="21"/>
      <c r="VMZ43" s="21"/>
      <c r="VNA43" s="21"/>
      <c r="VNB43" s="21"/>
      <c r="VNC43" s="21"/>
      <c r="VND43" s="21"/>
      <c r="VNE43" s="21"/>
      <c r="VNF43" s="21"/>
      <c r="VNG43" s="21"/>
      <c r="VNH43" s="21"/>
      <c r="VNI43" s="21"/>
      <c r="VNJ43" s="21"/>
      <c r="VNK43" s="21"/>
      <c r="VNL43" s="21"/>
      <c r="VNM43" s="21"/>
      <c r="VNN43" s="21"/>
      <c r="VNO43" s="21"/>
      <c r="VNP43" s="21"/>
      <c r="VNQ43" s="21"/>
      <c r="VNR43" s="21"/>
      <c r="VNS43" s="21"/>
      <c r="VNT43" s="21"/>
      <c r="VNU43" s="21"/>
      <c r="VNV43" s="21"/>
      <c r="VNW43" s="21"/>
      <c r="VNX43" s="21"/>
      <c r="VNY43" s="21"/>
      <c r="VNZ43" s="21"/>
      <c r="VOA43" s="21"/>
      <c r="VOB43" s="21"/>
      <c r="VOC43" s="21"/>
      <c r="VOD43" s="21"/>
      <c r="VOE43" s="21"/>
      <c r="VOF43" s="21"/>
      <c r="VOG43" s="21"/>
      <c r="VOH43" s="21"/>
      <c r="VOI43" s="21"/>
      <c r="VOJ43" s="21"/>
      <c r="VOK43" s="21"/>
      <c r="VOL43" s="21"/>
      <c r="VOM43" s="21"/>
      <c r="VON43" s="21"/>
      <c r="VOO43" s="21"/>
      <c r="VOP43" s="21"/>
      <c r="VOQ43" s="21"/>
      <c r="VOR43" s="21"/>
      <c r="VOS43" s="21"/>
      <c r="VOT43" s="21"/>
      <c r="VOU43" s="21"/>
      <c r="VOV43" s="21"/>
      <c r="VOW43" s="21"/>
      <c r="VOX43" s="21"/>
      <c r="VOY43" s="21"/>
      <c r="VOZ43" s="21"/>
      <c r="VPA43" s="21"/>
      <c r="VPB43" s="21"/>
      <c r="VPC43" s="21"/>
      <c r="VPD43" s="21"/>
      <c r="VPE43" s="21"/>
      <c r="VPF43" s="21"/>
      <c r="VPG43" s="21"/>
      <c r="VPH43" s="21"/>
      <c r="VPI43" s="21"/>
      <c r="VPJ43" s="21"/>
      <c r="VPK43" s="21"/>
      <c r="VPL43" s="21"/>
      <c r="VPM43" s="21"/>
      <c r="VPN43" s="21"/>
      <c r="VPO43" s="21"/>
      <c r="VPP43" s="21"/>
      <c r="VPQ43" s="21"/>
      <c r="VPR43" s="21"/>
      <c r="VPS43" s="21"/>
      <c r="VPT43" s="21"/>
      <c r="VPU43" s="21"/>
      <c r="VPV43" s="21"/>
      <c r="VPW43" s="21"/>
      <c r="VPX43" s="21"/>
      <c r="VPY43" s="21"/>
      <c r="VPZ43" s="21"/>
      <c r="VQA43" s="21"/>
      <c r="VQB43" s="21"/>
      <c r="VQC43" s="21"/>
      <c r="VQD43" s="21"/>
      <c r="VQE43" s="21"/>
      <c r="VQF43" s="21"/>
      <c r="VQG43" s="21"/>
      <c r="VQH43" s="21"/>
      <c r="VQI43" s="21"/>
      <c r="VQJ43" s="21"/>
      <c r="VQK43" s="21"/>
      <c r="VQL43" s="21"/>
      <c r="VQM43" s="21"/>
      <c r="VQN43" s="21"/>
      <c r="VQO43" s="21"/>
      <c r="VQP43" s="21"/>
      <c r="VQQ43" s="21"/>
      <c r="VQR43" s="21"/>
      <c r="VQS43" s="21"/>
      <c r="VQT43" s="21"/>
      <c r="VQU43" s="21"/>
      <c r="VQV43" s="21"/>
      <c r="VQW43" s="21"/>
      <c r="VQX43" s="21"/>
      <c r="VQY43" s="21"/>
      <c r="VQZ43" s="21"/>
      <c r="VRA43" s="21"/>
      <c r="VRB43" s="21"/>
      <c r="VRC43" s="21"/>
      <c r="VRD43" s="21"/>
      <c r="VRE43" s="21"/>
      <c r="VRF43" s="21"/>
      <c r="VRG43" s="21"/>
      <c r="VRH43" s="21"/>
      <c r="VRI43" s="21"/>
      <c r="VRJ43" s="21"/>
      <c r="VRK43" s="21"/>
      <c r="VRL43" s="21"/>
      <c r="VRM43" s="21"/>
      <c r="VRN43" s="21"/>
      <c r="VRO43" s="21"/>
      <c r="VRP43" s="21"/>
      <c r="VRQ43" s="21"/>
      <c r="VRR43" s="21"/>
      <c r="VRS43" s="21"/>
      <c r="VRT43" s="21"/>
      <c r="VRU43" s="21"/>
      <c r="VRV43" s="21"/>
      <c r="VRW43" s="21"/>
      <c r="VRX43" s="21"/>
      <c r="VRY43" s="21"/>
      <c r="VRZ43" s="21"/>
      <c r="VSA43" s="21"/>
      <c r="VSB43" s="21"/>
      <c r="VSC43" s="21"/>
      <c r="VSD43" s="21"/>
      <c r="VSE43" s="21"/>
      <c r="VSF43" s="21"/>
      <c r="VSG43" s="21"/>
      <c r="VSH43" s="21"/>
      <c r="VSI43" s="21"/>
      <c r="VSJ43" s="21"/>
      <c r="VSK43" s="21"/>
      <c r="VSL43" s="21"/>
      <c r="VSM43" s="21"/>
      <c r="VSN43" s="21"/>
      <c r="VSO43" s="21"/>
      <c r="VSP43" s="21"/>
      <c r="VSQ43" s="21"/>
      <c r="VSR43" s="21"/>
      <c r="VSS43" s="21"/>
      <c r="VST43" s="21"/>
      <c r="VSU43" s="21"/>
      <c r="VSV43" s="21"/>
      <c r="VSW43" s="21"/>
      <c r="VSX43" s="21"/>
      <c r="VSY43" s="21"/>
      <c r="VSZ43" s="21"/>
      <c r="VTA43" s="21"/>
      <c r="VTB43" s="21"/>
      <c r="VTC43" s="21"/>
      <c r="VTD43" s="21"/>
      <c r="VTE43" s="21"/>
      <c r="VTF43" s="21"/>
      <c r="VTG43" s="21"/>
      <c r="VTH43" s="21"/>
      <c r="VTI43" s="21"/>
      <c r="VTJ43" s="21"/>
      <c r="VTK43" s="21"/>
      <c r="VTL43" s="21"/>
      <c r="VTM43" s="21"/>
      <c r="VTN43" s="21"/>
      <c r="VTO43" s="21"/>
      <c r="VTP43" s="21"/>
      <c r="VTQ43" s="21"/>
      <c r="VTR43" s="21"/>
      <c r="VTS43" s="21"/>
      <c r="VTT43" s="21"/>
      <c r="VTU43" s="21"/>
      <c r="VTV43" s="21"/>
      <c r="VTW43" s="21"/>
      <c r="VTX43" s="21"/>
      <c r="VTY43" s="21"/>
      <c r="VTZ43" s="21"/>
      <c r="VUA43" s="21"/>
      <c r="VUB43" s="21"/>
      <c r="VUC43" s="21"/>
      <c r="VUD43" s="21"/>
      <c r="VUE43" s="21"/>
      <c r="VUF43" s="21"/>
      <c r="VUG43" s="21"/>
      <c r="VUH43" s="21"/>
      <c r="VUI43" s="21"/>
      <c r="VUJ43" s="21"/>
      <c r="VUK43" s="21"/>
      <c r="VUL43" s="21"/>
      <c r="VUM43" s="21"/>
      <c r="VUN43" s="21"/>
      <c r="VUO43" s="21"/>
      <c r="VUP43" s="21"/>
      <c r="VUQ43" s="21"/>
      <c r="VUR43" s="21"/>
      <c r="VUS43" s="21"/>
      <c r="VUT43" s="21"/>
      <c r="VUU43" s="21"/>
      <c r="VUV43" s="21"/>
      <c r="VUW43" s="21"/>
      <c r="VUX43" s="21"/>
      <c r="VUY43" s="21"/>
      <c r="VUZ43" s="21"/>
      <c r="VVA43" s="21"/>
      <c r="VVB43" s="21"/>
      <c r="VVC43" s="21"/>
      <c r="VVD43" s="21"/>
      <c r="VVE43" s="21"/>
      <c r="VVF43" s="21"/>
      <c r="VVG43" s="21"/>
      <c r="VVH43" s="21"/>
      <c r="VVI43" s="21"/>
      <c r="VVJ43" s="21"/>
      <c r="VVK43" s="21"/>
      <c r="VVL43" s="21"/>
      <c r="VVM43" s="21"/>
      <c r="VVN43" s="21"/>
      <c r="VVO43" s="21"/>
      <c r="VVP43" s="21"/>
      <c r="VVQ43" s="21"/>
      <c r="VVR43" s="21"/>
      <c r="VVS43" s="21"/>
      <c r="VVT43" s="21"/>
      <c r="VVU43" s="21"/>
      <c r="VVV43" s="21"/>
      <c r="VVW43" s="21"/>
      <c r="VVX43" s="21"/>
      <c r="VVY43" s="21"/>
      <c r="VVZ43" s="21"/>
      <c r="VWA43" s="21"/>
      <c r="VWB43" s="21"/>
      <c r="VWC43" s="21"/>
      <c r="VWD43" s="21"/>
      <c r="VWE43" s="21"/>
      <c r="VWF43" s="21"/>
      <c r="VWG43" s="21"/>
      <c r="VWH43" s="21"/>
      <c r="VWI43" s="21"/>
      <c r="VWJ43" s="21"/>
      <c r="VWK43" s="21"/>
      <c r="VWL43" s="21"/>
      <c r="VWM43" s="21"/>
      <c r="VWN43" s="21"/>
      <c r="VWO43" s="21"/>
      <c r="VWP43" s="21"/>
      <c r="VWQ43" s="21"/>
      <c r="VWR43" s="21"/>
      <c r="VWS43" s="21"/>
      <c r="VWT43" s="21"/>
      <c r="VWU43" s="21"/>
      <c r="VWV43" s="21"/>
      <c r="VWW43" s="21"/>
      <c r="VWX43" s="21"/>
      <c r="VWY43" s="21"/>
      <c r="VWZ43" s="21"/>
      <c r="VXA43" s="21"/>
      <c r="VXB43" s="21"/>
      <c r="VXC43" s="21"/>
      <c r="VXD43" s="21"/>
      <c r="VXE43" s="21"/>
      <c r="VXF43" s="21"/>
      <c r="VXG43" s="21"/>
      <c r="VXH43" s="21"/>
      <c r="VXI43" s="21"/>
      <c r="VXJ43" s="21"/>
      <c r="VXK43" s="21"/>
      <c r="VXL43" s="21"/>
      <c r="VXM43" s="21"/>
      <c r="VXN43" s="21"/>
      <c r="VXO43" s="21"/>
      <c r="VXP43" s="21"/>
      <c r="VXQ43" s="21"/>
      <c r="VXR43" s="21"/>
      <c r="VXS43" s="21"/>
      <c r="VXT43" s="21"/>
      <c r="VXU43" s="21"/>
      <c r="VXV43" s="21"/>
      <c r="VXW43" s="21"/>
      <c r="VXX43" s="21"/>
      <c r="VXY43" s="21"/>
      <c r="VXZ43" s="21"/>
      <c r="VYA43" s="21"/>
      <c r="VYB43" s="21"/>
      <c r="VYC43" s="21"/>
      <c r="VYD43" s="21"/>
      <c r="VYE43" s="21"/>
      <c r="VYF43" s="21"/>
      <c r="VYG43" s="21"/>
      <c r="VYH43" s="21"/>
      <c r="VYI43" s="21"/>
      <c r="VYJ43" s="21"/>
      <c r="VYK43" s="21"/>
      <c r="VYL43" s="21"/>
      <c r="VYM43" s="21"/>
      <c r="VYN43" s="21"/>
      <c r="VYO43" s="21"/>
      <c r="VYP43" s="21"/>
      <c r="VYQ43" s="21"/>
      <c r="VYR43" s="21"/>
      <c r="VYS43" s="21"/>
      <c r="VYT43" s="21"/>
      <c r="VYU43" s="21"/>
      <c r="VYV43" s="21"/>
      <c r="VYW43" s="21"/>
      <c r="VYX43" s="21"/>
      <c r="VYY43" s="21"/>
      <c r="VYZ43" s="21"/>
      <c r="VZA43" s="21"/>
      <c r="VZB43" s="21"/>
      <c r="VZC43" s="21"/>
      <c r="VZD43" s="21"/>
      <c r="VZE43" s="21"/>
      <c r="VZF43" s="21"/>
      <c r="VZG43" s="21"/>
      <c r="VZH43" s="21"/>
      <c r="VZI43" s="21"/>
      <c r="VZJ43" s="21"/>
      <c r="VZK43" s="21"/>
      <c r="VZL43" s="21"/>
      <c r="VZM43" s="21"/>
      <c r="VZN43" s="21"/>
      <c r="VZO43" s="21"/>
      <c r="VZP43" s="21"/>
      <c r="VZQ43" s="21"/>
      <c r="VZR43" s="21"/>
      <c r="VZS43" s="21"/>
      <c r="VZT43" s="21"/>
      <c r="VZU43" s="21"/>
      <c r="VZV43" s="21"/>
      <c r="VZW43" s="21"/>
      <c r="VZX43" s="21"/>
      <c r="VZY43" s="21"/>
      <c r="VZZ43" s="21"/>
      <c r="WAA43" s="21"/>
      <c r="WAB43" s="21"/>
      <c r="WAC43" s="21"/>
      <c r="WAD43" s="21"/>
      <c r="WAE43" s="21"/>
      <c r="WAF43" s="21"/>
      <c r="WAG43" s="21"/>
      <c r="WAH43" s="21"/>
      <c r="WAI43" s="21"/>
      <c r="WAJ43" s="21"/>
      <c r="WAK43" s="21"/>
      <c r="WAL43" s="21"/>
      <c r="WAM43" s="21"/>
      <c r="WAN43" s="21"/>
      <c r="WAO43" s="21"/>
      <c r="WAP43" s="21"/>
      <c r="WAQ43" s="21"/>
      <c r="WAR43" s="21"/>
      <c r="WAS43" s="21"/>
      <c r="WAT43" s="21"/>
      <c r="WAU43" s="21"/>
      <c r="WAV43" s="21"/>
      <c r="WAW43" s="21"/>
      <c r="WAX43" s="21"/>
      <c r="WAY43" s="21"/>
      <c r="WAZ43" s="21"/>
      <c r="WBA43" s="21"/>
      <c r="WBB43" s="21"/>
      <c r="WBC43" s="21"/>
      <c r="WBD43" s="21"/>
      <c r="WBE43" s="21"/>
      <c r="WBF43" s="21"/>
      <c r="WBG43" s="21"/>
      <c r="WBH43" s="21"/>
      <c r="WBI43" s="21"/>
      <c r="WBJ43" s="21"/>
      <c r="WBK43" s="21"/>
      <c r="WBL43" s="21"/>
      <c r="WBM43" s="21"/>
      <c r="WBN43" s="21"/>
      <c r="WBO43" s="21"/>
      <c r="WBP43" s="21"/>
      <c r="WBQ43" s="21"/>
      <c r="WBR43" s="21"/>
      <c r="WBS43" s="21"/>
      <c r="WBT43" s="21"/>
      <c r="WBU43" s="21"/>
      <c r="WBV43" s="21"/>
      <c r="WBW43" s="21"/>
      <c r="WBX43" s="21"/>
      <c r="WBY43" s="21"/>
      <c r="WBZ43" s="21"/>
      <c r="WCA43" s="21"/>
      <c r="WCB43" s="21"/>
      <c r="WCC43" s="21"/>
      <c r="WCD43" s="21"/>
      <c r="WCE43" s="21"/>
      <c r="WCF43" s="21"/>
      <c r="WCG43" s="21"/>
      <c r="WCH43" s="21"/>
      <c r="WCI43" s="21"/>
      <c r="WCJ43" s="21"/>
      <c r="WCK43" s="21"/>
      <c r="WCL43" s="21"/>
      <c r="WCM43" s="21"/>
      <c r="WCN43" s="21"/>
      <c r="WCO43" s="21"/>
      <c r="WCP43" s="21"/>
      <c r="WCQ43" s="21"/>
      <c r="WCR43" s="21"/>
      <c r="WCS43" s="21"/>
      <c r="WCT43" s="21"/>
      <c r="WCU43" s="21"/>
      <c r="WCV43" s="21"/>
      <c r="WCW43" s="21"/>
      <c r="WCX43" s="21"/>
      <c r="WCY43" s="21"/>
      <c r="WCZ43" s="21"/>
      <c r="WDA43" s="21"/>
      <c r="WDB43" s="21"/>
      <c r="WDC43" s="21"/>
      <c r="WDD43" s="21"/>
      <c r="WDE43" s="21"/>
      <c r="WDF43" s="21"/>
      <c r="WDG43" s="21"/>
      <c r="WDH43" s="21"/>
      <c r="WDI43" s="21"/>
      <c r="WDJ43" s="21"/>
      <c r="WDK43" s="21"/>
      <c r="WDL43" s="21"/>
      <c r="WDM43" s="21"/>
      <c r="WDN43" s="21"/>
      <c r="WDO43" s="21"/>
      <c r="WDP43" s="21"/>
      <c r="WDQ43" s="21"/>
      <c r="WDR43" s="21"/>
      <c r="WDS43" s="21"/>
      <c r="WDT43" s="21"/>
      <c r="WDU43" s="21"/>
      <c r="WDV43" s="21"/>
      <c r="WDW43" s="21"/>
      <c r="WDX43" s="21"/>
      <c r="WDY43" s="21"/>
      <c r="WDZ43" s="21"/>
      <c r="WEA43" s="21"/>
      <c r="WEB43" s="21"/>
      <c r="WEC43" s="21"/>
      <c r="WED43" s="21"/>
      <c r="WEE43" s="21"/>
      <c r="WEF43" s="21"/>
      <c r="WEG43" s="21"/>
      <c r="WEH43" s="21"/>
      <c r="WEI43" s="21"/>
      <c r="WEJ43" s="21"/>
      <c r="WEK43" s="21"/>
      <c r="WEL43" s="21"/>
      <c r="WEM43" s="21"/>
      <c r="WEN43" s="21"/>
      <c r="WEO43" s="21"/>
      <c r="WEP43" s="21"/>
      <c r="WEQ43" s="21"/>
      <c r="WER43" s="21"/>
      <c r="WES43" s="21"/>
      <c r="WET43" s="21"/>
      <c r="WEU43" s="21"/>
      <c r="WEV43" s="21"/>
      <c r="WEW43" s="21"/>
      <c r="WEX43" s="21"/>
      <c r="WEY43" s="21"/>
      <c r="WEZ43" s="21"/>
      <c r="WFA43" s="21"/>
      <c r="WFB43" s="21"/>
      <c r="WFC43" s="21"/>
      <c r="WFD43" s="21"/>
      <c r="WFE43" s="21"/>
      <c r="WFF43" s="21"/>
      <c r="WFG43" s="21"/>
      <c r="WFH43" s="21"/>
      <c r="WFI43" s="21"/>
      <c r="WFJ43" s="21"/>
      <c r="WFK43" s="21"/>
      <c r="WFL43" s="21"/>
      <c r="WFM43" s="21"/>
      <c r="WFN43" s="21"/>
      <c r="WFO43" s="21"/>
      <c r="WFP43" s="21"/>
      <c r="WFQ43" s="21"/>
      <c r="WFR43" s="21"/>
      <c r="WFS43" s="21"/>
      <c r="WFT43" s="21"/>
      <c r="WFU43" s="21"/>
      <c r="WFV43" s="21"/>
      <c r="WFW43" s="21"/>
      <c r="WFX43" s="21"/>
      <c r="WFY43" s="21"/>
      <c r="WFZ43" s="21"/>
      <c r="WGA43" s="21"/>
      <c r="WGB43" s="21"/>
      <c r="WGC43" s="21"/>
      <c r="WGD43" s="21"/>
      <c r="WGE43" s="21"/>
      <c r="WGF43" s="21"/>
      <c r="WGG43" s="21"/>
      <c r="WGH43" s="21"/>
      <c r="WGI43" s="21"/>
      <c r="WGJ43" s="21"/>
      <c r="WGK43" s="21"/>
      <c r="WGL43" s="21"/>
      <c r="WGM43" s="21"/>
      <c r="WGN43" s="21"/>
      <c r="WGO43" s="21"/>
      <c r="WGP43" s="21"/>
      <c r="WGQ43" s="21"/>
      <c r="WGR43" s="21"/>
      <c r="WGS43" s="21"/>
      <c r="WGT43" s="21"/>
      <c r="WGU43" s="21"/>
      <c r="WGV43" s="21"/>
      <c r="WGW43" s="21"/>
      <c r="WGX43" s="21"/>
      <c r="WGY43" s="21"/>
      <c r="WGZ43" s="21"/>
      <c r="WHA43" s="21"/>
      <c r="WHB43" s="21"/>
      <c r="WHC43" s="21"/>
      <c r="WHD43" s="21"/>
      <c r="WHE43" s="21"/>
      <c r="WHF43" s="21"/>
      <c r="WHG43" s="21"/>
      <c r="WHH43" s="21"/>
      <c r="WHI43" s="21"/>
      <c r="WHJ43" s="21"/>
      <c r="WHK43" s="21"/>
      <c r="WHL43" s="21"/>
      <c r="WHM43" s="21"/>
      <c r="WHN43" s="21"/>
      <c r="WHO43" s="21"/>
      <c r="WHP43" s="21"/>
      <c r="WHQ43" s="21"/>
      <c r="WHR43" s="21"/>
      <c r="WHS43" s="21"/>
      <c r="WHT43" s="21"/>
      <c r="WHU43" s="21"/>
      <c r="WHV43" s="21"/>
      <c r="WHW43" s="21"/>
      <c r="WHX43" s="21"/>
      <c r="WHY43" s="21"/>
      <c r="WHZ43" s="21"/>
      <c r="WIA43" s="21"/>
      <c r="WIB43" s="21"/>
      <c r="WIC43" s="21"/>
      <c r="WID43" s="21"/>
      <c r="WIE43" s="21"/>
      <c r="WIF43" s="21"/>
      <c r="WIG43" s="21"/>
      <c r="WIH43" s="21"/>
      <c r="WII43" s="21"/>
      <c r="WIJ43" s="21"/>
      <c r="WIK43" s="21"/>
      <c r="WIL43" s="21"/>
      <c r="WIM43" s="21"/>
      <c r="WIN43" s="21"/>
      <c r="WIO43" s="21"/>
      <c r="WIP43" s="21"/>
      <c r="WIQ43" s="21"/>
      <c r="WIR43" s="21"/>
      <c r="WIS43" s="21"/>
      <c r="WIT43" s="21"/>
      <c r="WIU43" s="21"/>
      <c r="WIV43" s="21"/>
      <c r="WIW43" s="21"/>
      <c r="WIX43" s="21"/>
      <c r="WIY43" s="21"/>
      <c r="WIZ43" s="21"/>
      <c r="WJA43" s="21"/>
      <c r="WJB43" s="21"/>
      <c r="WJC43" s="21"/>
      <c r="WJD43" s="21"/>
      <c r="WJE43" s="21"/>
      <c r="WJF43" s="21"/>
      <c r="WJG43" s="21"/>
      <c r="WJH43" s="21"/>
      <c r="WJI43" s="21"/>
      <c r="WJJ43" s="21"/>
      <c r="WJK43" s="21"/>
      <c r="WJL43" s="21"/>
      <c r="WJM43" s="21"/>
      <c r="WJN43" s="21"/>
      <c r="WJO43" s="21"/>
      <c r="WJP43" s="21"/>
      <c r="WJQ43" s="21"/>
      <c r="WJR43" s="21"/>
      <c r="WJS43" s="21"/>
      <c r="WJT43" s="21"/>
      <c r="WJU43" s="21"/>
      <c r="WJV43" s="21"/>
      <c r="WJW43" s="21"/>
      <c r="WJX43" s="21"/>
      <c r="WJY43" s="21"/>
      <c r="WJZ43" s="21"/>
      <c r="WKA43" s="21"/>
      <c r="WKB43" s="21"/>
      <c r="WKC43" s="21"/>
      <c r="WKD43" s="21"/>
      <c r="WKE43" s="21"/>
      <c r="WKF43" s="21"/>
      <c r="WKG43" s="21"/>
      <c r="WKH43" s="21"/>
      <c r="WKI43" s="21"/>
      <c r="WKJ43" s="21"/>
      <c r="WKK43" s="21"/>
      <c r="WKL43" s="21"/>
      <c r="WKM43" s="21"/>
      <c r="WKN43" s="21"/>
      <c r="WKO43" s="21"/>
      <c r="WKP43" s="21"/>
      <c r="WKQ43" s="21"/>
      <c r="WKR43" s="21"/>
      <c r="WKS43" s="21"/>
      <c r="WKT43" s="21"/>
      <c r="WKU43" s="21"/>
      <c r="WKV43" s="21"/>
      <c r="WKW43" s="21"/>
      <c r="WKX43" s="21"/>
      <c r="WKY43" s="21"/>
      <c r="WKZ43" s="21"/>
      <c r="WLA43" s="21"/>
      <c r="WLB43" s="21"/>
      <c r="WLC43" s="21"/>
      <c r="WLD43" s="21"/>
      <c r="WLE43" s="21"/>
      <c r="WLF43" s="21"/>
      <c r="WLG43" s="21"/>
      <c r="WLH43" s="21"/>
      <c r="WLI43" s="21"/>
      <c r="WLJ43" s="21"/>
      <c r="WLK43" s="21"/>
      <c r="WLL43" s="21"/>
      <c r="WLM43" s="21"/>
      <c r="WLN43" s="21"/>
      <c r="WLO43" s="21"/>
      <c r="WLP43" s="21"/>
      <c r="WLQ43" s="21"/>
      <c r="WLR43" s="21"/>
      <c r="WLS43" s="21"/>
      <c r="WLT43" s="21"/>
      <c r="WLU43" s="21"/>
      <c r="WLV43" s="21"/>
      <c r="WLW43" s="21"/>
      <c r="WLX43" s="21"/>
      <c r="WLY43" s="21"/>
      <c r="WLZ43" s="21"/>
      <c r="WMA43" s="21"/>
      <c r="WMB43" s="21"/>
      <c r="WMC43" s="21"/>
      <c r="WMD43" s="21"/>
      <c r="WME43" s="21"/>
      <c r="WMF43" s="21"/>
      <c r="WMG43" s="21"/>
      <c r="WMH43" s="21"/>
      <c r="WMI43" s="21"/>
      <c r="WMJ43" s="21"/>
      <c r="WMK43" s="21"/>
      <c r="WML43" s="21"/>
      <c r="WMM43" s="21"/>
      <c r="WMN43" s="21"/>
      <c r="WMO43" s="21"/>
      <c r="WMP43" s="21"/>
      <c r="WMQ43" s="21"/>
      <c r="WMR43" s="21"/>
      <c r="WMS43" s="21"/>
      <c r="WMT43" s="21"/>
      <c r="WMU43" s="21"/>
      <c r="WMV43" s="21"/>
      <c r="WMW43" s="21"/>
      <c r="WMX43" s="21"/>
      <c r="WMY43" s="21"/>
      <c r="WMZ43" s="21"/>
      <c r="WNA43" s="21"/>
      <c r="WNB43" s="21"/>
      <c r="WNC43" s="21"/>
      <c r="WND43" s="21"/>
      <c r="WNE43" s="21"/>
      <c r="WNF43" s="21"/>
      <c r="WNG43" s="21"/>
      <c r="WNH43" s="21"/>
      <c r="WNI43" s="21"/>
      <c r="WNJ43" s="21"/>
      <c r="WNK43" s="21"/>
      <c r="WNL43" s="21"/>
      <c r="WNM43" s="21"/>
      <c r="WNN43" s="21"/>
      <c r="WNO43" s="21"/>
      <c r="WNP43" s="21"/>
      <c r="WNQ43" s="21"/>
      <c r="WNR43" s="21"/>
      <c r="WNS43" s="21"/>
      <c r="WNT43" s="21"/>
      <c r="WNU43" s="21"/>
      <c r="WNV43" s="21"/>
      <c r="WNW43" s="21"/>
      <c r="WNX43" s="21"/>
      <c r="WNY43" s="21"/>
      <c r="WNZ43" s="21"/>
      <c r="WOA43" s="21"/>
      <c r="WOB43" s="21"/>
      <c r="WOC43" s="21"/>
      <c r="WOD43" s="21"/>
      <c r="WOE43" s="21"/>
      <c r="WOF43" s="21"/>
      <c r="WOG43" s="21"/>
      <c r="WOH43" s="21"/>
      <c r="WOI43" s="21"/>
      <c r="WOJ43" s="21"/>
      <c r="WOK43" s="21"/>
      <c r="WOL43" s="21"/>
      <c r="WOM43" s="21"/>
      <c r="WON43" s="21"/>
      <c r="WOO43" s="21"/>
      <c r="WOP43" s="21"/>
      <c r="WOQ43" s="21"/>
      <c r="WOR43" s="21"/>
      <c r="WOS43" s="21"/>
      <c r="WOT43" s="21"/>
      <c r="WOU43" s="21"/>
      <c r="WOV43" s="21"/>
      <c r="WOW43" s="21"/>
      <c r="WOX43" s="21"/>
      <c r="WOY43" s="21"/>
      <c r="WOZ43" s="21"/>
      <c r="WPA43" s="21"/>
      <c r="WPB43" s="21"/>
      <c r="WPC43" s="21"/>
      <c r="WPD43" s="21"/>
      <c r="WPE43" s="21"/>
      <c r="WPF43" s="21"/>
      <c r="WPG43" s="21"/>
      <c r="WPH43" s="21"/>
      <c r="WPI43" s="21"/>
      <c r="WPJ43" s="21"/>
      <c r="WPK43" s="21"/>
      <c r="WPL43" s="21"/>
      <c r="WPM43" s="21"/>
      <c r="WPN43" s="21"/>
      <c r="WPO43" s="21"/>
      <c r="WPP43" s="21"/>
      <c r="WPQ43" s="21"/>
      <c r="WPR43" s="21"/>
      <c r="WPS43" s="21"/>
      <c r="WPT43" s="21"/>
      <c r="WPU43" s="21"/>
      <c r="WPV43" s="21"/>
      <c r="WPW43" s="21"/>
      <c r="WPX43" s="21"/>
      <c r="WPY43" s="21"/>
      <c r="WPZ43" s="21"/>
      <c r="WQA43" s="21"/>
      <c r="WQB43" s="21"/>
      <c r="WQC43" s="21"/>
      <c r="WQD43" s="21"/>
      <c r="WQE43" s="21"/>
      <c r="WQF43" s="21"/>
      <c r="WQG43" s="21"/>
      <c r="WQH43" s="21"/>
      <c r="WQI43" s="21"/>
      <c r="WQJ43" s="21"/>
      <c r="WQK43" s="21"/>
      <c r="WQL43" s="21"/>
      <c r="WQM43" s="21"/>
      <c r="WQN43" s="21"/>
      <c r="WQO43" s="21"/>
      <c r="WQP43" s="21"/>
      <c r="WQQ43" s="21"/>
      <c r="WQR43" s="21"/>
      <c r="WQS43" s="21"/>
      <c r="WQT43" s="21"/>
      <c r="WQU43" s="21"/>
      <c r="WQV43" s="21"/>
      <c r="WQW43" s="21"/>
      <c r="WQX43" s="21"/>
      <c r="WQY43" s="21"/>
      <c r="WQZ43" s="21"/>
      <c r="WRA43" s="21"/>
      <c r="WRB43" s="21"/>
      <c r="WRC43" s="21"/>
      <c r="WRD43" s="21"/>
      <c r="WRE43" s="21"/>
      <c r="WRF43" s="21"/>
      <c r="WRG43" s="21"/>
      <c r="WRH43" s="21"/>
      <c r="WRI43" s="21"/>
      <c r="WRJ43" s="21"/>
      <c r="WRK43" s="21"/>
      <c r="WRL43" s="21"/>
      <c r="WRM43" s="21"/>
      <c r="WRN43" s="21"/>
      <c r="WRO43" s="21"/>
      <c r="WRP43" s="21"/>
      <c r="WRQ43" s="21"/>
      <c r="WRR43" s="21"/>
      <c r="WRS43" s="21"/>
      <c r="WRT43" s="21"/>
      <c r="WRU43" s="21"/>
      <c r="WRV43" s="21"/>
      <c r="WRW43" s="21"/>
      <c r="WRX43" s="21"/>
      <c r="WRY43" s="21"/>
      <c r="WRZ43" s="21"/>
      <c r="WSA43" s="21"/>
      <c r="WSB43" s="21"/>
      <c r="WSC43" s="21"/>
      <c r="WSD43" s="21"/>
      <c r="WSE43" s="21"/>
      <c r="WSF43" s="21"/>
      <c r="WSG43" s="21"/>
      <c r="WSH43" s="21"/>
      <c r="WSI43" s="21"/>
      <c r="WSJ43" s="21"/>
      <c r="WSK43" s="21"/>
      <c r="WSL43" s="21"/>
      <c r="WSM43" s="21"/>
      <c r="WSN43" s="21"/>
      <c r="WSO43" s="21"/>
      <c r="WSP43" s="21"/>
      <c r="WSQ43" s="21"/>
      <c r="WSR43" s="21"/>
      <c r="WSS43" s="21"/>
      <c r="WST43" s="21"/>
      <c r="WSU43" s="21"/>
      <c r="WSV43" s="21"/>
      <c r="WSW43" s="21"/>
      <c r="WSX43" s="21"/>
      <c r="WSY43" s="21"/>
      <c r="WSZ43" s="21"/>
      <c r="WTA43" s="21"/>
      <c r="WTB43" s="21"/>
      <c r="WTC43" s="21"/>
      <c r="WTD43" s="21"/>
      <c r="WTE43" s="21"/>
      <c r="WTF43" s="21"/>
      <c r="WTG43" s="21"/>
      <c r="WTH43" s="21"/>
      <c r="WTI43" s="21"/>
      <c r="WTJ43" s="21"/>
      <c r="WTK43" s="21"/>
      <c r="WTL43" s="21"/>
      <c r="WTM43" s="21"/>
      <c r="WTN43" s="21"/>
      <c r="WTO43" s="21"/>
      <c r="WTP43" s="21"/>
      <c r="WTQ43" s="21"/>
      <c r="WTR43" s="21"/>
      <c r="WTS43" s="21"/>
      <c r="WTT43" s="21"/>
      <c r="WTU43" s="21"/>
      <c r="WTV43" s="21"/>
      <c r="WTW43" s="21"/>
      <c r="WTX43" s="21"/>
      <c r="WTY43" s="21"/>
      <c r="WTZ43" s="21"/>
      <c r="WUA43" s="21"/>
      <c r="WUB43" s="21"/>
      <c r="WUC43" s="21"/>
      <c r="WUD43" s="21"/>
      <c r="WUE43" s="21"/>
      <c r="WUF43" s="21"/>
      <c r="WUG43" s="21"/>
      <c r="WUH43" s="21"/>
      <c r="WUI43" s="21"/>
      <c r="WUJ43" s="21"/>
      <c r="WUK43" s="21"/>
      <c r="WUL43" s="21"/>
      <c r="WUM43" s="21"/>
      <c r="WUN43" s="21"/>
      <c r="WUO43" s="21"/>
      <c r="WUP43" s="21"/>
      <c r="WUQ43" s="21"/>
      <c r="WUR43" s="21"/>
      <c r="WUS43" s="21"/>
      <c r="WUT43" s="21"/>
      <c r="WUU43" s="21"/>
      <c r="WUV43" s="21"/>
      <c r="WUW43" s="21"/>
      <c r="WUX43" s="21"/>
      <c r="WUY43" s="21"/>
      <c r="WUZ43" s="21"/>
      <c r="WVA43" s="21"/>
      <c r="WVB43" s="21"/>
      <c r="WVC43" s="21"/>
      <c r="WVD43" s="21"/>
      <c r="WVE43" s="21"/>
      <c r="WVF43" s="21"/>
      <c r="WVG43" s="21"/>
      <c r="WVH43" s="21"/>
      <c r="WVI43" s="21"/>
      <c r="WVJ43" s="21"/>
      <c r="WVK43" s="21"/>
      <c r="WVL43" s="21"/>
      <c r="WVM43" s="21"/>
      <c r="WVN43" s="21"/>
      <c r="WVO43" s="21"/>
      <c r="WVP43" s="21"/>
      <c r="WVQ43" s="21"/>
      <c r="WVR43" s="21"/>
      <c r="WVS43" s="21"/>
      <c r="WVT43" s="21"/>
      <c r="WVU43" s="21"/>
      <c r="WVV43" s="21"/>
      <c r="WVW43" s="21"/>
      <c r="WVX43" s="21"/>
      <c r="WVY43" s="21"/>
      <c r="WVZ43" s="21"/>
      <c r="WWA43" s="21"/>
      <c r="WWB43" s="21"/>
      <c r="WWC43" s="21"/>
      <c r="WWD43" s="21"/>
      <c r="WWE43" s="21"/>
      <c r="WWF43" s="21"/>
      <c r="WWG43" s="21"/>
      <c r="WWH43" s="21"/>
      <c r="WWI43" s="21"/>
      <c r="WWJ43" s="21"/>
      <c r="WWK43" s="21"/>
      <c r="WWL43" s="21"/>
      <c r="WWM43" s="21"/>
      <c r="WWN43" s="21"/>
      <c r="WWO43" s="21"/>
      <c r="WWP43" s="21"/>
      <c r="WWQ43" s="21"/>
      <c r="WWR43" s="21"/>
      <c r="WWS43" s="21"/>
      <c r="WWT43" s="21"/>
      <c r="WWU43" s="21"/>
      <c r="WWV43" s="21"/>
      <c r="WWW43" s="21"/>
      <c r="WWX43" s="21"/>
      <c r="WWY43" s="21"/>
      <c r="WWZ43" s="21"/>
      <c r="WXA43" s="21"/>
      <c r="WXB43" s="21"/>
      <c r="WXC43" s="21"/>
      <c r="WXD43" s="21"/>
      <c r="WXE43" s="21"/>
      <c r="WXF43" s="21"/>
      <c r="WXG43" s="21"/>
      <c r="WXH43" s="21"/>
      <c r="WXI43" s="21"/>
      <c r="WXJ43" s="21"/>
      <c r="WXK43" s="21"/>
      <c r="WXL43" s="21"/>
      <c r="WXM43" s="21"/>
      <c r="WXN43" s="21"/>
      <c r="WXO43" s="21"/>
      <c r="WXP43" s="21"/>
      <c r="WXQ43" s="21"/>
      <c r="WXR43" s="21"/>
      <c r="WXS43" s="21"/>
      <c r="WXT43" s="21"/>
      <c r="WXU43" s="21"/>
      <c r="WXV43" s="21"/>
      <c r="WXW43" s="21"/>
      <c r="WXX43" s="21"/>
      <c r="WXY43" s="21"/>
      <c r="WXZ43" s="21"/>
      <c r="WYA43" s="21"/>
      <c r="WYB43" s="21"/>
      <c r="WYC43" s="21"/>
      <c r="WYD43" s="21"/>
      <c r="WYE43" s="21"/>
      <c r="WYF43" s="21"/>
      <c r="WYG43" s="21"/>
      <c r="WYH43" s="21"/>
      <c r="WYI43" s="21"/>
      <c r="WYJ43" s="21"/>
      <c r="WYK43" s="21"/>
      <c r="WYL43" s="21"/>
      <c r="WYM43" s="21"/>
      <c r="WYN43" s="21"/>
      <c r="WYO43" s="21"/>
      <c r="WYP43" s="21"/>
      <c r="WYQ43" s="21"/>
      <c r="WYR43" s="21"/>
      <c r="WYS43" s="21"/>
      <c r="WYT43" s="21"/>
      <c r="WYU43" s="21"/>
      <c r="WYV43" s="21"/>
      <c r="WYW43" s="21"/>
      <c r="WYX43" s="21"/>
      <c r="WYY43" s="21"/>
      <c r="WYZ43" s="21"/>
      <c r="WZA43" s="21"/>
      <c r="WZB43" s="21"/>
      <c r="WZC43" s="21"/>
      <c r="WZD43" s="21"/>
      <c r="WZE43" s="21"/>
      <c r="WZF43" s="21"/>
      <c r="WZG43" s="21"/>
      <c r="WZH43" s="21"/>
      <c r="WZI43" s="21"/>
      <c r="WZJ43" s="21"/>
      <c r="WZK43" s="21"/>
      <c r="WZL43" s="21"/>
      <c r="WZM43" s="21"/>
      <c r="WZN43" s="21"/>
      <c r="WZO43" s="21"/>
      <c r="WZP43" s="21"/>
      <c r="WZQ43" s="21"/>
      <c r="WZR43" s="21"/>
      <c r="WZS43" s="21"/>
      <c r="WZT43" s="21"/>
      <c r="WZU43" s="21"/>
      <c r="WZV43" s="21"/>
      <c r="WZW43" s="21"/>
      <c r="WZX43" s="21"/>
      <c r="WZY43" s="21"/>
      <c r="WZZ43" s="21"/>
      <c r="XAA43" s="21"/>
      <c r="XAB43" s="21"/>
      <c r="XAC43" s="21"/>
      <c r="XAD43" s="21"/>
      <c r="XAE43" s="21"/>
      <c r="XAF43" s="21"/>
      <c r="XAG43" s="21"/>
      <c r="XAH43" s="21"/>
      <c r="XAI43" s="21"/>
      <c r="XAJ43" s="21"/>
      <c r="XAK43" s="21"/>
      <c r="XAL43" s="21"/>
      <c r="XAM43" s="21"/>
      <c r="XAN43" s="21"/>
      <c r="XAO43" s="21"/>
      <c r="XAP43" s="21"/>
      <c r="XAQ43" s="21"/>
      <c r="XAR43" s="21"/>
      <c r="XAS43" s="21"/>
      <c r="XAT43" s="21"/>
      <c r="XAU43" s="21"/>
      <c r="XAV43" s="21"/>
      <c r="XAW43" s="21"/>
      <c r="XAX43" s="21"/>
      <c r="XAY43" s="21"/>
      <c r="XAZ43" s="21"/>
      <c r="XBA43" s="21"/>
      <c r="XBB43" s="21"/>
      <c r="XBC43" s="21"/>
      <c r="XBD43" s="21"/>
      <c r="XBE43" s="21"/>
      <c r="XBF43" s="21"/>
      <c r="XBG43" s="21"/>
      <c r="XBH43" s="21"/>
      <c r="XBI43" s="21"/>
      <c r="XBJ43" s="21"/>
      <c r="XBK43" s="21"/>
      <c r="XBL43" s="21"/>
      <c r="XBM43" s="21"/>
      <c r="XBN43" s="21"/>
      <c r="XBO43" s="21"/>
      <c r="XBP43" s="21"/>
      <c r="XBQ43" s="21"/>
      <c r="XBR43" s="21"/>
      <c r="XBS43" s="21"/>
      <c r="XBT43" s="21"/>
      <c r="XBU43" s="21"/>
      <c r="XBV43" s="21"/>
      <c r="XBW43" s="21"/>
      <c r="XBX43" s="21"/>
      <c r="XBY43" s="21"/>
      <c r="XBZ43" s="21"/>
      <c r="XCA43" s="21"/>
      <c r="XCB43" s="21"/>
      <c r="XCC43" s="21"/>
      <c r="XCD43" s="21"/>
      <c r="XCE43" s="21"/>
      <c r="XCF43" s="21"/>
      <c r="XCG43" s="21"/>
      <c r="XCH43" s="21"/>
      <c r="XCI43" s="21"/>
      <c r="XCJ43" s="21"/>
      <c r="XCK43" s="21"/>
      <c r="XCL43" s="21"/>
      <c r="XCM43" s="21"/>
      <c r="XCN43" s="21"/>
      <c r="XCO43" s="21"/>
      <c r="XCP43" s="21"/>
      <c r="XCQ43" s="21"/>
      <c r="XCR43" s="21"/>
      <c r="XCS43" s="21"/>
      <c r="XCT43" s="21"/>
      <c r="XCU43" s="21"/>
      <c r="XCV43" s="21"/>
      <c r="XCW43" s="21"/>
      <c r="XCX43" s="21"/>
      <c r="XCY43" s="21"/>
      <c r="XCZ43" s="21"/>
      <c r="XDA43" s="21"/>
      <c r="XDB43" s="21"/>
      <c r="XDC43" s="21"/>
      <c r="XDD43" s="21"/>
      <c r="XDE43" s="21"/>
      <c r="XDF43" s="21"/>
      <c r="XDG43" s="21"/>
      <c r="XDH43" s="21"/>
      <c r="XDI43" s="21"/>
      <c r="XDJ43" s="21"/>
      <c r="XDK43" s="21"/>
      <c r="XDL43" s="21"/>
      <c r="XDM43" s="21"/>
      <c r="XDN43" s="21"/>
      <c r="XDO43" s="21"/>
      <c r="XDP43" s="21"/>
      <c r="XDQ43" s="21"/>
      <c r="XDR43" s="21"/>
      <c r="XDS43" s="21"/>
      <c r="XDT43" s="21"/>
      <c r="XDU43" s="21"/>
      <c r="XDV43" s="21"/>
      <c r="XDW43" s="21"/>
      <c r="XDX43" s="21"/>
      <c r="XDY43" s="21"/>
      <c r="XDZ43" s="21"/>
      <c r="XEA43" s="21"/>
      <c r="XEB43" s="21"/>
      <c r="XEC43" s="21"/>
      <c r="XED43" s="21"/>
      <c r="XEE43" s="21"/>
      <c r="XEF43" s="21"/>
      <c r="XEG43" s="21"/>
      <c r="XEH43" s="21"/>
      <c r="XEI43" s="21"/>
      <c r="XEJ43" s="21"/>
      <c r="XEK43" s="21"/>
      <c r="XEL43" s="21"/>
      <c r="XEM43" s="21"/>
      <c r="XEN43" s="21"/>
      <c r="XEO43" s="21"/>
      <c r="XEP43" s="21"/>
      <c r="XEQ43" s="21"/>
      <c r="XER43" s="21"/>
      <c r="XES43" s="21"/>
      <c r="XET43" s="21"/>
      <c r="XEU43" s="21"/>
      <c r="XEV43" s="21"/>
      <c r="XEW43" s="21"/>
      <c r="XEX43" s="21"/>
      <c r="XEY43" s="21"/>
      <c r="XEZ43" s="21"/>
      <c r="XFA43" s="21"/>
      <c r="XFB43" s="21"/>
      <c r="XFC43" s="21"/>
      <c r="XFD43" s="21"/>
    </row>
    <row r="44" spans="1:16384" s="65" customFormat="1" x14ac:dyDescent="0.2">
      <c r="A44" s="20">
        <v>13</v>
      </c>
      <c r="B44" s="20" t="s">
        <v>113</v>
      </c>
      <c r="C44" s="20" t="s">
        <v>114</v>
      </c>
      <c r="D44" s="20" t="s">
        <v>115</v>
      </c>
      <c r="E44" s="20" t="s">
        <v>116</v>
      </c>
      <c r="F44" s="20" t="s">
        <v>117</v>
      </c>
      <c r="G44" s="20">
        <v>2019</v>
      </c>
      <c r="H44" s="64">
        <v>43418</v>
      </c>
      <c r="I44" s="20" t="s">
        <v>32</v>
      </c>
      <c r="J44" s="20" t="s">
        <v>32</v>
      </c>
      <c r="K44" s="20" t="s">
        <v>118</v>
      </c>
      <c r="L44" s="20">
        <v>1</v>
      </c>
      <c r="M44" s="20" t="s">
        <v>32</v>
      </c>
      <c r="N44" s="20" t="s">
        <v>34</v>
      </c>
      <c r="O44" s="20" t="s">
        <v>34</v>
      </c>
      <c r="P44" s="20" t="s">
        <v>34</v>
      </c>
      <c r="Q44" s="20" t="s">
        <v>119</v>
      </c>
      <c r="R44" s="20" t="s">
        <v>34</v>
      </c>
      <c r="S44" s="20" t="s">
        <v>34</v>
      </c>
      <c r="T44" s="20" t="s">
        <v>34</v>
      </c>
      <c r="U44" s="20" t="s">
        <v>32</v>
      </c>
      <c r="V44" s="20">
        <v>1</v>
      </c>
      <c r="W44" s="20" t="s">
        <v>32</v>
      </c>
      <c r="X44" s="20" t="s">
        <v>32</v>
      </c>
      <c r="Y44" s="20" t="s">
        <v>120</v>
      </c>
      <c r="Z44" s="20" t="s">
        <v>32</v>
      </c>
      <c r="AA44" s="20">
        <v>30422805</v>
      </c>
      <c r="AB44" s="20">
        <v>1</v>
      </c>
      <c r="AC44" s="20"/>
      <c r="AD44" s="20"/>
      <c r="AE44" s="20">
        <f t="shared" si="0"/>
        <v>43</v>
      </c>
      <c r="AF44" s="20">
        <v>13</v>
      </c>
      <c r="AG44" s="20">
        <v>30</v>
      </c>
      <c r="AH44" s="20" t="s">
        <v>2845</v>
      </c>
      <c r="AI44" s="20" t="s">
        <v>2845</v>
      </c>
      <c r="AJ44" s="20">
        <v>43.7</v>
      </c>
      <c r="AK44" s="20">
        <v>10.199999999999999</v>
      </c>
      <c r="AL44" s="20">
        <v>41.5</v>
      </c>
      <c r="AM44" s="20">
        <v>10.199999999999999</v>
      </c>
      <c r="AN44" s="20"/>
      <c r="AO44" s="20" t="s">
        <v>1638</v>
      </c>
      <c r="AP44" s="20" t="s">
        <v>2937</v>
      </c>
      <c r="AQ44" s="20" t="s">
        <v>2936</v>
      </c>
      <c r="AR44" s="20" t="s">
        <v>1646</v>
      </c>
      <c r="AS44" s="20" t="s">
        <v>2939</v>
      </c>
      <c r="AT44" s="20"/>
      <c r="AU44" s="20" t="s">
        <v>2940</v>
      </c>
      <c r="AV44" s="20" t="s">
        <v>2848</v>
      </c>
      <c r="AW44" s="20"/>
      <c r="AX44" s="20"/>
      <c r="AY44" s="20" t="s">
        <v>2941</v>
      </c>
      <c r="AZ44" s="20">
        <v>9.51</v>
      </c>
      <c r="BA44" s="20">
        <v>3.05</v>
      </c>
      <c r="BB44" s="20"/>
      <c r="BC44" s="20" t="s">
        <v>2942</v>
      </c>
      <c r="BD44" s="20">
        <v>10.42</v>
      </c>
      <c r="BE44" s="20">
        <v>3.23</v>
      </c>
      <c r="BF44" s="20"/>
      <c r="BG44" s="65" t="s">
        <v>2938</v>
      </c>
    </row>
    <row r="45" spans="1:16384" s="56" customFormat="1" x14ac:dyDescent="0.2">
      <c r="A45" s="21">
        <v>14</v>
      </c>
      <c r="B45" s="21" t="s">
        <v>121</v>
      </c>
      <c r="C45" s="21" t="s">
        <v>122</v>
      </c>
      <c r="D45" s="21" t="s">
        <v>123</v>
      </c>
      <c r="E45" s="21" t="s">
        <v>124</v>
      </c>
      <c r="F45" s="21" t="s">
        <v>57</v>
      </c>
      <c r="G45" s="21">
        <v>2018</v>
      </c>
      <c r="H45" s="70">
        <v>43348</v>
      </c>
      <c r="I45" s="21" t="s">
        <v>125</v>
      </c>
      <c r="J45" s="21" t="s">
        <v>32</v>
      </c>
      <c r="K45" s="21" t="s">
        <v>126</v>
      </c>
      <c r="L45" s="21">
        <v>1</v>
      </c>
      <c r="M45" s="21" t="s">
        <v>32</v>
      </c>
      <c r="N45" s="21" t="s">
        <v>34</v>
      </c>
      <c r="O45" s="21" t="s">
        <v>34</v>
      </c>
      <c r="P45" s="21" t="s">
        <v>34</v>
      </c>
      <c r="Q45" s="21" t="s">
        <v>34</v>
      </c>
      <c r="R45" s="21" t="s">
        <v>34</v>
      </c>
      <c r="S45" s="21" t="s">
        <v>34</v>
      </c>
      <c r="T45" s="21" t="s">
        <v>34</v>
      </c>
      <c r="U45" s="21" t="s">
        <v>32</v>
      </c>
      <c r="V45" s="21">
        <v>1</v>
      </c>
      <c r="W45" s="21" t="s">
        <v>32</v>
      </c>
      <c r="X45" s="21" t="s">
        <v>32</v>
      </c>
      <c r="Y45" s="21" t="s">
        <v>32</v>
      </c>
      <c r="Z45" s="21" t="s">
        <v>32</v>
      </c>
      <c r="AA45" s="21">
        <v>30177846</v>
      </c>
      <c r="AB45" s="21">
        <v>1</v>
      </c>
      <c r="AC45" s="21"/>
      <c r="AD45" s="21">
        <v>3</v>
      </c>
      <c r="AE45" s="21">
        <f t="shared" si="0"/>
        <v>24</v>
      </c>
      <c r="AF45" s="21">
        <v>11</v>
      </c>
      <c r="AG45" s="21">
        <v>13</v>
      </c>
      <c r="AH45" s="21" t="s">
        <v>2845</v>
      </c>
      <c r="AI45" s="21" t="s">
        <v>2845</v>
      </c>
      <c r="AJ45" s="21">
        <v>23.41</v>
      </c>
      <c r="AK45" s="21">
        <v>7.5</v>
      </c>
      <c r="AL45" s="21">
        <v>20.83</v>
      </c>
      <c r="AM45" s="21">
        <v>6.58</v>
      </c>
      <c r="AN45" s="21" t="s">
        <v>2964</v>
      </c>
      <c r="AO45" s="21" t="s">
        <v>1770</v>
      </c>
      <c r="AP45" s="21" t="s">
        <v>2943</v>
      </c>
      <c r="AQ45" s="21" t="s">
        <v>2944</v>
      </c>
      <c r="AR45" s="21" t="s">
        <v>1646</v>
      </c>
      <c r="AS45" s="21" t="s">
        <v>3531</v>
      </c>
      <c r="AT45" s="21" t="s">
        <v>1646</v>
      </c>
      <c r="AU45" s="21" t="s">
        <v>3532</v>
      </c>
      <c r="AV45" s="21" t="s">
        <v>2907</v>
      </c>
      <c r="AW45" s="21">
        <v>7</v>
      </c>
      <c r="AX45" s="21">
        <v>6</v>
      </c>
      <c r="AY45" s="21" t="s">
        <v>2965</v>
      </c>
      <c r="AZ45" s="21">
        <v>84.000399999999999</v>
      </c>
      <c r="BA45" s="21"/>
      <c r="BB45" s="21">
        <f>88.1166-AZ45</f>
        <v>4.1162000000000063</v>
      </c>
      <c r="BC45" s="21" t="s">
        <v>2966</v>
      </c>
      <c r="BD45" s="21">
        <v>88.001599999999996</v>
      </c>
      <c r="BE45" s="21"/>
      <c r="BF45" s="21">
        <f>90.0319-BD45</f>
        <v>2.0302999999999969</v>
      </c>
      <c r="BG45" s="56" t="s">
        <v>3533</v>
      </c>
    </row>
    <row r="46" spans="1:16384" s="76" customFormat="1" x14ac:dyDescent="0.2">
      <c r="A46" s="80">
        <v>15</v>
      </c>
      <c r="B46" s="80" t="s">
        <v>127</v>
      </c>
      <c r="C46" s="80" t="s">
        <v>128</v>
      </c>
      <c r="D46" s="80" t="s">
        <v>129</v>
      </c>
      <c r="E46" s="80" t="s">
        <v>130</v>
      </c>
      <c r="F46" s="80" t="s">
        <v>131</v>
      </c>
      <c r="G46" s="80">
        <v>2019</v>
      </c>
      <c r="H46" s="81">
        <v>43309</v>
      </c>
      <c r="I46" s="80" t="s">
        <v>32</v>
      </c>
      <c r="J46" s="80" t="s">
        <v>32</v>
      </c>
      <c r="K46" s="80" t="s">
        <v>132</v>
      </c>
      <c r="L46" s="80">
        <v>1</v>
      </c>
      <c r="M46" s="80" t="s">
        <v>32</v>
      </c>
      <c r="N46" s="80" t="s">
        <v>34</v>
      </c>
      <c r="O46" s="80" t="s">
        <v>34</v>
      </c>
      <c r="P46" s="80" t="s">
        <v>34</v>
      </c>
      <c r="Q46" s="80" t="s">
        <v>34</v>
      </c>
      <c r="R46" s="80" t="s">
        <v>34</v>
      </c>
      <c r="S46" s="80" t="s">
        <v>34</v>
      </c>
      <c r="T46" s="80" t="s">
        <v>34</v>
      </c>
      <c r="U46" s="80" t="s">
        <v>32</v>
      </c>
      <c r="V46" s="80">
        <v>1</v>
      </c>
      <c r="W46" s="80" t="s">
        <v>32</v>
      </c>
      <c r="X46" s="80" t="s">
        <v>32</v>
      </c>
      <c r="Y46" s="80" t="s">
        <v>32</v>
      </c>
      <c r="Z46" s="80" t="s">
        <v>32</v>
      </c>
      <c r="AA46" s="80">
        <v>30052053</v>
      </c>
      <c r="AB46" s="80">
        <v>1</v>
      </c>
      <c r="AC46" s="80"/>
      <c r="AD46" s="80">
        <v>3</v>
      </c>
      <c r="AE46" s="80">
        <f t="shared" ref="AE46:AE73" si="1">AF46+AG46</f>
        <v>117</v>
      </c>
      <c r="AF46" s="80">
        <v>28</v>
      </c>
      <c r="AG46" s="80">
        <v>89</v>
      </c>
      <c r="AH46" s="80" t="s">
        <v>2845</v>
      </c>
      <c r="AI46" s="80" t="s">
        <v>2845</v>
      </c>
      <c r="AJ46" s="80">
        <v>42.8</v>
      </c>
      <c r="AK46" s="80">
        <v>12.8</v>
      </c>
      <c r="AL46" s="80">
        <v>50.1</v>
      </c>
      <c r="AM46" s="80">
        <v>11.4</v>
      </c>
      <c r="AN46" s="80" t="s">
        <v>2918</v>
      </c>
      <c r="AO46" s="80" t="s">
        <v>1770</v>
      </c>
      <c r="AP46" s="80" t="s">
        <v>2946</v>
      </c>
      <c r="AQ46" s="80" t="s">
        <v>2951</v>
      </c>
      <c r="AR46" s="80" t="s">
        <v>1646</v>
      </c>
      <c r="AS46" s="80" t="s">
        <v>2950</v>
      </c>
      <c r="AT46" s="80" t="s">
        <v>1646</v>
      </c>
      <c r="AU46" s="80" t="s">
        <v>2952</v>
      </c>
      <c r="AV46" s="80" t="s">
        <v>2907</v>
      </c>
      <c r="AW46" s="80">
        <v>8</v>
      </c>
      <c r="AX46" s="80">
        <v>7</v>
      </c>
      <c r="AY46" s="80" t="s">
        <v>2953</v>
      </c>
      <c r="AZ46" s="80">
        <v>51.1</v>
      </c>
      <c r="BA46" s="80"/>
      <c r="BB46" s="80">
        <v>2.2000000000000002</v>
      </c>
      <c r="BC46" s="80" t="s">
        <v>2954</v>
      </c>
      <c r="BD46" s="80">
        <v>55.2</v>
      </c>
      <c r="BE46" s="80"/>
      <c r="BF46" s="82">
        <v>1</v>
      </c>
      <c r="BG46" s="76" t="s">
        <v>2963</v>
      </c>
    </row>
    <row r="47" spans="1:16384" s="56" customFormat="1" x14ac:dyDescent="0.2">
      <c r="A47" s="21">
        <v>15</v>
      </c>
      <c r="B47" s="21" t="s">
        <v>127</v>
      </c>
      <c r="C47" s="21" t="s">
        <v>128</v>
      </c>
      <c r="D47" s="21" t="s">
        <v>129</v>
      </c>
      <c r="E47" s="21" t="s">
        <v>130</v>
      </c>
      <c r="F47" s="21" t="s">
        <v>131</v>
      </c>
      <c r="G47" s="21">
        <v>2019</v>
      </c>
      <c r="H47" s="70">
        <v>43309</v>
      </c>
      <c r="I47" s="21" t="s">
        <v>32</v>
      </c>
      <c r="J47" s="21" t="s">
        <v>32</v>
      </c>
      <c r="K47" s="21" t="s">
        <v>132</v>
      </c>
      <c r="L47" s="21">
        <v>1</v>
      </c>
      <c r="M47" s="21" t="s">
        <v>32</v>
      </c>
      <c r="N47" s="21" t="s">
        <v>34</v>
      </c>
      <c r="O47" s="21" t="s">
        <v>34</v>
      </c>
      <c r="P47" s="21" t="s">
        <v>34</v>
      </c>
      <c r="Q47" s="21" t="s">
        <v>34</v>
      </c>
      <c r="R47" s="21" t="s">
        <v>34</v>
      </c>
      <c r="S47" s="21" t="s">
        <v>34</v>
      </c>
      <c r="T47" s="21" t="s">
        <v>34</v>
      </c>
      <c r="U47" s="21" t="s">
        <v>32</v>
      </c>
      <c r="V47" s="21">
        <v>1</v>
      </c>
      <c r="W47" s="21" t="s">
        <v>32</v>
      </c>
      <c r="X47" s="21" t="s">
        <v>32</v>
      </c>
      <c r="Y47" s="21" t="s">
        <v>32</v>
      </c>
      <c r="Z47" s="21" t="s">
        <v>32</v>
      </c>
      <c r="AA47" s="21">
        <v>30052053</v>
      </c>
      <c r="AB47" s="21">
        <v>1</v>
      </c>
      <c r="AC47" s="21"/>
      <c r="AD47" s="21">
        <v>3</v>
      </c>
      <c r="AE47" s="21">
        <f t="shared" si="1"/>
        <v>117</v>
      </c>
      <c r="AF47" s="21">
        <v>28</v>
      </c>
      <c r="AG47" s="21">
        <v>89</v>
      </c>
      <c r="AH47" s="21" t="s">
        <v>2845</v>
      </c>
      <c r="AI47" s="21" t="s">
        <v>2845</v>
      </c>
      <c r="AJ47" s="21">
        <v>42.8</v>
      </c>
      <c r="AK47" s="21">
        <v>12.8</v>
      </c>
      <c r="AL47" s="21">
        <v>50.1</v>
      </c>
      <c r="AM47" s="21">
        <v>11.4</v>
      </c>
      <c r="AN47" s="21" t="s">
        <v>2918</v>
      </c>
      <c r="AO47" s="21" t="s">
        <v>1770</v>
      </c>
      <c r="AP47" s="21" t="s">
        <v>2946</v>
      </c>
      <c r="AQ47" s="21" t="s">
        <v>2951</v>
      </c>
      <c r="AR47" s="21" t="s">
        <v>1646</v>
      </c>
      <c r="AS47" s="21" t="s">
        <v>2950</v>
      </c>
      <c r="AT47" s="21" t="s">
        <v>1646</v>
      </c>
      <c r="AU47" s="21" t="s">
        <v>2957</v>
      </c>
      <c r="AV47" s="21" t="s">
        <v>2907</v>
      </c>
      <c r="AW47" s="80">
        <v>8</v>
      </c>
      <c r="AX47" s="80">
        <v>7</v>
      </c>
      <c r="AY47" s="21" t="s">
        <v>2955</v>
      </c>
      <c r="AZ47" s="21">
        <v>6.3</v>
      </c>
      <c r="BA47" s="21"/>
      <c r="BB47" s="21">
        <v>0.6</v>
      </c>
      <c r="BC47" s="21" t="s">
        <v>2956</v>
      </c>
      <c r="BD47" s="21">
        <v>6.6</v>
      </c>
      <c r="BE47" s="21"/>
      <c r="BF47" s="21">
        <v>0.3</v>
      </c>
    </row>
    <row r="48" spans="1:16384" s="56" customFormat="1" x14ac:dyDescent="0.2">
      <c r="A48" s="21">
        <v>15</v>
      </c>
      <c r="B48" s="21" t="s">
        <v>127</v>
      </c>
      <c r="C48" s="21" t="s">
        <v>128</v>
      </c>
      <c r="D48" s="21" t="s">
        <v>129</v>
      </c>
      <c r="E48" s="21" t="s">
        <v>130</v>
      </c>
      <c r="F48" s="21" t="s">
        <v>131</v>
      </c>
      <c r="G48" s="21">
        <v>2019</v>
      </c>
      <c r="H48" s="70">
        <v>43309</v>
      </c>
      <c r="I48" s="21" t="s">
        <v>32</v>
      </c>
      <c r="J48" s="21" t="s">
        <v>32</v>
      </c>
      <c r="K48" s="21" t="s">
        <v>132</v>
      </c>
      <c r="L48" s="21">
        <v>1</v>
      </c>
      <c r="M48" s="21" t="s">
        <v>32</v>
      </c>
      <c r="N48" s="21" t="s">
        <v>34</v>
      </c>
      <c r="O48" s="21" t="s">
        <v>34</v>
      </c>
      <c r="P48" s="21" t="s">
        <v>34</v>
      </c>
      <c r="Q48" s="21" t="s">
        <v>34</v>
      </c>
      <c r="R48" s="21" t="s">
        <v>34</v>
      </c>
      <c r="S48" s="21" t="s">
        <v>34</v>
      </c>
      <c r="T48" s="21" t="s">
        <v>34</v>
      </c>
      <c r="U48" s="21" t="s">
        <v>32</v>
      </c>
      <c r="V48" s="21">
        <v>1</v>
      </c>
      <c r="W48" s="21" t="s">
        <v>32</v>
      </c>
      <c r="X48" s="21" t="s">
        <v>32</v>
      </c>
      <c r="Y48" s="21" t="s">
        <v>32</v>
      </c>
      <c r="Z48" s="21" t="s">
        <v>32</v>
      </c>
      <c r="AA48" s="21">
        <v>30052053</v>
      </c>
      <c r="AB48" s="21">
        <v>1</v>
      </c>
      <c r="AC48" s="21"/>
      <c r="AD48" s="21">
        <v>3</v>
      </c>
      <c r="AE48" s="21">
        <f t="shared" si="1"/>
        <v>117</v>
      </c>
      <c r="AF48" s="21">
        <v>28</v>
      </c>
      <c r="AG48" s="21">
        <v>89</v>
      </c>
      <c r="AH48" s="21" t="s">
        <v>2845</v>
      </c>
      <c r="AI48" s="21" t="s">
        <v>2845</v>
      </c>
      <c r="AJ48" s="21">
        <v>42.8</v>
      </c>
      <c r="AK48" s="21">
        <v>12.8</v>
      </c>
      <c r="AL48" s="21">
        <v>50.1</v>
      </c>
      <c r="AM48" s="21">
        <v>11.4</v>
      </c>
      <c r="AN48" s="21" t="s">
        <v>2918</v>
      </c>
      <c r="AO48" s="21" t="s">
        <v>1770</v>
      </c>
      <c r="AP48" s="21" t="s">
        <v>2946</v>
      </c>
      <c r="AQ48" s="21" t="s">
        <v>2951</v>
      </c>
      <c r="AR48" s="21" t="s">
        <v>1646</v>
      </c>
      <c r="AS48" s="21" t="s">
        <v>2950</v>
      </c>
      <c r="AT48" s="21" t="s">
        <v>1646</v>
      </c>
      <c r="AU48" s="21" t="s">
        <v>3029</v>
      </c>
      <c r="AV48" s="21" t="s">
        <v>2907</v>
      </c>
      <c r="AW48" s="80">
        <v>8</v>
      </c>
      <c r="AX48" s="80">
        <v>7</v>
      </c>
      <c r="AY48" s="21" t="s">
        <v>2959</v>
      </c>
      <c r="AZ48" s="21">
        <v>9.6</v>
      </c>
      <c r="BA48" s="21"/>
      <c r="BB48" s="21">
        <v>0.8</v>
      </c>
      <c r="BC48" s="21" t="s">
        <v>2960</v>
      </c>
      <c r="BD48" s="21">
        <v>11.3</v>
      </c>
      <c r="BE48" s="21"/>
      <c r="BF48" s="21">
        <v>0.4</v>
      </c>
    </row>
    <row r="49" spans="1:59" s="56" customFormat="1" x14ac:dyDescent="0.2">
      <c r="A49" s="21">
        <v>15</v>
      </c>
      <c r="B49" s="21" t="s">
        <v>127</v>
      </c>
      <c r="C49" s="21" t="s">
        <v>128</v>
      </c>
      <c r="D49" s="21" t="s">
        <v>129</v>
      </c>
      <c r="E49" s="21" t="s">
        <v>130</v>
      </c>
      <c r="F49" s="21" t="s">
        <v>131</v>
      </c>
      <c r="G49" s="21">
        <v>2019</v>
      </c>
      <c r="H49" s="70">
        <v>43309</v>
      </c>
      <c r="I49" s="21" t="s">
        <v>32</v>
      </c>
      <c r="J49" s="21" t="s">
        <v>32</v>
      </c>
      <c r="K49" s="21" t="s">
        <v>132</v>
      </c>
      <c r="L49" s="21">
        <v>1</v>
      </c>
      <c r="M49" s="21" t="s">
        <v>32</v>
      </c>
      <c r="N49" s="21" t="s">
        <v>34</v>
      </c>
      <c r="O49" s="21" t="s">
        <v>34</v>
      </c>
      <c r="P49" s="21" t="s">
        <v>34</v>
      </c>
      <c r="Q49" s="21" t="s">
        <v>34</v>
      </c>
      <c r="R49" s="21" t="s">
        <v>34</v>
      </c>
      <c r="S49" s="21" t="s">
        <v>34</v>
      </c>
      <c r="T49" s="21" t="s">
        <v>34</v>
      </c>
      <c r="U49" s="21" t="s">
        <v>32</v>
      </c>
      <c r="V49" s="21">
        <v>1</v>
      </c>
      <c r="W49" s="21" t="s">
        <v>32</v>
      </c>
      <c r="X49" s="21" t="s">
        <v>32</v>
      </c>
      <c r="Y49" s="21" t="s">
        <v>32</v>
      </c>
      <c r="Z49" s="21" t="s">
        <v>32</v>
      </c>
      <c r="AA49" s="21">
        <v>30052053</v>
      </c>
      <c r="AB49" s="21">
        <v>1</v>
      </c>
      <c r="AC49" s="21"/>
      <c r="AD49" s="21">
        <v>3</v>
      </c>
      <c r="AE49" s="21">
        <f t="shared" si="1"/>
        <v>117</v>
      </c>
      <c r="AF49" s="21">
        <v>28</v>
      </c>
      <c r="AG49" s="21">
        <v>89</v>
      </c>
      <c r="AH49" s="21" t="s">
        <v>2845</v>
      </c>
      <c r="AI49" s="21" t="s">
        <v>2845</v>
      </c>
      <c r="AJ49" s="21">
        <v>42.8</v>
      </c>
      <c r="AK49" s="21">
        <v>12.8</v>
      </c>
      <c r="AL49" s="21">
        <v>50.1</v>
      </c>
      <c r="AM49" s="21">
        <v>11.4</v>
      </c>
      <c r="AN49" s="21" t="s">
        <v>2918</v>
      </c>
      <c r="AO49" s="21" t="s">
        <v>1770</v>
      </c>
      <c r="AP49" s="21" t="s">
        <v>2946</v>
      </c>
      <c r="AQ49" s="21" t="s">
        <v>2951</v>
      </c>
      <c r="AR49" s="21" t="s">
        <v>1646</v>
      </c>
      <c r="AS49" s="21" t="s">
        <v>2950</v>
      </c>
      <c r="AT49" s="21" t="s">
        <v>1646</v>
      </c>
      <c r="AU49" s="21" t="s">
        <v>3541</v>
      </c>
      <c r="AV49" s="21" t="s">
        <v>2907</v>
      </c>
      <c r="AW49" s="21">
        <v>8</v>
      </c>
      <c r="AX49" s="21">
        <v>7</v>
      </c>
      <c r="AY49" s="21" t="s">
        <v>2961</v>
      </c>
      <c r="AZ49" s="21">
        <v>10.199999999999999</v>
      </c>
      <c r="BA49" s="21"/>
      <c r="BB49" s="21">
        <v>0.7</v>
      </c>
      <c r="BC49" s="21" t="s">
        <v>2962</v>
      </c>
      <c r="BD49" s="21">
        <v>11.2</v>
      </c>
      <c r="BE49" s="21"/>
      <c r="BF49" s="21">
        <v>0.3</v>
      </c>
    </row>
    <row r="50" spans="1:59" s="56" customFormat="1" x14ac:dyDescent="0.2">
      <c r="A50" s="21">
        <v>15</v>
      </c>
      <c r="B50" s="21" t="s">
        <v>127</v>
      </c>
      <c r="C50" s="21" t="s">
        <v>128</v>
      </c>
      <c r="D50" s="21" t="s">
        <v>129</v>
      </c>
      <c r="E50" s="21" t="s">
        <v>130</v>
      </c>
      <c r="F50" s="21" t="s">
        <v>131</v>
      </c>
      <c r="G50" s="21">
        <v>2019</v>
      </c>
      <c r="H50" s="70">
        <v>43309</v>
      </c>
      <c r="I50" s="21" t="s">
        <v>32</v>
      </c>
      <c r="J50" s="21" t="s">
        <v>32</v>
      </c>
      <c r="K50" s="21" t="s">
        <v>132</v>
      </c>
      <c r="L50" s="21">
        <v>1</v>
      </c>
      <c r="M50" s="21" t="s">
        <v>32</v>
      </c>
      <c r="N50" s="21" t="s">
        <v>34</v>
      </c>
      <c r="O50" s="21" t="s">
        <v>34</v>
      </c>
      <c r="P50" s="21" t="s">
        <v>34</v>
      </c>
      <c r="Q50" s="21" t="s">
        <v>34</v>
      </c>
      <c r="R50" s="21" t="s">
        <v>34</v>
      </c>
      <c r="S50" s="21" t="s">
        <v>34</v>
      </c>
      <c r="T50" s="21" t="s">
        <v>34</v>
      </c>
      <c r="U50" s="21" t="s">
        <v>32</v>
      </c>
      <c r="V50" s="21">
        <v>1</v>
      </c>
      <c r="W50" s="21" t="s">
        <v>32</v>
      </c>
      <c r="X50" s="21" t="s">
        <v>32</v>
      </c>
      <c r="Y50" s="21" t="s">
        <v>32</v>
      </c>
      <c r="Z50" s="21" t="s">
        <v>32</v>
      </c>
      <c r="AA50" s="21">
        <v>30052053</v>
      </c>
      <c r="AB50" s="21">
        <v>1</v>
      </c>
      <c r="AC50" s="21"/>
      <c r="AD50" s="21">
        <v>3</v>
      </c>
      <c r="AE50" s="21">
        <f t="shared" ref="AE50:AE51" si="2">AF50+AG50</f>
        <v>117</v>
      </c>
      <c r="AF50" s="21">
        <v>28</v>
      </c>
      <c r="AG50" s="21">
        <v>89</v>
      </c>
      <c r="AH50" s="21" t="s">
        <v>2845</v>
      </c>
      <c r="AI50" s="21" t="s">
        <v>2845</v>
      </c>
      <c r="AJ50" s="21">
        <v>42.8</v>
      </c>
      <c r="AK50" s="21">
        <v>12.8</v>
      </c>
      <c r="AL50" s="21">
        <v>50.1</v>
      </c>
      <c r="AM50" s="21">
        <v>11.4</v>
      </c>
      <c r="AN50" s="21" t="s">
        <v>2918</v>
      </c>
      <c r="AO50" s="21" t="s">
        <v>1770</v>
      </c>
      <c r="AP50" s="21" t="s">
        <v>2946</v>
      </c>
      <c r="AQ50" s="21" t="s">
        <v>2951</v>
      </c>
      <c r="AR50" s="21" t="s">
        <v>1646</v>
      </c>
      <c r="AS50" s="21" t="s">
        <v>3534</v>
      </c>
      <c r="AT50" s="21" t="s">
        <v>1646</v>
      </c>
      <c r="AU50" s="21" t="s">
        <v>3535</v>
      </c>
      <c r="AV50" s="21" t="s">
        <v>2907</v>
      </c>
      <c r="AW50" s="21">
        <v>8</v>
      </c>
      <c r="AX50" s="21">
        <v>7</v>
      </c>
      <c r="AY50" s="21" t="s">
        <v>3537</v>
      </c>
      <c r="AZ50" s="21">
        <v>52.8</v>
      </c>
      <c r="BA50" s="21"/>
      <c r="BB50" s="21">
        <v>3.6</v>
      </c>
      <c r="BC50" s="21" t="s">
        <v>3539</v>
      </c>
      <c r="BD50" s="21">
        <v>44.2</v>
      </c>
      <c r="BE50" s="21"/>
      <c r="BF50" s="21">
        <v>1.6</v>
      </c>
    </row>
    <row r="51" spans="1:59" s="56" customFormat="1" x14ac:dyDescent="0.2">
      <c r="A51" s="21">
        <v>15</v>
      </c>
      <c r="B51" s="21" t="s">
        <v>127</v>
      </c>
      <c r="C51" s="21" t="s">
        <v>128</v>
      </c>
      <c r="D51" s="21" t="s">
        <v>129</v>
      </c>
      <c r="E51" s="21" t="s">
        <v>130</v>
      </c>
      <c r="F51" s="21" t="s">
        <v>131</v>
      </c>
      <c r="G51" s="21">
        <v>2019</v>
      </c>
      <c r="H51" s="70">
        <v>43309</v>
      </c>
      <c r="I51" s="21" t="s">
        <v>32</v>
      </c>
      <c r="J51" s="21" t="s">
        <v>32</v>
      </c>
      <c r="K51" s="21" t="s">
        <v>132</v>
      </c>
      <c r="L51" s="21">
        <v>1</v>
      </c>
      <c r="M51" s="21" t="s">
        <v>32</v>
      </c>
      <c r="N51" s="21" t="s">
        <v>34</v>
      </c>
      <c r="O51" s="21" t="s">
        <v>34</v>
      </c>
      <c r="P51" s="21" t="s">
        <v>34</v>
      </c>
      <c r="Q51" s="21" t="s">
        <v>34</v>
      </c>
      <c r="R51" s="21" t="s">
        <v>34</v>
      </c>
      <c r="S51" s="21" t="s">
        <v>34</v>
      </c>
      <c r="T51" s="21" t="s">
        <v>34</v>
      </c>
      <c r="U51" s="21" t="s">
        <v>32</v>
      </c>
      <c r="V51" s="21">
        <v>1</v>
      </c>
      <c r="W51" s="21" t="s">
        <v>32</v>
      </c>
      <c r="X51" s="21" t="s">
        <v>32</v>
      </c>
      <c r="Y51" s="21" t="s">
        <v>32</v>
      </c>
      <c r="Z51" s="21" t="s">
        <v>32</v>
      </c>
      <c r="AA51" s="21">
        <v>30052053</v>
      </c>
      <c r="AB51" s="21">
        <v>1</v>
      </c>
      <c r="AC51" s="21"/>
      <c r="AD51" s="21">
        <v>3</v>
      </c>
      <c r="AE51" s="21">
        <f t="shared" si="2"/>
        <v>117</v>
      </c>
      <c r="AF51" s="21">
        <v>28</v>
      </c>
      <c r="AG51" s="21">
        <v>89</v>
      </c>
      <c r="AH51" s="21" t="s">
        <v>2845</v>
      </c>
      <c r="AI51" s="21" t="s">
        <v>2845</v>
      </c>
      <c r="AJ51" s="21">
        <v>42.8</v>
      </c>
      <c r="AK51" s="21">
        <v>12.8</v>
      </c>
      <c r="AL51" s="21">
        <v>50.1</v>
      </c>
      <c r="AM51" s="21">
        <v>11.4</v>
      </c>
      <c r="AN51" s="21" t="s">
        <v>2918</v>
      </c>
      <c r="AO51" s="21" t="s">
        <v>1770</v>
      </c>
      <c r="AP51" s="21" t="s">
        <v>2946</v>
      </c>
      <c r="AQ51" s="21" t="s">
        <v>2951</v>
      </c>
      <c r="AR51" s="21" t="s">
        <v>1646</v>
      </c>
      <c r="AS51" s="21" t="s">
        <v>3534</v>
      </c>
      <c r="AT51" s="21" t="s">
        <v>1646</v>
      </c>
      <c r="AU51" s="21" t="s">
        <v>3536</v>
      </c>
      <c r="AV51" s="21" t="s">
        <v>2907</v>
      </c>
      <c r="AW51" s="21">
        <v>8</v>
      </c>
      <c r="AX51" s="21">
        <v>7</v>
      </c>
      <c r="AY51" s="21" t="s">
        <v>3538</v>
      </c>
      <c r="AZ51" s="21">
        <v>10.3</v>
      </c>
      <c r="BA51" s="21"/>
      <c r="BB51" s="21">
        <v>1.3</v>
      </c>
      <c r="BC51" s="21" t="s">
        <v>3540</v>
      </c>
      <c r="BD51" s="21">
        <v>8.1999999999999993</v>
      </c>
      <c r="BE51" s="21"/>
      <c r="BF51" s="21">
        <v>0.6</v>
      </c>
    </row>
    <row r="52" spans="1:59" s="65" customFormat="1" x14ac:dyDescent="0.2">
      <c r="A52" s="20">
        <v>16</v>
      </c>
      <c r="B52" s="20" t="s">
        <v>133</v>
      </c>
      <c r="C52" s="20" t="s">
        <v>134</v>
      </c>
      <c r="D52" s="20" t="s">
        <v>135</v>
      </c>
      <c r="E52" s="20" t="s">
        <v>136</v>
      </c>
      <c r="F52" s="20" t="s">
        <v>137</v>
      </c>
      <c r="G52" s="20">
        <v>2018</v>
      </c>
      <c r="H52" s="64">
        <v>43225</v>
      </c>
      <c r="I52" s="20" t="s">
        <v>32</v>
      </c>
      <c r="J52" s="20" t="s">
        <v>32</v>
      </c>
      <c r="K52" s="20" t="s">
        <v>138</v>
      </c>
      <c r="L52" s="20">
        <v>1</v>
      </c>
      <c r="M52" s="20" t="s">
        <v>32</v>
      </c>
      <c r="N52" s="20" t="s">
        <v>34</v>
      </c>
      <c r="O52" s="20" t="s">
        <v>34</v>
      </c>
      <c r="P52" s="20" t="s">
        <v>34</v>
      </c>
      <c r="Q52" s="20" t="s">
        <v>34</v>
      </c>
      <c r="R52" s="20" t="s">
        <v>34</v>
      </c>
      <c r="S52" s="20" t="s">
        <v>34</v>
      </c>
      <c r="T52" s="20" t="s">
        <v>34</v>
      </c>
      <c r="U52" s="20" t="s">
        <v>32</v>
      </c>
      <c r="V52" s="20">
        <v>1</v>
      </c>
      <c r="W52" s="20" t="s">
        <v>32</v>
      </c>
      <c r="X52" s="20" t="s">
        <v>32</v>
      </c>
      <c r="Y52" s="20" t="s">
        <v>32</v>
      </c>
      <c r="Z52" s="20" t="s">
        <v>32</v>
      </c>
      <c r="AA52" s="20">
        <v>29727810</v>
      </c>
      <c r="AB52" s="20">
        <v>0</v>
      </c>
      <c r="AC52" s="20" t="s">
        <v>2978</v>
      </c>
      <c r="AD52" s="20">
        <v>3</v>
      </c>
      <c r="AE52" s="20">
        <f t="shared" si="1"/>
        <v>34</v>
      </c>
      <c r="AF52" s="20">
        <v>15</v>
      </c>
      <c r="AG52" s="20">
        <v>19</v>
      </c>
      <c r="AH52" s="20" t="s">
        <v>1769</v>
      </c>
      <c r="AI52" s="20" t="s">
        <v>1769</v>
      </c>
      <c r="AJ52" s="20" t="s">
        <v>1646</v>
      </c>
      <c r="AK52" s="20" t="s">
        <v>1646</v>
      </c>
      <c r="AL52" s="20" t="s">
        <v>1646</v>
      </c>
      <c r="AM52" s="20" t="s">
        <v>1646</v>
      </c>
      <c r="AN52" s="20" t="s">
        <v>2947</v>
      </c>
      <c r="AO52" s="20" t="s">
        <v>1770</v>
      </c>
      <c r="AP52" s="20" t="s">
        <v>2977</v>
      </c>
      <c r="AQ52" s="20" t="s">
        <v>2901</v>
      </c>
      <c r="AR52" s="20" t="s">
        <v>1646</v>
      </c>
      <c r="AS52" s="20" t="s">
        <v>1639</v>
      </c>
      <c r="AT52" s="20" t="s">
        <v>1646</v>
      </c>
      <c r="AU52" s="20"/>
      <c r="AV52" s="20" t="s">
        <v>2907</v>
      </c>
      <c r="AW52" s="20"/>
      <c r="AX52" s="20"/>
      <c r="AY52" s="20"/>
      <c r="AZ52" s="20"/>
      <c r="BA52" s="20"/>
      <c r="BB52" s="20"/>
      <c r="BC52" s="20"/>
      <c r="BD52" s="20"/>
      <c r="BE52" s="20"/>
      <c r="BF52" s="20"/>
    </row>
    <row r="53" spans="1:59" s="65" customFormat="1" x14ac:dyDescent="0.2">
      <c r="A53" s="20">
        <v>17</v>
      </c>
      <c r="B53" s="20" t="s">
        <v>139</v>
      </c>
      <c r="C53" s="20" t="s">
        <v>140</v>
      </c>
      <c r="D53" s="20" t="s">
        <v>141</v>
      </c>
      <c r="E53" s="20" t="s">
        <v>142</v>
      </c>
      <c r="F53" s="20" t="s">
        <v>137</v>
      </c>
      <c r="G53" s="20">
        <v>2018</v>
      </c>
      <c r="H53" s="64">
        <v>43178</v>
      </c>
      <c r="I53" s="20" t="s">
        <v>32</v>
      </c>
      <c r="J53" s="20" t="s">
        <v>32</v>
      </c>
      <c r="K53" s="20" t="s">
        <v>143</v>
      </c>
      <c r="L53" s="20">
        <v>1</v>
      </c>
      <c r="M53" s="20" t="s">
        <v>32</v>
      </c>
      <c r="N53" s="20" t="s">
        <v>34</v>
      </c>
      <c r="O53" s="20" t="s">
        <v>34</v>
      </c>
      <c r="P53" s="20" t="s">
        <v>34</v>
      </c>
      <c r="Q53" s="20" t="s">
        <v>34</v>
      </c>
      <c r="R53" s="20" t="s">
        <v>34</v>
      </c>
      <c r="S53" s="20" t="s">
        <v>34</v>
      </c>
      <c r="T53" s="20" t="s">
        <v>34</v>
      </c>
      <c r="U53" s="20" t="s">
        <v>32</v>
      </c>
      <c r="V53" s="20">
        <v>1</v>
      </c>
      <c r="W53" s="20" t="s">
        <v>32</v>
      </c>
      <c r="X53" s="20" t="s">
        <v>32</v>
      </c>
      <c r="Y53" s="20" t="s">
        <v>32</v>
      </c>
      <c r="Z53" s="20" t="s">
        <v>32</v>
      </c>
      <c r="AA53" s="20">
        <v>29550677</v>
      </c>
      <c r="AB53" s="20">
        <v>1</v>
      </c>
      <c r="AC53" s="20"/>
      <c r="AD53" s="20">
        <v>3</v>
      </c>
      <c r="AE53" s="20">
        <f t="shared" si="1"/>
        <v>68</v>
      </c>
      <c r="AF53" s="20">
        <v>22</v>
      </c>
      <c r="AG53" s="20">
        <v>46</v>
      </c>
      <c r="AH53" s="20" t="s">
        <v>2845</v>
      </c>
      <c r="AI53" s="20" t="s">
        <v>2845</v>
      </c>
      <c r="AJ53" s="20">
        <v>33</v>
      </c>
      <c r="AK53" s="20">
        <v>14.4</v>
      </c>
      <c r="AL53" s="20">
        <v>25.9</v>
      </c>
      <c r="AM53" s="20">
        <v>8.8000000000000007</v>
      </c>
      <c r="AN53" s="20" t="s">
        <v>2980</v>
      </c>
      <c r="AO53" s="20" t="s">
        <v>1770</v>
      </c>
      <c r="AP53" s="20" t="s">
        <v>2981</v>
      </c>
      <c r="AQ53" s="20" t="s">
        <v>2979</v>
      </c>
      <c r="AR53" s="20" t="s">
        <v>2982</v>
      </c>
      <c r="AS53" s="20" t="s">
        <v>1639</v>
      </c>
      <c r="AT53" s="20" t="s">
        <v>1646</v>
      </c>
      <c r="AU53" s="20" t="s">
        <v>2985</v>
      </c>
      <c r="AV53" s="20" t="s">
        <v>2907</v>
      </c>
      <c r="AW53" s="20"/>
      <c r="AX53" s="20"/>
      <c r="AY53" s="20" t="s">
        <v>2983</v>
      </c>
      <c r="AZ53" s="20">
        <v>0.99739999999999995</v>
      </c>
      <c r="BA53" s="20"/>
      <c r="BB53" s="20"/>
      <c r="BC53" s="20" t="s">
        <v>2984</v>
      </c>
      <c r="BD53" s="20">
        <v>0.99428000000000005</v>
      </c>
      <c r="BE53" s="20"/>
      <c r="BF53" s="20"/>
      <c r="BG53" s="65" t="s">
        <v>2986</v>
      </c>
    </row>
    <row r="54" spans="1:59" x14ac:dyDescent="0.2">
      <c r="A54" s="7">
        <v>18</v>
      </c>
      <c r="B54" s="7" t="s">
        <v>144</v>
      </c>
      <c r="C54" s="7" t="s">
        <v>145</v>
      </c>
      <c r="D54" s="7" t="s">
        <v>146</v>
      </c>
      <c r="E54" s="7" t="s">
        <v>147</v>
      </c>
      <c r="F54" s="7" t="s">
        <v>111</v>
      </c>
      <c r="G54" s="7">
        <v>2018</v>
      </c>
      <c r="H54" s="8">
        <v>43159</v>
      </c>
      <c r="I54" s="7" t="s">
        <v>32</v>
      </c>
      <c r="J54" s="7" t="s">
        <v>32</v>
      </c>
      <c r="K54" s="7" t="s">
        <v>148</v>
      </c>
      <c r="L54" s="7">
        <v>1</v>
      </c>
      <c r="M54" s="7" t="s">
        <v>32</v>
      </c>
      <c r="N54" s="7" t="s">
        <v>34</v>
      </c>
      <c r="O54" s="7" t="s">
        <v>34</v>
      </c>
      <c r="P54" s="7" t="s">
        <v>34</v>
      </c>
      <c r="Q54" s="7" t="s">
        <v>34</v>
      </c>
      <c r="R54" s="7" t="s">
        <v>34</v>
      </c>
      <c r="S54" s="7" t="s">
        <v>34</v>
      </c>
      <c r="T54" s="7" t="s">
        <v>34</v>
      </c>
      <c r="U54" s="7" t="s">
        <v>32</v>
      </c>
      <c r="V54" s="7">
        <v>1</v>
      </c>
      <c r="W54" s="7" t="s">
        <v>32</v>
      </c>
      <c r="X54" s="7" t="s">
        <v>32</v>
      </c>
      <c r="Y54" s="7" t="s">
        <v>32</v>
      </c>
      <c r="Z54" s="7" t="s">
        <v>32</v>
      </c>
      <c r="AA54" s="7">
        <v>29482857</v>
      </c>
      <c r="AB54" s="7">
        <v>1</v>
      </c>
      <c r="AC54" s="7"/>
      <c r="AD54" s="7">
        <v>3</v>
      </c>
      <c r="AE54" s="7">
        <f t="shared" si="1"/>
        <v>81</v>
      </c>
      <c r="AF54" s="7">
        <v>15</v>
      </c>
      <c r="AG54" s="7">
        <v>66</v>
      </c>
      <c r="AH54" s="7" t="s">
        <v>1769</v>
      </c>
      <c r="AI54" s="7" t="s">
        <v>1769</v>
      </c>
      <c r="AJ54" s="7">
        <v>38.9</v>
      </c>
      <c r="AK54" s="7">
        <v>10.3</v>
      </c>
      <c r="AL54" s="7">
        <v>36.4</v>
      </c>
      <c r="AM54" s="7">
        <v>13.2</v>
      </c>
      <c r="AN54" s="7" t="s">
        <v>2988</v>
      </c>
      <c r="AO54" s="7" t="s">
        <v>1638</v>
      </c>
      <c r="AP54" s="7" t="s">
        <v>2987</v>
      </c>
      <c r="AQ54" s="7" t="s">
        <v>2935</v>
      </c>
      <c r="AR54" s="7" t="s">
        <v>1646</v>
      </c>
      <c r="AS54" s="7" t="s">
        <v>2911</v>
      </c>
      <c r="AT54" s="7" t="s">
        <v>1646</v>
      </c>
      <c r="AU54" s="7" t="s">
        <v>2972</v>
      </c>
      <c r="AV54" s="7" t="s">
        <v>2848</v>
      </c>
      <c r="AW54" s="7">
        <v>9</v>
      </c>
      <c r="AX54" s="7">
        <v>8</v>
      </c>
      <c r="AY54" s="7" t="s">
        <v>2914</v>
      </c>
      <c r="AZ54" s="7">
        <v>88.7</v>
      </c>
      <c r="BA54" s="7">
        <v>20</v>
      </c>
      <c r="BB54" s="7"/>
      <c r="BC54" s="7" t="s">
        <v>2933</v>
      </c>
      <c r="BD54" s="7">
        <v>97.7</v>
      </c>
      <c r="BE54" s="74">
        <v>14.2</v>
      </c>
      <c r="BF54" s="7"/>
      <c r="BG54" s="56" t="s">
        <v>2990</v>
      </c>
    </row>
    <row r="55" spans="1:59" x14ac:dyDescent="0.2">
      <c r="A55" s="7">
        <v>18</v>
      </c>
      <c r="B55" s="7" t="s">
        <v>144</v>
      </c>
      <c r="C55" s="7" t="s">
        <v>145</v>
      </c>
      <c r="D55" s="7" t="s">
        <v>146</v>
      </c>
      <c r="E55" s="7" t="s">
        <v>147</v>
      </c>
      <c r="F55" s="7" t="s">
        <v>111</v>
      </c>
      <c r="G55" s="7">
        <v>2018</v>
      </c>
      <c r="H55" s="8">
        <v>43159</v>
      </c>
      <c r="I55" s="7" t="s">
        <v>32</v>
      </c>
      <c r="J55" s="7" t="s">
        <v>32</v>
      </c>
      <c r="K55" s="7" t="s">
        <v>148</v>
      </c>
      <c r="L55" s="7">
        <v>1</v>
      </c>
      <c r="M55" s="7" t="s">
        <v>32</v>
      </c>
      <c r="N55" s="7" t="s">
        <v>34</v>
      </c>
      <c r="O55" s="7" t="s">
        <v>34</v>
      </c>
      <c r="P55" s="7" t="s">
        <v>34</v>
      </c>
      <c r="Q55" s="7" t="s">
        <v>34</v>
      </c>
      <c r="R55" s="7" t="s">
        <v>34</v>
      </c>
      <c r="S55" s="7" t="s">
        <v>34</v>
      </c>
      <c r="T55" s="7" t="s">
        <v>34</v>
      </c>
      <c r="U55" s="7" t="s">
        <v>32</v>
      </c>
      <c r="V55" s="7">
        <v>1</v>
      </c>
      <c r="W55" s="7" t="s">
        <v>32</v>
      </c>
      <c r="X55" s="7" t="s">
        <v>32</v>
      </c>
      <c r="Y55" s="7" t="s">
        <v>32</v>
      </c>
      <c r="Z55" s="7" t="s">
        <v>32</v>
      </c>
      <c r="AA55" s="7">
        <v>29482857</v>
      </c>
      <c r="AB55" s="7">
        <v>1</v>
      </c>
      <c r="AC55" s="7"/>
      <c r="AD55" s="7">
        <v>3</v>
      </c>
      <c r="AE55" s="7">
        <f t="shared" si="1"/>
        <v>81</v>
      </c>
      <c r="AF55" s="7">
        <v>15</v>
      </c>
      <c r="AG55" s="7">
        <v>66</v>
      </c>
      <c r="AH55" s="7" t="s">
        <v>1769</v>
      </c>
      <c r="AI55" s="7" t="s">
        <v>1769</v>
      </c>
      <c r="AJ55" s="7">
        <v>38.9</v>
      </c>
      <c r="AK55" s="7">
        <v>10.3</v>
      </c>
      <c r="AL55" s="7">
        <v>36.4</v>
      </c>
      <c r="AM55" s="7">
        <v>13.2</v>
      </c>
      <c r="AN55" s="7" t="s">
        <v>2988</v>
      </c>
      <c r="AO55" s="7" t="s">
        <v>1638</v>
      </c>
      <c r="AP55" s="7" t="s">
        <v>2987</v>
      </c>
      <c r="AQ55" s="7" t="s">
        <v>2935</v>
      </c>
      <c r="AR55" s="7" t="s">
        <v>1646</v>
      </c>
      <c r="AS55" s="7" t="s">
        <v>2911</v>
      </c>
      <c r="AT55" s="7" t="s">
        <v>1646</v>
      </c>
      <c r="AU55" s="7" t="s">
        <v>2973</v>
      </c>
      <c r="AV55" s="7" t="s">
        <v>2848</v>
      </c>
      <c r="AW55" s="7">
        <v>9</v>
      </c>
      <c r="AX55" s="7">
        <v>8</v>
      </c>
      <c r="AY55" s="7" t="s">
        <v>2915</v>
      </c>
      <c r="AZ55" s="7">
        <v>93.2</v>
      </c>
      <c r="BA55" s="7">
        <v>14.9</v>
      </c>
      <c r="BB55" s="7"/>
      <c r="BC55" s="7" t="s">
        <v>2934</v>
      </c>
      <c r="BD55" s="7">
        <v>101.7</v>
      </c>
      <c r="BE55" s="74">
        <v>15.4</v>
      </c>
      <c r="BF55" s="7"/>
    </row>
    <row r="56" spans="1:59" x14ac:dyDescent="0.2">
      <c r="A56" s="7">
        <v>19</v>
      </c>
      <c r="B56" s="7" t="s">
        <v>149</v>
      </c>
      <c r="C56" s="7" t="s">
        <v>150</v>
      </c>
      <c r="D56" s="7" t="s">
        <v>151</v>
      </c>
      <c r="E56" s="7" t="s">
        <v>152</v>
      </c>
      <c r="F56" s="7" t="s">
        <v>153</v>
      </c>
      <c r="G56" s="7">
        <v>2018</v>
      </c>
      <c r="H56" s="8">
        <v>43100</v>
      </c>
      <c r="I56" s="7" t="s">
        <v>32</v>
      </c>
      <c r="J56" s="7" t="s">
        <v>32</v>
      </c>
      <c r="K56" s="7" t="s">
        <v>154</v>
      </c>
      <c r="L56" s="7">
        <v>1</v>
      </c>
      <c r="M56" s="7" t="s">
        <v>32</v>
      </c>
      <c r="N56" s="7" t="s">
        <v>34</v>
      </c>
      <c r="O56" s="7" t="s">
        <v>34</v>
      </c>
      <c r="P56" s="7" t="s">
        <v>34</v>
      </c>
      <c r="Q56" s="7" t="s">
        <v>34</v>
      </c>
      <c r="R56" s="7" t="s">
        <v>34</v>
      </c>
      <c r="S56" s="7" t="s">
        <v>34</v>
      </c>
      <c r="T56" s="7" t="s">
        <v>34</v>
      </c>
      <c r="U56" s="7" t="s">
        <v>32</v>
      </c>
      <c r="V56" s="7">
        <v>1</v>
      </c>
      <c r="W56" s="7" t="s">
        <v>32</v>
      </c>
      <c r="X56" s="7" t="s">
        <v>32</v>
      </c>
      <c r="Y56" s="7" t="s">
        <v>32</v>
      </c>
      <c r="Z56" s="7" t="s">
        <v>32</v>
      </c>
      <c r="AA56" s="7">
        <v>29287830</v>
      </c>
      <c r="AB56" s="7">
        <v>1</v>
      </c>
      <c r="AC56" s="7"/>
      <c r="AD56" s="7">
        <v>3</v>
      </c>
      <c r="AE56" s="7">
        <f t="shared" si="1"/>
        <v>42</v>
      </c>
      <c r="AF56" s="7">
        <v>21</v>
      </c>
      <c r="AG56" s="7">
        <v>21</v>
      </c>
      <c r="AH56" s="7" t="s">
        <v>2845</v>
      </c>
      <c r="AI56" s="7" t="s">
        <v>2845</v>
      </c>
      <c r="AJ56" s="7">
        <v>34.6</v>
      </c>
      <c r="AK56" s="7">
        <v>11.9</v>
      </c>
      <c r="AL56" s="7">
        <v>34.200000000000003</v>
      </c>
      <c r="AM56" s="7">
        <v>11.8</v>
      </c>
      <c r="AN56" s="7" t="s">
        <v>2947</v>
      </c>
      <c r="AO56" s="7" t="s">
        <v>1638</v>
      </c>
      <c r="AP56" s="7" t="s">
        <v>2846</v>
      </c>
      <c r="AQ56" s="7" t="s">
        <v>2991</v>
      </c>
      <c r="AR56" s="7" t="s">
        <v>1646</v>
      </c>
      <c r="AS56" s="7" t="s">
        <v>2992</v>
      </c>
      <c r="AT56" s="7" t="s">
        <v>1646</v>
      </c>
      <c r="AU56" s="7" t="s">
        <v>3006</v>
      </c>
      <c r="AV56" s="7" t="s">
        <v>2848</v>
      </c>
      <c r="AW56" s="7">
        <v>10</v>
      </c>
      <c r="AX56" s="7">
        <v>9</v>
      </c>
      <c r="AY56" s="7" t="s">
        <v>2993</v>
      </c>
      <c r="AZ56" s="7">
        <v>1.24</v>
      </c>
      <c r="BA56" s="7">
        <v>0.94</v>
      </c>
      <c r="BB56" s="7"/>
      <c r="BC56" s="7" t="s">
        <v>3009</v>
      </c>
      <c r="BD56" s="7">
        <v>1.33</v>
      </c>
      <c r="BE56" s="74">
        <v>0.97</v>
      </c>
      <c r="BF56" s="7"/>
    </row>
    <row r="57" spans="1:59" x14ac:dyDescent="0.2">
      <c r="A57" s="7">
        <v>19</v>
      </c>
      <c r="B57" s="7" t="s">
        <v>149</v>
      </c>
      <c r="C57" s="7" t="s">
        <v>150</v>
      </c>
      <c r="D57" s="7" t="s">
        <v>151</v>
      </c>
      <c r="E57" s="7" t="s">
        <v>152</v>
      </c>
      <c r="F57" s="7" t="s">
        <v>153</v>
      </c>
      <c r="G57" s="7">
        <v>2018</v>
      </c>
      <c r="H57" s="8">
        <v>43100</v>
      </c>
      <c r="I57" s="7" t="s">
        <v>32</v>
      </c>
      <c r="J57" s="7" t="s">
        <v>32</v>
      </c>
      <c r="K57" s="7" t="s">
        <v>154</v>
      </c>
      <c r="L57" s="7">
        <v>1</v>
      </c>
      <c r="M57" s="7" t="s">
        <v>32</v>
      </c>
      <c r="N57" s="7" t="s">
        <v>34</v>
      </c>
      <c r="O57" s="7" t="s">
        <v>34</v>
      </c>
      <c r="P57" s="7" t="s">
        <v>34</v>
      </c>
      <c r="Q57" s="7" t="s">
        <v>34</v>
      </c>
      <c r="R57" s="7" t="s">
        <v>34</v>
      </c>
      <c r="S57" s="7" t="s">
        <v>34</v>
      </c>
      <c r="T57" s="7" t="s">
        <v>34</v>
      </c>
      <c r="U57" s="7" t="s">
        <v>32</v>
      </c>
      <c r="V57" s="7">
        <v>1</v>
      </c>
      <c r="W57" s="7" t="s">
        <v>32</v>
      </c>
      <c r="X57" s="7" t="s">
        <v>32</v>
      </c>
      <c r="Y57" s="7" t="s">
        <v>32</v>
      </c>
      <c r="Z57" s="7" t="s">
        <v>32</v>
      </c>
      <c r="AA57" s="7">
        <v>29287830</v>
      </c>
      <c r="AB57" s="7">
        <v>1</v>
      </c>
      <c r="AC57" s="7"/>
      <c r="AD57" s="7">
        <v>3</v>
      </c>
      <c r="AE57" s="7">
        <f t="shared" si="1"/>
        <v>42</v>
      </c>
      <c r="AF57" s="7">
        <v>21</v>
      </c>
      <c r="AG57" s="7">
        <v>21</v>
      </c>
      <c r="AH57" s="7" t="s">
        <v>2845</v>
      </c>
      <c r="AI57" s="7" t="s">
        <v>2845</v>
      </c>
      <c r="AJ57" s="7">
        <v>34.6</v>
      </c>
      <c r="AK57" s="7">
        <v>11.9</v>
      </c>
      <c r="AL57" s="7">
        <v>34.200000000000003</v>
      </c>
      <c r="AM57" s="7">
        <v>11.8</v>
      </c>
      <c r="AN57" s="7" t="s">
        <v>2947</v>
      </c>
      <c r="AO57" s="7" t="s">
        <v>1638</v>
      </c>
      <c r="AP57" s="7" t="s">
        <v>2846</v>
      </c>
      <c r="AQ57" s="7" t="s">
        <v>2991</v>
      </c>
      <c r="AR57" s="7" t="s">
        <v>1646</v>
      </c>
      <c r="AS57" s="7" t="s">
        <v>2992</v>
      </c>
      <c r="AT57" s="7" t="s">
        <v>1646</v>
      </c>
      <c r="AU57" s="7" t="s">
        <v>3007</v>
      </c>
      <c r="AV57" s="7" t="s">
        <v>2848</v>
      </c>
      <c r="AW57" s="7">
        <v>10</v>
      </c>
      <c r="AX57" s="7">
        <v>9</v>
      </c>
      <c r="AY57" s="7" t="s">
        <v>2994</v>
      </c>
      <c r="AZ57" s="7">
        <v>1.52</v>
      </c>
      <c r="BA57" s="7">
        <v>0.81</v>
      </c>
      <c r="BB57" s="7"/>
      <c r="BC57" s="7" t="s">
        <v>3010</v>
      </c>
      <c r="BD57" s="7">
        <v>1.71</v>
      </c>
      <c r="BE57" s="74">
        <v>0.46</v>
      </c>
      <c r="BF57" s="7"/>
    </row>
    <row r="58" spans="1:59" x14ac:dyDescent="0.2">
      <c r="A58" s="7">
        <v>19</v>
      </c>
      <c r="B58" s="7" t="s">
        <v>149</v>
      </c>
      <c r="C58" s="7" t="s">
        <v>150</v>
      </c>
      <c r="D58" s="7" t="s">
        <v>151</v>
      </c>
      <c r="E58" s="7" t="s">
        <v>152</v>
      </c>
      <c r="F58" s="7" t="s">
        <v>153</v>
      </c>
      <c r="G58" s="7">
        <v>2018</v>
      </c>
      <c r="H58" s="8">
        <v>43100</v>
      </c>
      <c r="I58" s="7" t="s">
        <v>32</v>
      </c>
      <c r="J58" s="7" t="s">
        <v>32</v>
      </c>
      <c r="K58" s="7" t="s">
        <v>154</v>
      </c>
      <c r="L58" s="7">
        <v>1</v>
      </c>
      <c r="M58" s="7" t="s">
        <v>32</v>
      </c>
      <c r="N58" s="7" t="s">
        <v>34</v>
      </c>
      <c r="O58" s="7" t="s">
        <v>34</v>
      </c>
      <c r="P58" s="7" t="s">
        <v>34</v>
      </c>
      <c r="Q58" s="7" t="s">
        <v>34</v>
      </c>
      <c r="R58" s="7" t="s">
        <v>34</v>
      </c>
      <c r="S58" s="7" t="s">
        <v>34</v>
      </c>
      <c r="T58" s="7" t="s">
        <v>34</v>
      </c>
      <c r="U58" s="7" t="s">
        <v>32</v>
      </c>
      <c r="V58" s="7">
        <v>1</v>
      </c>
      <c r="W58" s="7" t="s">
        <v>32</v>
      </c>
      <c r="X58" s="7" t="s">
        <v>32</v>
      </c>
      <c r="Y58" s="7" t="s">
        <v>32</v>
      </c>
      <c r="Z58" s="7" t="s">
        <v>32</v>
      </c>
      <c r="AA58" s="7">
        <v>29287830</v>
      </c>
      <c r="AB58" s="7">
        <v>1</v>
      </c>
      <c r="AC58" s="7"/>
      <c r="AD58" s="7">
        <v>3</v>
      </c>
      <c r="AE58" s="7">
        <f t="shared" si="1"/>
        <v>42</v>
      </c>
      <c r="AF58" s="7">
        <v>21</v>
      </c>
      <c r="AG58" s="7">
        <v>21</v>
      </c>
      <c r="AH58" s="7" t="s">
        <v>2845</v>
      </c>
      <c r="AI58" s="7" t="s">
        <v>2845</v>
      </c>
      <c r="AJ58" s="7">
        <v>34.6</v>
      </c>
      <c r="AK58" s="7">
        <v>11.9</v>
      </c>
      <c r="AL58" s="7">
        <v>34.200000000000003</v>
      </c>
      <c r="AM58" s="7">
        <v>11.8</v>
      </c>
      <c r="AN58" s="7" t="s">
        <v>2947</v>
      </c>
      <c r="AO58" s="7" t="s">
        <v>1638</v>
      </c>
      <c r="AP58" s="7" t="s">
        <v>2846</v>
      </c>
      <c r="AQ58" s="7" t="s">
        <v>2991</v>
      </c>
      <c r="AR58" s="7" t="s">
        <v>1646</v>
      </c>
      <c r="AS58" s="7" t="s">
        <v>2992</v>
      </c>
      <c r="AT58" s="7" t="s">
        <v>1646</v>
      </c>
      <c r="AU58" s="7" t="s">
        <v>3006</v>
      </c>
      <c r="AV58" s="7" t="s">
        <v>2848</v>
      </c>
      <c r="AW58" s="7">
        <v>10</v>
      </c>
      <c r="AX58" s="7">
        <v>9</v>
      </c>
      <c r="AY58" s="7" t="s">
        <v>2995</v>
      </c>
      <c r="AZ58" s="7">
        <v>1.71</v>
      </c>
      <c r="BA58" s="7">
        <v>0.46</v>
      </c>
      <c r="BB58" s="7"/>
      <c r="BC58" s="7" t="s">
        <v>3011</v>
      </c>
      <c r="BD58" s="7">
        <v>1.86</v>
      </c>
      <c r="BE58" s="74">
        <v>0.36</v>
      </c>
      <c r="BF58" s="7"/>
    </row>
    <row r="59" spans="1:59" x14ac:dyDescent="0.2">
      <c r="A59" s="7">
        <v>19</v>
      </c>
      <c r="B59" s="7" t="s">
        <v>149</v>
      </c>
      <c r="C59" s="7" t="s">
        <v>150</v>
      </c>
      <c r="D59" s="7" t="s">
        <v>151</v>
      </c>
      <c r="E59" s="7" t="s">
        <v>152</v>
      </c>
      <c r="F59" s="7" t="s">
        <v>153</v>
      </c>
      <c r="G59" s="7">
        <v>2018</v>
      </c>
      <c r="H59" s="8">
        <v>43100</v>
      </c>
      <c r="I59" s="7" t="s">
        <v>32</v>
      </c>
      <c r="J59" s="7" t="s">
        <v>32</v>
      </c>
      <c r="K59" s="7" t="s">
        <v>154</v>
      </c>
      <c r="L59" s="7">
        <v>1</v>
      </c>
      <c r="M59" s="7" t="s">
        <v>32</v>
      </c>
      <c r="N59" s="7" t="s">
        <v>34</v>
      </c>
      <c r="O59" s="7" t="s">
        <v>34</v>
      </c>
      <c r="P59" s="7" t="s">
        <v>34</v>
      </c>
      <c r="Q59" s="7" t="s">
        <v>34</v>
      </c>
      <c r="R59" s="7" t="s">
        <v>34</v>
      </c>
      <c r="S59" s="7" t="s">
        <v>34</v>
      </c>
      <c r="T59" s="7" t="s">
        <v>34</v>
      </c>
      <c r="U59" s="7" t="s">
        <v>32</v>
      </c>
      <c r="V59" s="7">
        <v>1</v>
      </c>
      <c r="W59" s="7" t="s">
        <v>32</v>
      </c>
      <c r="X59" s="7" t="s">
        <v>32</v>
      </c>
      <c r="Y59" s="7" t="s">
        <v>32</v>
      </c>
      <c r="Z59" s="7" t="s">
        <v>32</v>
      </c>
      <c r="AA59" s="7">
        <v>29287830</v>
      </c>
      <c r="AB59" s="7">
        <v>1</v>
      </c>
      <c r="AC59" s="7"/>
      <c r="AD59" s="7">
        <v>3</v>
      </c>
      <c r="AE59" s="7">
        <f t="shared" si="1"/>
        <v>42</v>
      </c>
      <c r="AF59" s="7">
        <v>21</v>
      </c>
      <c r="AG59" s="7">
        <v>21</v>
      </c>
      <c r="AH59" s="7" t="s">
        <v>2845</v>
      </c>
      <c r="AI59" s="7" t="s">
        <v>2845</v>
      </c>
      <c r="AJ59" s="7">
        <v>34.6</v>
      </c>
      <c r="AK59" s="7">
        <v>11.9</v>
      </c>
      <c r="AL59" s="7">
        <v>34.200000000000003</v>
      </c>
      <c r="AM59" s="7">
        <v>11.8</v>
      </c>
      <c r="AN59" s="7" t="s">
        <v>2947</v>
      </c>
      <c r="AO59" s="7" t="s">
        <v>1638</v>
      </c>
      <c r="AP59" s="7" t="s">
        <v>2846</v>
      </c>
      <c r="AQ59" s="7" t="s">
        <v>2991</v>
      </c>
      <c r="AR59" s="7" t="s">
        <v>1646</v>
      </c>
      <c r="AS59" s="7" t="s">
        <v>2992</v>
      </c>
      <c r="AT59" s="7" t="s">
        <v>1646</v>
      </c>
      <c r="AU59" s="7" t="s">
        <v>3007</v>
      </c>
      <c r="AV59" s="7" t="s">
        <v>2848</v>
      </c>
      <c r="AW59" s="7">
        <v>10</v>
      </c>
      <c r="AX59" s="7">
        <v>9</v>
      </c>
      <c r="AY59" s="7" t="s">
        <v>2996</v>
      </c>
      <c r="AZ59" s="7">
        <v>1.95</v>
      </c>
      <c r="BA59" s="7">
        <v>0.22</v>
      </c>
      <c r="BB59" s="7"/>
      <c r="BC59" s="7" t="s">
        <v>3012</v>
      </c>
      <c r="BD59" s="7">
        <v>1.81</v>
      </c>
      <c r="BE59" s="74">
        <v>0.4</v>
      </c>
      <c r="BF59" s="7"/>
    </row>
    <row r="60" spans="1:59" x14ac:dyDescent="0.2">
      <c r="A60" s="7">
        <v>19</v>
      </c>
      <c r="B60" s="7" t="s">
        <v>149</v>
      </c>
      <c r="C60" s="7" t="s">
        <v>150</v>
      </c>
      <c r="D60" s="7" t="s">
        <v>151</v>
      </c>
      <c r="E60" s="7" t="s">
        <v>152</v>
      </c>
      <c r="F60" s="7" t="s">
        <v>153</v>
      </c>
      <c r="G60" s="7">
        <v>2018</v>
      </c>
      <c r="H60" s="8">
        <v>43100</v>
      </c>
      <c r="I60" s="7" t="s">
        <v>32</v>
      </c>
      <c r="J60" s="7" t="s">
        <v>32</v>
      </c>
      <c r="K60" s="7" t="s">
        <v>154</v>
      </c>
      <c r="L60" s="7">
        <v>1</v>
      </c>
      <c r="M60" s="7" t="s">
        <v>32</v>
      </c>
      <c r="N60" s="7" t="s">
        <v>34</v>
      </c>
      <c r="O60" s="7" t="s">
        <v>34</v>
      </c>
      <c r="P60" s="7" t="s">
        <v>34</v>
      </c>
      <c r="Q60" s="7" t="s">
        <v>34</v>
      </c>
      <c r="R60" s="7" t="s">
        <v>34</v>
      </c>
      <c r="S60" s="7" t="s">
        <v>34</v>
      </c>
      <c r="T60" s="7" t="s">
        <v>34</v>
      </c>
      <c r="U60" s="7" t="s">
        <v>32</v>
      </c>
      <c r="V60" s="7">
        <v>1</v>
      </c>
      <c r="W60" s="7" t="s">
        <v>32</v>
      </c>
      <c r="X60" s="7" t="s">
        <v>32</v>
      </c>
      <c r="Y60" s="7" t="s">
        <v>32</v>
      </c>
      <c r="Z60" s="7" t="s">
        <v>32</v>
      </c>
      <c r="AA60" s="7">
        <v>29287830</v>
      </c>
      <c r="AB60" s="7">
        <v>1</v>
      </c>
      <c r="AC60" s="7"/>
      <c r="AD60" s="7">
        <v>3</v>
      </c>
      <c r="AE60" s="7">
        <f t="shared" si="1"/>
        <v>42</v>
      </c>
      <c r="AF60" s="7">
        <v>21</v>
      </c>
      <c r="AG60" s="7">
        <v>21</v>
      </c>
      <c r="AH60" s="7" t="s">
        <v>2845</v>
      </c>
      <c r="AI60" s="7" t="s">
        <v>2845</v>
      </c>
      <c r="AJ60" s="7">
        <v>34.6</v>
      </c>
      <c r="AK60" s="7">
        <v>11.9</v>
      </c>
      <c r="AL60" s="7">
        <v>34.200000000000003</v>
      </c>
      <c r="AM60" s="7">
        <v>11.8</v>
      </c>
      <c r="AN60" s="7" t="s">
        <v>2947</v>
      </c>
      <c r="AO60" s="7" t="s">
        <v>1638</v>
      </c>
      <c r="AP60" s="7" t="s">
        <v>2846</v>
      </c>
      <c r="AQ60" s="7" t="s">
        <v>2991</v>
      </c>
      <c r="AR60" s="7" t="s">
        <v>1646</v>
      </c>
      <c r="AS60" s="7" t="s">
        <v>2992</v>
      </c>
      <c r="AT60" s="7" t="s">
        <v>1646</v>
      </c>
      <c r="AU60" s="7" t="s">
        <v>3007</v>
      </c>
      <c r="AV60" s="7" t="s">
        <v>2848</v>
      </c>
      <c r="AW60" s="7">
        <v>10</v>
      </c>
      <c r="AX60" s="7">
        <v>9</v>
      </c>
      <c r="AY60" s="7" t="s">
        <v>2997</v>
      </c>
      <c r="AZ60" s="7">
        <v>1.71</v>
      </c>
      <c r="BA60" s="7">
        <v>0.46</v>
      </c>
      <c r="BB60" s="7"/>
      <c r="BC60" s="7" t="s">
        <v>3013</v>
      </c>
      <c r="BD60" s="7">
        <v>1.81</v>
      </c>
      <c r="BE60" s="74">
        <v>0.51</v>
      </c>
      <c r="BF60" s="7"/>
    </row>
    <row r="61" spans="1:59" x14ac:dyDescent="0.2">
      <c r="A61" s="7">
        <v>19</v>
      </c>
      <c r="B61" s="7" t="s">
        <v>149</v>
      </c>
      <c r="C61" s="7" t="s">
        <v>150</v>
      </c>
      <c r="D61" s="7" t="s">
        <v>151</v>
      </c>
      <c r="E61" s="7" t="s">
        <v>152</v>
      </c>
      <c r="F61" s="7" t="s">
        <v>153</v>
      </c>
      <c r="G61" s="7">
        <v>2018</v>
      </c>
      <c r="H61" s="8">
        <v>43100</v>
      </c>
      <c r="I61" s="7" t="s">
        <v>32</v>
      </c>
      <c r="J61" s="7" t="s">
        <v>32</v>
      </c>
      <c r="K61" s="7" t="s">
        <v>154</v>
      </c>
      <c r="L61" s="7">
        <v>1</v>
      </c>
      <c r="M61" s="7" t="s">
        <v>32</v>
      </c>
      <c r="N61" s="7" t="s">
        <v>34</v>
      </c>
      <c r="O61" s="7" t="s">
        <v>34</v>
      </c>
      <c r="P61" s="7" t="s">
        <v>34</v>
      </c>
      <c r="Q61" s="7" t="s">
        <v>34</v>
      </c>
      <c r="R61" s="7" t="s">
        <v>34</v>
      </c>
      <c r="S61" s="7" t="s">
        <v>34</v>
      </c>
      <c r="T61" s="7" t="s">
        <v>34</v>
      </c>
      <c r="U61" s="7" t="s">
        <v>32</v>
      </c>
      <c r="V61" s="7">
        <v>1</v>
      </c>
      <c r="W61" s="7" t="s">
        <v>32</v>
      </c>
      <c r="X61" s="7" t="s">
        <v>32</v>
      </c>
      <c r="Y61" s="7" t="s">
        <v>32</v>
      </c>
      <c r="Z61" s="7" t="s">
        <v>32</v>
      </c>
      <c r="AA61" s="7">
        <v>29287830</v>
      </c>
      <c r="AB61" s="7">
        <v>1</v>
      </c>
      <c r="AC61" s="7"/>
      <c r="AD61" s="7">
        <v>3</v>
      </c>
      <c r="AE61" s="7">
        <f t="shared" si="1"/>
        <v>42</v>
      </c>
      <c r="AF61" s="7">
        <v>21</v>
      </c>
      <c r="AG61" s="7">
        <v>21</v>
      </c>
      <c r="AH61" s="7" t="s">
        <v>2845</v>
      </c>
      <c r="AI61" s="7" t="s">
        <v>2845</v>
      </c>
      <c r="AJ61" s="7">
        <v>34.6</v>
      </c>
      <c r="AK61" s="7">
        <v>11.9</v>
      </c>
      <c r="AL61" s="7">
        <v>34.200000000000003</v>
      </c>
      <c r="AM61" s="7">
        <v>11.8</v>
      </c>
      <c r="AN61" s="7" t="s">
        <v>2947</v>
      </c>
      <c r="AO61" s="7" t="s">
        <v>1638</v>
      </c>
      <c r="AP61" s="7" t="s">
        <v>2846</v>
      </c>
      <c r="AQ61" s="7" t="s">
        <v>2991</v>
      </c>
      <c r="AR61" s="7" t="s">
        <v>1646</v>
      </c>
      <c r="AS61" s="7" t="s">
        <v>2992</v>
      </c>
      <c r="AT61" s="7" t="s">
        <v>1646</v>
      </c>
      <c r="AU61" s="7" t="s">
        <v>3007</v>
      </c>
      <c r="AV61" s="7" t="s">
        <v>2848</v>
      </c>
      <c r="AW61" s="7">
        <v>10</v>
      </c>
      <c r="AX61" s="7">
        <v>9</v>
      </c>
      <c r="AY61" s="7" t="s">
        <v>2998</v>
      </c>
      <c r="AZ61" s="7">
        <v>1.76</v>
      </c>
      <c r="BA61" s="7">
        <v>0.44</v>
      </c>
      <c r="BB61" s="7"/>
      <c r="BC61" s="7" t="s">
        <v>3014</v>
      </c>
      <c r="BD61" s="7">
        <v>1.71</v>
      </c>
      <c r="BE61" s="74">
        <v>0.51</v>
      </c>
      <c r="BF61" s="7"/>
    </row>
    <row r="62" spans="1:59" x14ac:dyDescent="0.2">
      <c r="A62" s="7">
        <v>19</v>
      </c>
      <c r="B62" s="7" t="s">
        <v>149</v>
      </c>
      <c r="C62" s="7" t="s">
        <v>150</v>
      </c>
      <c r="D62" s="7" t="s">
        <v>151</v>
      </c>
      <c r="E62" s="7" t="s">
        <v>152</v>
      </c>
      <c r="F62" s="7" t="s">
        <v>153</v>
      </c>
      <c r="G62" s="7">
        <v>2018</v>
      </c>
      <c r="H62" s="8">
        <v>43100</v>
      </c>
      <c r="I62" s="7" t="s">
        <v>32</v>
      </c>
      <c r="J62" s="7" t="s">
        <v>32</v>
      </c>
      <c r="K62" s="7" t="s">
        <v>154</v>
      </c>
      <c r="L62" s="7">
        <v>1</v>
      </c>
      <c r="M62" s="7" t="s">
        <v>32</v>
      </c>
      <c r="N62" s="7" t="s">
        <v>34</v>
      </c>
      <c r="O62" s="7" t="s">
        <v>34</v>
      </c>
      <c r="P62" s="7" t="s">
        <v>34</v>
      </c>
      <c r="Q62" s="7" t="s">
        <v>34</v>
      </c>
      <c r="R62" s="7" t="s">
        <v>34</v>
      </c>
      <c r="S62" s="7" t="s">
        <v>34</v>
      </c>
      <c r="T62" s="7" t="s">
        <v>34</v>
      </c>
      <c r="U62" s="7" t="s">
        <v>32</v>
      </c>
      <c r="V62" s="7">
        <v>1</v>
      </c>
      <c r="W62" s="7" t="s">
        <v>32</v>
      </c>
      <c r="X62" s="7" t="s">
        <v>32</v>
      </c>
      <c r="Y62" s="7" t="s">
        <v>32</v>
      </c>
      <c r="Z62" s="7" t="s">
        <v>32</v>
      </c>
      <c r="AA62" s="7">
        <v>29287830</v>
      </c>
      <c r="AB62" s="7">
        <v>1</v>
      </c>
      <c r="AC62" s="7"/>
      <c r="AD62" s="7">
        <v>3</v>
      </c>
      <c r="AE62" s="7">
        <f t="shared" si="1"/>
        <v>42</v>
      </c>
      <c r="AF62" s="7">
        <v>21</v>
      </c>
      <c r="AG62" s="7">
        <v>21</v>
      </c>
      <c r="AH62" s="7" t="s">
        <v>2845</v>
      </c>
      <c r="AI62" s="7" t="s">
        <v>2845</v>
      </c>
      <c r="AJ62" s="7">
        <v>34.6</v>
      </c>
      <c r="AK62" s="7">
        <v>11.9</v>
      </c>
      <c r="AL62" s="7">
        <v>34.200000000000003</v>
      </c>
      <c r="AM62" s="7">
        <v>11.8</v>
      </c>
      <c r="AN62" s="7" t="s">
        <v>2947</v>
      </c>
      <c r="AO62" s="7" t="s">
        <v>1638</v>
      </c>
      <c r="AP62" s="7" t="s">
        <v>2846</v>
      </c>
      <c r="AQ62" s="7" t="s">
        <v>2991</v>
      </c>
      <c r="AR62" s="7" t="s">
        <v>1646</v>
      </c>
      <c r="AS62" s="7" t="s">
        <v>2992</v>
      </c>
      <c r="AT62" s="7" t="s">
        <v>1646</v>
      </c>
      <c r="AU62" s="7" t="s">
        <v>3006</v>
      </c>
      <c r="AV62" s="7" t="s">
        <v>2848</v>
      </c>
      <c r="AW62" s="7">
        <v>10</v>
      </c>
      <c r="AX62" s="7">
        <v>9</v>
      </c>
      <c r="AY62" s="7" t="s">
        <v>2999</v>
      </c>
      <c r="AZ62" s="7">
        <v>1.1399999999999999</v>
      </c>
      <c r="BA62" s="7">
        <v>0.79</v>
      </c>
      <c r="BB62" s="7"/>
      <c r="BC62" s="7" t="s">
        <v>3015</v>
      </c>
      <c r="BD62" s="7">
        <v>1.57</v>
      </c>
      <c r="BE62" s="74">
        <v>0.68</v>
      </c>
      <c r="BF62" s="7"/>
    </row>
    <row r="63" spans="1:59" x14ac:dyDescent="0.2">
      <c r="A63" s="7">
        <v>19</v>
      </c>
      <c r="B63" s="7" t="s">
        <v>149</v>
      </c>
      <c r="C63" s="7" t="s">
        <v>150</v>
      </c>
      <c r="D63" s="7" t="s">
        <v>151</v>
      </c>
      <c r="E63" s="7" t="s">
        <v>152</v>
      </c>
      <c r="F63" s="7" t="s">
        <v>153</v>
      </c>
      <c r="G63" s="7">
        <v>2018</v>
      </c>
      <c r="H63" s="8">
        <v>43100</v>
      </c>
      <c r="I63" s="7" t="s">
        <v>32</v>
      </c>
      <c r="J63" s="7" t="s">
        <v>32</v>
      </c>
      <c r="K63" s="7" t="s">
        <v>154</v>
      </c>
      <c r="L63" s="7">
        <v>1</v>
      </c>
      <c r="M63" s="7" t="s">
        <v>32</v>
      </c>
      <c r="N63" s="7" t="s">
        <v>34</v>
      </c>
      <c r="O63" s="7" t="s">
        <v>34</v>
      </c>
      <c r="P63" s="7" t="s">
        <v>34</v>
      </c>
      <c r="Q63" s="7" t="s">
        <v>34</v>
      </c>
      <c r="R63" s="7" t="s">
        <v>34</v>
      </c>
      <c r="S63" s="7" t="s">
        <v>34</v>
      </c>
      <c r="T63" s="7" t="s">
        <v>34</v>
      </c>
      <c r="U63" s="7" t="s">
        <v>32</v>
      </c>
      <c r="V63" s="7">
        <v>1</v>
      </c>
      <c r="W63" s="7" t="s">
        <v>32</v>
      </c>
      <c r="X63" s="7" t="s">
        <v>32</v>
      </c>
      <c r="Y63" s="7" t="s">
        <v>32</v>
      </c>
      <c r="Z63" s="7" t="s">
        <v>32</v>
      </c>
      <c r="AA63" s="7">
        <v>29287830</v>
      </c>
      <c r="AB63" s="7">
        <v>1</v>
      </c>
      <c r="AC63" s="7"/>
      <c r="AD63" s="7">
        <v>3</v>
      </c>
      <c r="AE63" s="7">
        <f t="shared" si="1"/>
        <v>42</v>
      </c>
      <c r="AF63" s="7">
        <v>21</v>
      </c>
      <c r="AG63" s="7">
        <v>21</v>
      </c>
      <c r="AH63" s="7" t="s">
        <v>2845</v>
      </c>
      <c r="AI63" s="7" t="s">
        <v>2845</v>
      </c>
      <c r="AJ63" s="7">
        <v>34.6</v>
      </c>
      <c r="AK63" s="7">
        <v>11.9</v>
      </c>
      <c r="AL63" s="7">
        <v>34.200000000000003</v>
      </c>
      <c r="AM63" s="7">
        <v>11.8</v>
      </c>
      <c r="AN63" s="7" t="s">
        <v>2947</v>
      </c>
      <c r="AO63" s="7" t="s">
        <v>1638</v>
      </c>
      <c r="AP63" s="7" t="s">
        <v>2846</v>
      </c>
      <c r="AQ63" s="7" t="s">
        <v>2991</v>
      </c>
      <c r="AR63" s="7" t="s">
        <v>1646</v>
      </c>
      <c r="AS63" s="7" t="s">
        <v>2992</v>
      </c>
      <c r="AT63" s="7" t="s">
        <v>1646</v>
      </c>
      <c r="AU63" s="7" t="s">
        <v>3007</v>
      </c>
      <c r="AV63" s="7" t="s">
        <v>2848</v>
      </c>
      <c r="AW63" s="7">
        <v>10</v>
      </c>
      <c r="AX63" s="7">
        <v>9</v>
      </c>
      <c r="AY63" s="7" t="s">
        <v>3000</v>
      </c>
      <c r="AZ63" s="7">
        <v>1.86</v>
      </c>
      <c r="BA63" s="7">
        <v>0.36</v>
      </c>
      <c r="BB63" s="7"/>
      <c r="BC63" s="7" t="s">
        <v>3016</v>
      </c>
      <c r="BD63" s="7">
        <v>1.95</v>
      </c>
      <c r="BE63" s="74">
        <v>0.22</v>
      </c>
      <c r="BF63" s="7"/>
    </row>
    <row r="64" spans="1:59" x14ac:dyDescent="0.2">
      <c r="A64" s="7">
        <v>19</v>
      </c>
      <c r="B64" s="7" t="s">
        <v>149</v>
      </c>
      <c r="C64" s="7" t="s">
        <v>150</v>
      </c>
      <c r="D64" s="7" t="s">
        <v>151</v>
      </c>
      <c r="E64" s="7" t="s">
        <v>152</v>
      </c>
      <c r="F64" s="7" t="s">
        <v>153</v>
      </c>
      <c r="G64" s="7">
        <v>2018</v>
      </c>
      <c r="H64" s="8">
        <v>43100</v>
      </c>
      <c r="I64" s="7" t="s">
        <v>32</v>
      </c>
      <c r="J64" s="7" t="s">
        <v>32</v>
      </c>
      <c r="K64" s="7" t="s">
        <v>154</v>
      </c>
      <c r="L64" s="7">
        <v>1</v>
      </c>
      <c r="M64" s="7" t="s">
        <v>32</v>
      </c>
      <c r="N64" s="7" t="s">
        <v>34</v>
      </c>
      <c r="O64" s="7" t="s">
        <v>34</v>
      </c>
      <c r="P64" s="7" t="s">
        <v>34</v>
      </c>
      <c r="Q64" s="7" t="s">
        <v>34</v>
      </c>
      <c r="R64" s="7" t="s">
        <v>34</v>
      </c>
      <c r="S64" s="7" t="s">
        <v>34</v>
      </c>
      <c r="T64" s="7" t="s">
        <v>34</v>
      </c>
      <c r="U64" s="7" t="s">
        <v>32</v>
      </c>
      <c r="V64" s="7">
        <v>1</v>
      </c>
      <c r="W64" s="7" t="s">
        <v>32</v>
      </c>
      <c r="X64" s="7" t="s">
        <v>32</v>
      </c>
      <c r="Y64" s="7" t="s">
        <v>32</v>
      </c>
      <c r="Z64" s="7" t="s">
        <v>32</v>
      </c>
      <c r="AA64" s="7">
        <v>29287830</v>
      </c>
      <c r="AB64" s="7">
        <v>1</v>
      </c>
      <c r="AC64" s="7"/>
      <c r="AD64" s="7">
        <v>3</v>
      </c>
      <c r="AE64" s="7">
        <f t="shared" si="1"/>
        <v>42</v>
      </c>
      <c r="AF64" s="7">
        <v>21</v>
      </c>
      <c r="AG64" s="7">
        <v>21</v>
      </c>
      <c r="AH64" s="7" t="s">
        <v>2845</v>
      </c>
      <c r="AI64" s="7" t="s">
        <v>2845</v>
      </c>
      <c r="AJ64" s="7">
        <v>34.6</v>
      </c>
      <c r="AK64" s="7">
        <v>11.9</v>
      </c>
      <c r="AL64" s="7">
        <v>34.200000000000003</v>
      </c>
      <c r="AM64" s="7">
        <v>11.8</v>
      </c>
      <c r="AN64" s="7" t="s">
        <v>2947</v>
      </c>
      <c r="AO64" s="7" t="s">
        <v>1638</v>
      </c>
      <c r="AP64" s="7" t="s">
        <v>2846</v>
      </c>
      <c r="AQ64" s="7" t="s">
        <v>2991</v>
      </c>
      <c r="AR64" s="7" t="s">
        <v>1646</v>
      </c>
      <c r="AS64" s="7" t="s">
        <v>2992</v>
      </c>
      <c r="AT64" s="7" t="s">
        <v>1646</v>
      </c>
      <c r="AU64" s="7" t="s">
        <v>3006</v>
      </c>
      <c r="AV64" s="7" t="s">
        <v>2848</v>
      </c>
      <c r="AW64" s="7">
        <v>10</v>
      </c>
      <c r="AX64" s="7">
        <v>9</v>
      </c>
      <c r="AY64" s="7" t="s">
        <v>3001</v>
      </c>
      <c r="AZ64" s="7">
        <v>1.86</v>
      </c>
      <c r="BA64" s="7">
        <v>0.48</v>
      </c>
      <c r="BB64" s="7"/>
      <c r="BC64" s="7" t="s">
        <v>3017</v>
      </c>
      <c r="BD64" s="7">
        <v>2</v>
      </c>
      <c r="BE64" s="74">
        <v>0</v>
      </c>
      <c r="BF64" s="7"/>
    </row>
    <row r="65" spans="1:59" x14ac:dyDescent="0.2">
      <c r="A65" s="7">
        <v>19</v>
      </c>
      <c r="B65" s="7" t="s">
        <v>149</v>
      </c>
      <c r="C65" s="7" t="s">
        <v>150</v>
      </c>
      <c r="D65" s="7" t="s">
        <v>151</v>
      </c>
      <c r="E65" s="7" t="s">
        <v>152</v>
      </c>
      <c r="F65" s="7" t="s">
        <v>153</v>
      </c>
      <c r="G65" s="7">
        <v>2018</v>
      </c>
      <c r="H65" s="8">
        <v>43100</v>
      </c>
      <c r="I65" s="7" t="s">
        <v>32</v>
      </c>
      <c r="J65" s="7" t="s">
        <v>32</v>
      </c>
      <c r="K65" s="7" t="s">
        <v>154</v>
      </c>
      <c r="L65" s="7">
        <v>1</v>
      </c>
      <c r="M65" s="7" t="s">
        <v>32</v>
      </c>
      <c r="N65" s="7" t="s">
        <v>34</v>
      </c>
      <c r="O65" s="7" t="s">
        <v>34</v>
      </c>
      <c r="P65" s="7" t="s">
        <v>34</v>
      </c>
      <c r="Q65" s="7" t="s">
        <v>34</v>
      </c>
      <c r="R65" s="7" t="s">
        <v>34</v>
      </c>
      <c r="S65" s="7" t="s">
        <v>34</v>
      </c>
      <c r="T65" s="7" t="s">
        <v>34</v>
      </c>
      <c r="U65" s="7" t="s">
        <v>32</v>
      </c>
      <c r="V65" s="7">
        <v>1</v>
      </c>
      <c r="W65" s="7" t="s">
        <v>32</v>
      </c>
      <c r="X65" s="7" t="s">
        <v>32</v>
      </c>
      <c r="Y65" s="7" t="s">
        <v>32</v>
      </c>
      <c r="Z65" s="7" t="s">
        <v>32</v>
      </c>
      <c r="AA65" s="7">
        <v>29287830</v>
      </c>
      <c r="AB65" s="7">
        <v>1</v>
      </c>
      <c r="AC65" s="7"/>
      <c r="AD65" s="7">
        <v>3</v>
      </c>
      <c r="AE65" s="7">
        <f t="shared" si="1"/>
        <v>42</v>
      </c>
      <c r="AF65" s="7">
        <v>21</v>
      </c>
      <c r="AG65" s="7">
        <v>21</v>
      </c>
      <c r="AH65" s="7" t="s">
        <v>2845</v>
      </c>
      <c r="AI65" s="7" t="s">
        <v>2845</v>
      </c>
      <c r="AJ65" s="7">
        <v>34.6</v>
      </c>
      <c r="AK65" s="7">
        <v>11.9</v>
      </c>
      <c r="AL65" s="7">
        <v>34.200000000000003</v>
      </c>
      <c r="AM65" s="7">
        <v>11.8</v>
      </c>
      <c r="AN65" s="7" t="s">
        <v>2947</v>
      </c>
      <c r="AO65" s="7" t="s">
        <v>1638</v>
      </c>
      <c r="AP65" s="7" t="s">
        <v>2846</v>
      </c>
      <c r="AQ65" s="7" t="s">
        <v>2991</v>
      </c>
      <c r="AR65" s="7" t="s">
        <v>1646</v>
      </c>
      <c r="AS65" s="7" t="s">
        <v>2992</v>
      </c>
      <c r="AT65" s="7" t="s">
        <v>1646</v>
      </c>
      <c r="AU65" s="7" t="s">
        <v>3007</v>
      </c>
      <c r="AV65" s="7" t="s">
        <v>2848</v>
      </c>
      <c r="AW65" s="7">
        <v>10</v>
      </c>
      <c r="AX65" s="7">
        <v>9</v>
      </c>
      <c r="AY65" s="7" t="s">
        <v>3002</v>
      </c>
      <c r="AZ65" s="7">
        <v>1.67</v>
      </c>
      <c r="BA65" s="7">
        <v>0.48</v>
      </c>
      <c r="BB65" s="7"/>
      <c r="BC65" s="7" t="s">
        <v>3018</v>
      </c>
      <c r="BD65" s="7">
        <v>1.67</v>
      </c>
      <c r="BE65" s="74">
        <v>0.66</v>
      </c>
      <c r="BF65" s="7"/>
    </row>
    <row r="66" spans="1:59" x14ac:dyDescent="0.2">
      <c r="A66" s="7">
        <v>19</v>
      </c>
      <c r="B66" s="7" t="s">
        <v>149</v>
      </c>
      <c r="C66" s="7" t="s">
        <v>150</v>
      </c>
      <c r="D66" s="7" t="s">
        <v>151</v>
      </c>
      <c r="E66" s="7" t="s">
        <v>152</v>
      </c>
      <c r="F66" s="7" t="s">
        <v>153</v>
      </c>
      <c r="G66" s="7">
        <v>2018</v>
      </c>
      <c r="H66" s="8">
        <v>43100</v>
      </c>
      <c r="I66" s="7" t="s">
        <v>32</v>
      </c>
      <c r="J66" s="7" t="s">
        <v>32</v>
      </c>
      <c r="K66" s="7" t="s">
        <v>154</v>
      </c>
      <c r="L66" s="7">
        <v>1</v>
      </c>
      <c r="M66" s="7" t="s">
        <v>32</v>
      </c>
      <c r="N66" s="7" t="s">
        <v>34</v>
      </c>
      <c r="O66" s="7" t="s">
        <v>34</v>
      </c>
      <c r="P66" s="7" t="s">
        <v>34</v>
      </c>
      <c r="Q66" s="7" t="s">
        <v>34</v>
      </c>
      <c r="R66" s="7" t="s">
        <v>34</v>
      </c>
      <c r="S66" s="7" t="s">
        <v>34</v>
      </c>
      <c r="T66" s="7" t="s">
        <v>34</v>
      </c>
      <c r="U66" s="7" t="s">
        <v>32</v>
      </c>
      <c r="V66" s="7">
        <v>1</v>
      </c>
      <c r="W66" s="7" t="s">
        <v>32</v>
      </c>
      <c r="X66" s="7" t="s">
        <v>32</v>
      </c>
      <c r="Y66" s="7" t="s">
        <v>32</v>
      </c>
      <c r="Z66" s="7" t="s">
        <v>32</v>
      </c>
      <c r="AA66" s="7">
        <v>29287830</v>
      </c>
      <c r="AB66" s="7">
        <v>1</v>
      </c>
      <c r="AC66" s="7"/>
      <c r="AD66" s="7">
        <v>3</v>
      </c>
      <c r="AE66" s="7">
        <f t="shared" si="1"/>
        <v>42</v>
      </c>
      <c r="AF66" s="7">
        <v>21</v>
      </c>
      <c r="AG66" s="7">
        <v>21</v>
      </c>
      <c r="AH66" s="7" t="s">
        <v>2845</v>
      </c>
      <c r="AI66" s="7" t="s">
        <v>2845</v>
      </c>
      <c r="AJ66" s="7">
        <v>34.6</v>
      </c>
      <c r="AK66" s="7">
        <v>11.9</v>
      </c>
      <c r="AL66" s="7">
        <v>34.200000000000003</v>
      </c>
      <c r="AM66" s="7">
        <v>11.8</v>
      </c>
      <c r="AN66" s="7" t="s">
        <v>2947</v>
      </c>
      <c r="AO66" s="7" t="s">
        <v>1638</v>
      </c>
      <c r="AP66" s="7" t="s">
        <v>2846</v>
      </c>
      <c r="AQ66" s="7" t="s">
        <v>2991</v>
      </c>
      <c r="AR66" s="7" t="s">
        <v>1646</v>
      </c>
      <c r="AS66" s="7" t="s">
        <v>2992</v>
      </c>
      <c r="AT66" s="7" t="s">
        <v>1646</v>
      </c>
      <c r="AU66" s="7" t="s">
        <v>3006</v>
      </c>
      <c r="AV66" s="7" t="s">
        <v>2848</v>
      </c>
      <c r="AW66" s="7">
        <v>10</v>
      </c>
      <c r="AX66" s="7">
        <v>9</v>
      </c>
      <c r="AY66" s="7" t="s">
        <v>3003</v>
      </c>
      <c r="AZ66" s="7">
        <v>1.38</v>
      </c>
      <c r="BA66" s="7">
        <v>0.74</v>
      </c>
      <c r="BB66" s="7"/>
      <c r="BC66" s="7" t="s">
        <v>3019</v>
      </c>
      <c r="BD66" s="7">
        <v>1.95</v>
      </c>
      <c r="BE66" s="74">
        <v>0.22</v>
      </c>
      <c r="BF66" s="7"/>
    </row>
    <row r="67" spans="1:59" x14ac:dyDescent="0.2">
      <c r="A67" s="7">
        <v>19</v>
      </c>
      <c r="B67" s="7" t="s">
        <v>149</v>
      </c>
      <c r="C67" s="7" t="s">
        <v>150</v>
      </c>
      <c r="D67" s="7" t="s">
        <v>151</v>
      </c>
      <c r="E67" s="7" t="s">
        <v>152</v>
      </c>
      <c r="F67" s="7" t="s">
        <v>153</v>
      </c>
      <c r="G67" s="7">
        <v>2018</v>
      </c>
      <c r="H67" s="8">
        <v>43100</v>
      </c>
      <c r="I67" s="7" t="s">
        <v>32</v>
      </c>
      <c r="J67" s="7" t="s">
        <v>32</v>
      </c>
      <c r="K67" s="7" t="s">
        <v>154</v>
      </c>
      <c r="L67" s="7">
        <v>1</v>
      </c>
      <c r="M67" s="7" t="s">
        <v>32</v>
      </c>
      <c r="N67" s="7" t="s">
        <v>34</v>
      </c>
      <c r="O67" s="7" t="s">
        <v>34</v>
      </c>
      <c r="P67" s="7" t="s">
        <v>34</v>
      </c>
      <c r="Q67" s="7" t="s">
        <v>34</v>
      </c>
      <c r="R67" s="7" t="s">
        <v>34</v>
      </c>
      <c r="S67" s="7" t="s">
        <v>34</v>
      </c>
      <c r="T67" s="7" t="s">
        <v>34</v>
      </c>
      <c r="U67" s="7" t="s">
        <v>32</v>
      </c>
      <c r="V67" s="7">
        <v>1</v>
      </c>
      <c r="W67" s="7" t="s">
        <v>32</v>
      </c>
      <c r="X67" s="7" t="s">
        <v>32</v>
      </c>
      <c r="Y67" s="7" t="s">
        <v>32</v>
      </c>
      <c r="Z67" s="7" t="s">
        <v>32</v>
      </c>
      <c r="AA67" s="7">
        <v>29287830</v>
      </c>
      <c r="AB67" s="7">
        <v>1</v>
      </c>
      <c r="AC67" s="7"/>
      <c r="AD67" s="7">
        <v>3</v>
      </c>
      <c r="AE67" s="7">
        <f t="shared" si="1"/>
        <v>42</v>
      </c>
      <c r="AF67" s="7">
        <v>21</v>
      </c>
      <c r="AG67" s="7">
        <v>21</v>
      </c>
      <c r="AH67" s="7" t="s">
        <v>2845</v>
      </c>
      <c r="AI67" s="7" t="s">
        <v>2845</v>
      </c>
      <c r="AJ67" s="7">
        <v>34.6</v>
      </c>
      <c r="AK67" s="7">
        <v>11.9</v>
      </c>
      <c r="AL67" s="7">
        <v>34.200000000000003</v>
      </c>
      <c r="AM67" s="7">
        <v>11.8</v>
      </c>
      <c r="AN67" s="7" t="s">
        <v>2947</v>
      </c>
      <c r="AO67" s="7" t="s">
        <v>1638</v>
      </c>
      <c r="AP67" s="7" t="s">
        <v>2846</v>
      </c>
      <c r="AQ67" s="7" t="s">
        <v>2991</v>
      </c>
      <c r="AR67" s="7" t="s">
        <v>1646</v>
      </c>
      <c r="AS67" s="7" t="s">
        <v>2992</v>
      </c>
      <c r="AT67" s="7" t="s">
        <v>1646</v>
      </c>
      <c r="AU67" s="7" t="s">
        <v>3006</v>
      </c>
      <c r="AV67" s="7" t="s">
        <v>2848</v>
      </c>
      <c r="AW67" s="7">
        <v>10</v>
      </c>
      <c r="AX67" s="7">
        <v>9</v>
      </c>
      <c r="AY67" s="7" t="s">
        <v>3004</v>
      </c>
      <c r="AZ67" s="7">
        <v>1.67</v>
      </c>
      <c r="BA67" s="7">
        <v>0.66</v>
      </c>
      <c r="BB67" s="7"/>
      <c r="BC67" s="7" t="s">
        <v>3020</v>
      </c>
      <c r="BD67" s="7">
        <v>2</v>
      </c>
      <c r="BE67" s="74">
        <v>2</v>
      </c>
      <c r="BF67" s="7"/>
    </row>
    <row r="68" spans="1:59" x14ac:dyDescent="0.2">
      <c r="A68" s="7">
        <v>19</v>
      </c>
      <c r="B68" s="7" t="s">
        <v>149</v>
      </c>
      <c r="C68" s="7" t="s">
        <v>150</v>
      </c>
      <c r="D68" s="7" t="s">
        <v>151</v>
      </c>
      <c r="E68" s="7" t="s">
        <v>152</v>
      </c>
      <c r="F68" s="7" t="s">
        <v>153</v>
      </c>
      <c r="G68" s="7">
        <v>2018</v>
      </c>
      <c r="H68" s="8">
        <v>43100</v>
      </c>
      <c r="I68" s="7" t="s">
        <v>32</v>
      </c>
      <c r="J68" s="7" t="s">
        <v>32</v>
      </c>
      <c r="K68" s="7" t="s">
        <v>154</v>
      </c>
      <c r="L68" s="7">
        <v>1</v>
      </c>
      <c r="M68" s="7" t="s">
        <v>32</v>
      </c>
      <c r="N68" s="7" t="s">
        <v>34</v>
      </c>
      <c r="O68" s="7" t="s">
        <v>34</v>
      </c>
      <c r="P68" s="7" t="s">
        <v>34</v>
      </c>
      <c r="Q68" s="7" t="s">
        <v>34</v>
      </c>
      <c r="R68" s="7" t="s">
        <v>34</v>
      </c>
      <c r="S68" s="7" t="s">
        <v>34</v>
      </c>
      <c r="T68" s="7" t="s">
        <v>34</v>
      </c>
      <c r="U68" s="7" t="s">
        <v>32</v>
      </c>
      <c r="V68" s="7">
        <v>1</v>
      </c>
      <c r="W68" s="7" t="s">
        <v>32</v>
      </c>
      <c r="X68" s="7" t="s">
        <v>32</v>
      </c>
      <c r="Y68" s="7" t="s">
        <v>32</v>
      </c>
      <c r="Z68" s="7" t="s">
        <v>32</v>
      </c>
      <c r="AA68" s="7">
        <v>29287830</v>
      </c>
      <c r="AB68" s="7">
        <v>1</v>
      </c>
      <c r="AC68" s="7"/>
      <c r="AD68" s="7">
        <v>3</v>
      </c>
      <c r="AE68" s="7">
        <f t="shared" si="1"/>
        <v>42</v>
      </c>
      <c r="AF68" s="7">
        <v>21</v>
      </c>
      <c r="AG68" s="7">
        <v>21</v>
      </c>
      <c r="AH68" s="7" t="s">
        <v>2845</v>
      </c>
      <c r="AI68" s="7" t="s">
        <v>2845</v>
      </c>
      <c r="AJ68" s="7">
        <v>34.6</v>
      </c>
      <c r="AK68" s="7">
        <v>11.9</v>
      </c>
      <c r="AL68" s="7">
        <v>34.200000000000003</v>
      </c>
      <c r="AM68" s="7">
        <v>11.8</v>
      </c>
      <c r="AN68" s="7" t="s">
        <v>2947</v>
      </c>
      <c r="AO68" s="7" t="s">
        <v>1638</v>
      </c>
      <c r="AP68" s="7" t="s">
        <v>2846</v>
      </c>
      <c r="AQ68" s="7" t="s">
        <v>2991</v>
      </c>
      <c r="AR68" s="7" t="s">
        <v>1646</v>
      </c>
      <c r="AS68" s="7" t="s">
        <v>2992</v>
      </c>
      <c r="AT68" s="7" t="s">
        <v>1646</v>
      </c>
      <c r="AU68" s="7" t="s">
        <v>3008</v>
      </c>
      <c r="AV68" s="7" t="s">
        <v>2848</v>
      </c>
      <c r="AW68" s="7">
        <v>10</v>
      </c>
      <c r="AX68" s="7">
        <v>9</v>
      </c>
      <c r="AY68" s="7" t="s">
        <v>3005</v>
      </c>
      <c r="AZ68" s="7">
        <v>19.48</v>
      </c>
      <c r="BA68" s="7">
        <v>3.01</v>
      </c>
      <c r="BB68" s="7"/>
      <c r="BC68" s="7" t="s">
        <v>3021</v>
      </c>
      <c r="BD68" s="7">
        <v>21.38</v>
      </c>
      <c r="BE68" s="74">
        <v>2.71</v>
      </c>
      <c r="BF68" s="7"/>
    </row>
    <row r="69" spans="1:59" x14ac:dyDescent="0.2">
      <c r="A69" s="7">
        <v>20</v>
      </c>
      <c r="B69" s="7" t="s">
        <v>155</v>
      </c>
      <c r="C69" s="7" t="s">
        <v>156</v>
      </c>
      <c r="D69" s="7" t="s">
        <v>157</v>
      </c>
      <c r="E69" s="7" t="s">
        <v>158</v>
      </c>
      <c r="F69" s="7" t="s">
        <v>159</v>
      </c>
      <c r="G69" s="7">
        <v>2017</v>
      </c>
      <c r="H69" s="8">
        <v>43077</v>
      </c>
      <c r="I69" s="7" t="s">
        <v>160</v>
      </c>
      <c r="J69" s="7" t="s">
        <v>32</v>
      </c>
      <c r="K69" s="7" t="s">
        <v>161</v>
      </c>
      <c r="L69" s="7">
        <v>1</v>
      </c>
      <c r="M69" s="7" t="s">
        <v>162</v>
      </c>
      <c r="N69" s="7" t="s">
        <v>34</v>
      </c>
      <c r="O69" s="7" t="s">
        <v>34</v>
      </c>
      <c r="P69" s="7" t="s">
        <v>34</v>
      </c>
      <c r="Q69" s="7" t="s">
        <v>34</v>
      </c>
      <c r="R69" s="7" t="s">
        <v>34</v>
      </c>
      <c r="S69" s="7" t="s">
        <v>34</v>
      </c>
      <c r="T69" s="7" t="s">
        <v>34</v>
      </c>
      <c r="U69" s="7" t="s">
        <v>32</v>
      </c>
      <c r="V69" s="7">
        <v>1</v>
      </c>
      <c r="W69" s="7" t="s">
        <v>32</v>
      </c>
      <c r="X69" s="7" t="s">
        <v>32</v>
      </c>
      <c r="Y69" s="7" t="s">
        <v>32</v>
      </c>
      <c r="Z69" s="7" t="s">
        <v>32</v>
      </c>
      <c r="AA69" s="7">
        <v>29216235</v>
      </c>
      <c r="AB69" s="7">
        <v>1</v>
      </c>
      <c r="AC69" s="7"/>
      <c r="AD69" s="7">
        <v>3</v>
      </c>
      <c r="AE69" s="7">
        <f t="shared" si="1"/>
        <v>53</v>
      </c>
      <c r="AF69" s="7">
        <v>30</v>
      </c>
      <c r="AG69" s="7">
        <v>23</v>
      </c>
      <c r="AH69" s="7" t="s">
        <v>2845</v>
      </c>
      <c r="AI69" s="7" t="s">
        <v>2845</v>
      </c>
      <c r="AJ69" s="7">
        <v>47</v>
      </c>
      <c r="AK69" s="7">
        <v>7</v>
      </c>
      <c r="AL69" s="7">
        <v>44.6</v>
      </c>
      <c r="AM69" s="7">
        <v>10.39</v>
      </c>
      <c r="AN69" s="21" t="s">
        <v>2964</v>
      </c>
      <c r="AO69" s="7" t="s">
        <v>1770</v>
      </c>
      <c r="AP69" s="7" t="s">
        <v>3023</v>
      </c>
      <c r="AQ69" s="7" t="s">
        <v>3022</v>
      </c>
      <c r="AR69" s="7" t="s">
        <v>1646</v>
      </c>
      <c r="AS69" s="7" t="s">
        <v>2950</v>
      </c>
      <c r="AT69" s="7" t="s">
        <v>1646</v>
      </c>
      <c r="AU69" s="21" t="s">
        <v>3024</v>
      </c>
      <c r="AV69" s="7" t="s">
        <v>2907</v>
      </c>
      <c r="AW69" s="7">
        <v>11</v>
      </c>
      <c r="AX69" s="7">
        <v>10</v>
      </c>
      <c r="AY69" s="7" t="s">
        <v>3025</v>
      </c>
      <c r="AZ69" s="7">
        <v>7.5</v>
      </c>
      <c r="BA69" s="7">
        <v>2.35</v>
      </c>
      <c r="BB69" s="7"/>
      <c r="BC69" s="7" t="s">
        <v>3027</v>
      </c>
      <c r="BD69" s="7">
        <v>8.5</v>
      </c>
      <c r="BE69" s="7">
        <v>1.86</v>
      </c>
      <c r="BF69" s="7"/>
      <c r="BG69" s="56"/>
    </row>
    <row r="70" spans="1:59" x14ac:dyDescent="0.2">
      <c r="A70" s="7">
        <v>20</v>
      </c>
      <c r="B70" s="7" t="s">
        <v>155</v>
      </c>
      <c r="C70" s="7" t="s">
        <v>156</v>
      </c>
      <c r="D70" s="7" t="s">
        <v>157</v>
      </c>
      <c r="E70" s="7" t="s">
        <v>158</v>
      </c>
      <c r="F70" s="7" t="s">
        <v>159</v>
      </c>
      <c r="G70" s="7">
        <v>2017</v>
      </c>
      <c r="H70" s="8">
        <v>43077</v>
      </c>
      <c r="I70" s="7" t="s">
        <v>160</v>
      </c>
      <c r="J70" s="7" t="s">
        <v>32</v>
      </c>
      <c r="K70" s="7" t="s">
        <v>161</v>
      </c>
      <c r="L70" s="7">
        <v>1</v>
      </c>
      <c r="M70" s="7" t="s">
        <v>162</v>
      </c>
      <c r="N70" s="7" t="s">
        <v>34</v>
      </c>
      <c r="O70" s="7" t="s">
        <v>34</v>
      </c>
      <c r="P70" s="7" t="s">
        <v>34</v>
      </c>
      <c r="Q70" s="7" t="s">
        <v>34</v>
      </c>
      <c r="R70" s="7" t="s">
        <v>34</v>
      </c>
      <c r="S70" s="7" t="s">
        <v>34</v>
      </c>
      <c r="T70" s="7" t="s">
        <v>34</v>
      </c>
      <c r="U70" s="7" t="s">
        <v>32</v>
      </c>
      <c r="V70" s="7">
        <v>1</v>
      </c>
      <c r="W70" s="7" t="s">
        <v>32</v>
      </c>
      <c r="X70" s="7" t="s">
        <v>32</v>
      </c>
      <c r="Y70" s="7" t="s">
        <v>32</v>
      </c>
      <c r="Z70" s="7" t="s">
        <v>32</v>
      </c>
      <c r="AA70" s="7">
        <v>29216235</v>
      </c>
      <c r="AB70" s="7">
        <v>1</v>
      </c>
      <c r="AC70" s="7"/>
      <c r="AD70" s="7">
        <v>3</v>
      </c>
      <c r="AE70" s="7">
        <f t="shared" si="1"/>
        <v>53</v>
      </c>
      <c r="AF70" s="7">
        <v>30</v>
      </c>
      <c r="AG70" s="7">
        <v>23</v>
      </c>
      <c r="AH70" s="7" t="s">
        <v>2845</v>
      </c>
      <c r="AI70" s="7" t="s">
        <v>2845</v>
      </c>
      <c r="AJ70" s="7">
        <v>47</v>
      </c>
      <c r="AK70" s="7">
        <v>7</v>
      </c>
      <c r="AL70" s="7">
        <v>44.6</v>
      </c>
      <c r="AM70" s="7">
        <v>10.39</v>
      </c>
      <c r="AN70" s="21" t="s">
        <v>2964</v>
      </c>
      <c r="AO70" s="7" t="s">
        <v>1770</v>
      </c>
      <c r="AP70" s="7" t="s">
        <v>3023</v>
      </c>
      <c r="AQ70" s="7" t="s">
        <v>3022</v>
      </c>
      <c r="AR70" s="7" t="s">
        <v>1646</v>
      </c>
      <c r="AS70" s="7" t="s">
        <v>2950</v>
      </c>
      <c r="AT70" s="7" t="s">
        <v>1646</v>
      </c>
      <c r="AU70" s="21" t="s">
        <v>3029</v>
      </c>
      <c r="AV70" s="7" t="s">
        <v>2907</v>
      </c>
      <c r="AW70" s="7">
        <v>11</v>
      </c>
      <c r="AX70" s="7">
        <v>10</v>
      </c>
      <c r="AY70" s="7" t="s">
        <v>2959</v>
      </c>
      <c r="AZ70" s="7">
        <v>7.1</v>
      </c>
      <c r="BA70" s="7">
        <v>2.2799999999999998</v>
      </c>
      <c r="BB70" s="7"/>
      <c r="BC70" s="7" t="s">
        <v>2960</v>
      </c>
      <c r="BD70" s="7">
        <v>8.5</v>
      </c>
      <c r="BE70" s="7">
        <v>2.78</v>
      </c>
      <c r="BF70" s="7"/>
    </row>
    <row r="71" spans="1:59" x14ac:dyDescent="0.2">
      <c r="A71" s="7">
        <v>20</v>
      </c>
      <c r="B71" s="7" t="s">
        <v>155</v>
      </c>
      <c r="C71" s="7" t="s">
        <v>156</v>
      </c>
      <c r="D71" s="7" t="s">
        <v>157</v>
      </c>
      <c r="E71" s="7" t="s">
        <v>158</v>
      </c>
      <c r="F71" s="7" t="s">
        <v>159</v>
      </c>
      <c r="G71" s="7">
        <v>2017</v>
      </c>
      <c r="H71" s="8">
        <v>43077</v>
      </c>
      <c r="I71" s="7" t="s">
        <v>160</v>
      </c>
      <c r="J71" s="7" t="s">
        <v>32</v>
      </c>
      <c r="K71" s="7" t="s">
        <v>161</v>
      </c>
      <c r="L71" s="7">
        <v>1</v>
      </c>
      <c r="M71" s="7" t="s">
        <v>162</v>
      </c>
      <c r="N71" s="7" t="s">
        <v>34</v>
      </c>
      <c r="O71" s="7" t="s">
        <v>34</v>
      </c>
      <c r="P71" s="7" t="s">
        <v>34</v>
      </c>
      <c r="Q71" s="7" t="s">
        <v>34</v>
      </c>
      <c r="R71" s="7" t="s">
        <v>34</v>
      </c>
      <c r="S71" s="7" t="s">
        <v>34</v>
      </c>
      <c r="T71" s="7" t="s">
        <v>34</v>
      </c>
      <c r="U71" s="7" t="s">
        <v>32</v>
      </c>
      <c r="V71" s="7">
        <v>1</v>
      </c>
      <c r="W71" s="7" t="s">
        <v>32</v>
      </c>
      <c r="X71" s="7" t="s">
        <v>32</v>
      </c>
      <c r="Y71" s="7" t="s">
        <v>32</v>
      </c>
      <c r="Z71" s="7" t="s">
        <v>32</v>
      </c>
      <c r="AA71" s="7">
        <v>29216235</v>
      </c>
      <c r="AB71" s="7">
        <v>1</v>
      </c>
      <c r="AC71" s="7"/>
      <c r="AD71" s="7">
        <v>3</v>
      </c>
      <c r="AE71" s="7">
        <f t="shared" si="1"/>
        <v>53</v>
      </c>
      <c r="AF71" s="7">
        <v>30</v>
      </c>
      <c r="AG71" s="7">
        <v>23</v>
      </c>
      <c r="AH71" s="7" t="s">
        <v>2845</v>
      </c>
      <c r="AI71" s="7" t="s">
        <v>2845</v>
      </c>
      <c r="AJ71" s="7">
        <v>47</v>
      </c>
      <c r="AK71" s="7">
        <v>7</v>
      </c>
      <c r="AL71" s="7">
        <v>44.6</v>
      </c>
      <c r="AM71" s="7">
        <v>10.39</v>
      </c>
      <c r="AN71" s="21" t="s">
        <v>2964</v>
      </c>
      <c r="AO71" s="7" t="s">
        <v>1770</v>
      </c>
      <c r="AP71" s="7" t="s">
        <v>3023</v>
      </c>
      <c r="AQ71" s="7" t="s">
        <v>3022</v>
      </c>
      <c r="AR71" s="7" t="s">
        <v>1646</v>
      </c>
      <c r="AS71" s="7" t="s">
        <v>2950</v>
      </c>
      <c r="AT71" s="7" t="s">
        <v>1646</v>
      </c>
      <c r="AU71" s="21" t="s">
        <v>3030</v>
      </c>
      <c r="AV71" s="7" t="s">
        <v>2907</v>
      </c>
      <c r="AW71" s="7">
        <v>11</v>
      </c>
      <c r="AX71" s="7">
        <v>10</v>
      </c>
      <c r="AY71" s="7" t="s">
        <v>3026</v>
      </c>
      <c r="AZ71" s="7">
        <v>7.9</v>
      </c>
      <c r="BA71" s="7">
        <v>2.61</v>
      </c>
      <c r="BB71" s="7"/>
      <c r="BC71" s="7" t="s">
        <v>3028</v>
      </c>
      <c r="BD71" s="7">
        <v>9.6</v>
      </c>
      <c r="BE71" s="7">
        <v>2.73</v>
      </c>
      <c r="BF71" s="7"/>
    </row>
    <row r="72" spans="1:59" s="65" customFormat="1" x14ac:dyDescent="0.2">
      <c r="A72" s="20">
        <v>21</v>
      </c>
      <c r="B72" s="20" t="s">
        <v>163</v>
      </c>
      <c r="C72" s="20" t="s">
        <v>164</v>
      </c>
      <c r="D72" s="20" t="s">
        <v>165</v>
      </c>
      <c r="E72" s="20" t="s">
        <v>166</v>
      </c>
      <c r="F72" s="20" t="s">
        <v>167</v>
      </c>
      <c r="G72" s="20">
        <v>2018</v>
      </c>
      <c r="H72" s="64">
        <v>43060</v>
      </c>
      <c r="I72" s="20" t="s">
        <v>32</v>
      </c>
      <c r="J72" s="20" t="s">
        <v>32</v>
      </c>
      <c r="K72" s="20" t="s">
        <v>168</v>
      </c>
      <c r="L72" s="20">
        <v>1</v>
      </c>
      <c r="M72" s="20" t="s">
        <v>32</v>
      </c>
      <c r="N72" s="20" t="s">
        <v>34</v>
      </c>
      <c r="O72" s="20" t="s">
        <v>34</v>
      </c>
      <c r="P72" s="20" t="s">
        <v>34</v>
      </c>
      <c r="Q72" s="20" t="s">
        <v>34</v>
      </c>
      <c r="R72" s="20" t="s">
        <v>34</v>
      </c>
      <c r="S72" s="20" t="s">
        <v>34</v>
      </c>
      <c r="T72" s="20" t="s">
        <v>34</v>
      </c>
      <c r="U72" s="20" t="s">
        <v>34</v>
      </c>
      <c r="V72" s="20">
        <v>1</v>
      </c>
      <c r="W72" s="20" t="s">
        <v>32</v>
      </c>
      <c r="X72" s="20">
        <v>1</v>
      </c>
      <c r="Y72" s="20" t="s">
        <v>169</v>
      </c>
      <c r="Z72" s="20" t="s">
        <v>170</v>
      </c>
      <c r="AA72" s="20">
        <v>29154809</v>
      </c>
      <c r="AB72" s="20">
        <v>0</v>
      </c>
      <c r="AC72" s="69" t="s">
        <v>3542</v>
      </c>
      <c r="AD72" s="20">
        <v>1</v>
      </c>
      <c r="AE72" s="20">
        <f t="shared" si="1"/>
        <v>66</v>
      </c>
      <c r="AF72" s="20">
        <v>15</v>
      </c>
      <c r="AG72" s="20">
        <v>51</v>
      </c>
      <c r="AH72" s="20" t="s">
        <v>2845</v>
      </c>
      <c r="AI72" s="20" t="s">
        <v>2845</v>
      </c>
      <c r="AJ72" s="20">
        <v>28.06</v>
      </c>
      <c r="AK72" s="20">
        <v>5.13</v>
      </c>
      <c r="AL72" s="20">
        <v>29.61</v>
      </c>
      <c r="AM72" s="20">
        <v>6.11</v>
      </c>
      <c r="AN72" s="20" t="s">
        <v>2902</v>
      </c>
      <c r="AO72" s="20" t="s">
        <v>1770</v>
      </c>
      <c r="AP72" s="20" t="s">
        <v>3032</v>
      </c>
      <c r="AQ72" s="20" t="s">
        <v>3031</v>
      </c>
      <c r="AR72" s="20" t="s">
        <v>1646</v>
      </c>
      <c r="AS72" s="20" t="s">
        <v>1639</v>
      </c>
      <c r="AT72" s="20" t="s">
        <v>1646</v>
      </c>
      <c r="AU72" s="20" t="s">
        <v>2928</v>
      </c>
      <c r="AV72" s="20" t="s">
        <v>2907</v>
      </c>
      <c r="AW72" s="20"/>
      <c r="AX72" s="20"/>
      <c r="AY72" s="20" t="s">
        <v>2891</v>
      </c>
      <c r="AZ72" s="20">
        <v>53.261699999999998</v>
      </c>
      <c r="BA72" s="20"/>
      <c r="BB72" s="20">
        <f>60.1387-AZ72</f>
        <v>6.8770000000000024</v>
      </c>
      <c r="BC72" s="20"/>
      <c r="BD72" s="20">
        <v>39.0822</v>
      </c>
      <c r="BE72" s="20"/>
      <c r="BF72" s="20">
        <f>42.4437-BD72</f>
        <v>3.3614999999999995</v>
      </c>
      <c r="BG72" s="65" t="s">
        <v>3034</v>
      </c>
    </row>
    <row r="73" spans="1:59" s="65" customFormat="1" x14ac:dyDescent="0.2">
      <c r="A73" s="20">
        <v>22</v>
      </c>
      <c r="B73" s="20" t="s">
        <v>171</v>
      </c>
      <c r="C73" s="20" t="s">
        <v>172</v>
      </c>
      <c r="D73" s="20" t="s">
        <v>173</v>
      </c>
      <c r="E73" s="20" t="s">
        <v>174</v>
      </c>
      <c r="F73" s="20" t="s">
        <v>175</v>
      </c>
      <c r="G73" s="20">
        <v>2017</v>
      </c>
      <c r="H73" s="64">
        <v>42955</v>
      </c>
      <c r="I73" s="20" t="s">
        <v>176</v>
      </c>
      <c r="J73" s="20" t="s">
        <v>32</v>
      </c>
      <c r="K73" s="20" t="s">
        <v>177</v>
      </c>
      <c r="L73" s="20">
        <v>1</v>
      </c>
      <c r="M73" s="20" t="s">
        <v>32</v>
      </c>
      <c r="N73" s="20" t="s">
        <v>34</v>
      </c>
      <c r="O73" s="20" t="s">
        <v>34</v>
      </c>
      <c r="P73" s="20" t="s">
        <v>34</v>
      </c>
      <c r="Q73" s="20" t="s">
        <v>34</v>
      </c>
      <c r="R73" s="20" t="s">
        <v>34</v>
      </c>
      <c r="S73" s="20" t="s">
        <v>178</v>
      </c>
      <c r="T73" s="20" t="s">
        <v>34</v>
      </c>
      <c r="U73" s="20" t="s">
        <v>34</v>
      </c>
      <c r="V73" s="20">
        <v>1</v>
      </c>
      <c r="W73" s="20" t="s">
        <v>32</v>
      </c>
      <c r="X73" s="20">
        <v>1</v>
      </c>
      <c r="Y73" s="20" t="s">
        <v>179</v>
      </c>
      <c r="Z73" s="20" t="s">
        <v>180</v>
      </c>
      <c r="AA73" s="20">
        <v>28781928</v>
      </c>
      <c r="AB73" s="20">
        <v>0</v>
      </c>
      <c r="AC73" s="69" t="s">
        <v>3036</v>
      </c>
      <c r="AD73" s="20">
        <v>3</v>
      </c>
      <c r="AE73" s="20">
        <f t="shared" si="1"/>
        <v>52</v>
      </c>
      <c r="AF73" s="20">
        <v>26</v>
      </c>
      <c r="AG73" s="20">
        <v>26</v>
      </c>
      <c r="AH73" s="20" t="s">
        <v>2845</v>
      </c>
      <c r="AI73" s="20" t="s">
        <v>2845</v>
      </c>
      <c r="AJ73" s="20">
        <v>41.5</v>
      </c>
      <c r="AK73" s="20">
        <v>11.7</v>
      </c>
      <c r="AL73" s="20">
        <v>35.200000000000003</v>
      </c>
      <c r="AM73" s="20">
        <v>12.1</v>
      </c>
      <c r="AN73" s="20" t="s">
        <v>2947</v>
      </c>
      <c r="AO73" s="20" t="s">
        <v>1770</v>
      </c>
      <c r="AP73" s="20" t="s">
        <v>3035</v>
      </c>
      <c r="AQ73" s="20" t="s">
        <v>2989</v>
      </c>
      <c r="AR73" s="20" t="s">
        <v>1646</v>
      </c>
      <c r="AS73" s="20"/>
      <c r="AT73" s="20"/>
      <c r="AU73" s="20"/>
      <c r="AV73" s="20"/>
      <c r="AW73" s="20"/>
      <c r="AX73" s="20"/>
      <c r="AY73" s="20"/>
      <c r="AZ73" s="20"/>
      <c r="BA73" s="20"/>
      <c r="BB73" s="20"/>
      <c r="BC73" s="20"/>
      <c r="BD73" s="20"/>
      <c r="BE73" s="20"/>
      <c r="BF73" s="20"/>
    </row>
    <row r="74" spans="1:59" s="65" customFormat="1" x14ac:dyDescent="0.2">
      <c r="A74" s="20">
        <v>23</v>
      </c>
      <c r="B74" s="20" t="s">
        <v>181</v>
      </c>
      <c r="C74" s="20" t="s">
        <v>182</v>
      </c>
      <c r="D74" s="20" t="s">
        <v>183</v>
      </c>
      <c r="E74" s="20" t="s">
        <v>184</v>
      </c>
      <c r="F74" s="20" t="s">
        <v>185</v>
      </c>
      <c r="G74" s="20">
        <v>2017</v>
      </c>
      <c r="H74" s="64">
        <v>42953</v>
      </c>
      <c r="I74" s="20" t="s">
        <v>186</v>
      </c>
      <c r="J74" s="20" t="s">
        <v>187</v>
      </c>
      <c r="K74" s="20" t="s">
        <v>188</v>
      </c>
      <c r="L74" s="20">
        <v>2</v>
      </c>
      <c r="M74" s="20" t="s">
        <v>32</v>
      </c>
      <c r="N74" s="20" t="s">
        <v>189</v>
      </c>
      <c r="O74" s="20" t="s">
        <v>190</v>
      </c>
      <c r="P74" s="20" t="s">
        <v>34</v>
      </c>
      <c r="Q74" s="20" t="s">
        <v>190</v>
      </c>
      <c r="R74" s="20" t="s">
        <v>34</v>
      </c>
      <c r="S74" s="20" t="s">
        <v>34</v>
      </c>
      <c r="T74" s="20" t="s">
        <v>34</v>
      </c>
      <c r="U74" s="20" t="s">
        <v>32</v>
      </c>
      <c r="V74" s="20">
        <v>1</v>
      </c>
      <c r="W74" s="20" t="s">
        <v>34</v>
      </c>
      <c r="X74" s="20" t="s">
        <v>32</v>
      </c>
      <c r="Y74" s="20" t="s">
        <v>191</v>
      </c>
      <c r="Z74" s="20" t="s">
        <v>32</v>
      </c>
      <c r="AA74" s="20">
        <v>28778834</v>
      </c>
      <c r="AB74" s="20">
        <v>0</v>
      </c>
      <c r="AC74" s="20" t="s">
        <v>3037</v>
      </c>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row>
    <row r="75" spans="1:59" s="59" customFormat="1" x14ac:dyDescent="0.2">
      <c r="A75" s="59">
        <v>24</v>
      </c>
      <c r="B75" s="59" t="s">
        <v>192</v>
      </c>
      <c r="C75" s="59" t="s">
        <v>193</v>
      </c>
      <c r="D75" s="59" t="s">
        <v>194</v>
      </c>
      <c r="E75" s="59" t="s">
        <v>195</v>
      </c>
      <c r="F75" s="59" t="s">
        <v>196</v>
      </c>
      <c r="G75" s="59">
        <v>2019</v>
      </c>
      <c r="H75" s="75">
        <v>42933</v>
      </c>
      <c r="I75" s="59" t="s">
        <v>32</v>
      </c>
      <c r="J75" s="59" t="s">
        <v>32</v>
      </c>
      <c r="K75" s="59" t="s">
        <v>197</v>
      </c>
      <c r="L75" s="59">
        <v>1</v>
      </c>
      <c r="M75" s="59" t="s">
        <v>32</v>
      </c>
      <c r="N75" s="59" t="s">
        <v>34</v>
      </c>
      <c r="O75" s="59" t="s">
        <v>34</v>
      </c>
      <c r="P75" s="59" t="s">
        <v>34</v>
      </c>
      <c r="Q75" s="59" t="s">
        <v>34</v>
      </c>
      <c r="R75" s="59" t="s">
        <v>34</v>
      </c>
      <c r="S75" s="59" t="s">
        <v>34</v>
      </c>
      <c r="T75" s="59" t="s">
        <v>34</v>
      </c>
      <c r="U75" s="59" t="s">
        <v>32</v>
      </c>
      <c r="V75" s="59">
        <v>1</v>
      </c>
      <c r="W75" s="59" t="s">
        <v>32</v>
      </c>
      <c r="X75" s="59" t="s">
        <v>32</v>
      </c>
      <c r="Y75" s="59" t="s">
        <v>198</v>
      </c>
      <c r="Z75" s="59" t="s">
        <v>32</v>
      </c>
      <c r="AA75" s="59">
        <v>28712089</v>
      </c>
      <c r="AB75" s="59">
        <v>0</v>
      </c>
      <c r="AC75" s="59" t="s">
        <v>3038</v>
      </c>
    </row>
    <row r="76" spans="1:59" s="65" customFormat="1" x14ac:dyDescent="0.2">
      <c r="A76" s="20">
        <v>25</v>
      </c>
      <c r="B76" s="20" t="s">
        <v>199</v>
      </c>
      <c r="C76" s="20" t="s">
        <v>200</v>
      </c>
      <c r="D76" s="20" t="s">
        <v>201</v>
      </c>
      <c r="E76" s="20" t="s">
        <v>202</v>
      </c>
      <c r="F76" s="20" t="s">
        <v>203</v>
      </c>
      <c r="G76" s="20">
        <v>2017</v>
      </c>
      <c r="H76" s="64">
        <v>42711</v>
      </c>
      <c r="I76" s="20" t="s">
        <v>32</v>
      </c>
      <c r="J76" s="20" t="s">
        <v>32</v>
      </c>
      <c r="K76" s="20" t="s">
        <v>204</v>
      </c>
      <c r="L76" s="20">
        <v>2</v>
      </c>
      <c r="M76" s="20" t="s">
        <v>205</v>
      </c>
      <c r="N76" s="20" t="s">
        <v>34</v>
      </c>
      <c r="O76" s="20" t="s">
        <v>190</v>
      </c>
      <c r="P76" s="20" t="s">
        <v>34</v>
      </c>
      <c r="Q76" s="20" t="s">
        <v>34</v>
      </c>
      <c r="R76" s="20" t="s">
        <v>34</v>
      </c>
      <c r="S76" s="20" t="s">
        <v>34</v>
      </c>
      <c r="T76" s="20" t="s">
        <v>34</v>
      </c>
      <c r="U76" s="20" t="s">
        <v>34</v>
      </c>
      <c r="V76" s="20">
        <v>1</v>
      </c>
      <c r="W76" s="20" t="s">
        <v>32</v>
      </c>
      <c r="X76" s="20">
        <v>1</v>
      </c>
      <c r="Y76" s="20" t="s">
        <v>206</v>
      </c>
      <c r="Z76" s="20" t="s">
        <v>207</v>
      </c>
      <c r="AA76" s="20">
        <v>27919830</v>
      </c>
      <c r="AB76" s="59">
        <v>0</v>
      </c>
      <c r="AC76" s="20" t="s">
        <v>3037</v>
      </c>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row>
    <row r="77" spans="1:59" x14ac:dyDescent="0.2">
      <c r="A77" s="7">
        <v>26</v>
      </c>
      <c r="B77" s="7" t="s">
        <v>208</v>
      </c>
      <c r="C77" s="7" t="s">
        <v>209</v>
      </c>
      <c r="D77" s="7" t="s">
        <v>210</v>
      </c>
      <c r="E77" s="7" t="s">
        <v>211</v>
      </c>
      <c r="F77" s="7" t="s">
        <v>203</v>
      </c>
      <c r="G77" s="7">
        <v>2016</v>
      </c>
      <c r="H77" s="8">
        <v>42679</v>
      </c>
      <c r="I77" s="7" t="s">
        <v>32</v>
      </c>
      <c r="J77" s="7" t="s">
        <v>32</v>
      </c>
      <c r="K77" s="7" t="s">
        <v>212</v>
      </c>
      <c r="L77" s="7">
        <v>1</v>
      </c>
      <c r="M77" s="7" t="s">
        <v>32</v>
      </c>
      <c r="N77" s="7" t="s">
        <v>34</v>
      </c>
      <c r="O77" s="7" t="s">
        <v>34</v>
      </c>
      <c r="P77" s="7" t="s">
        <v>34</v>
      </c>
      <c r="Q77" s="7" t="s">
        <v>34</v>
      </c>
      <c r="R77" s="7" t="s">
        <v>34</v>
      </c>
      <c r="S77" s="7" t="s">
        <v>34</v>
      </c>
      <c r="T77" s="7" t="s">
        <v>34</v>
      </c>
      <c r="U77" s="7" t="s">
        <v>32</v>
      </c>
      <c r="V77" s="7">
        <v>1</v>
      </c>
      <c r="W77" s="7" t="s">
        <v>32</v>
      </c>
      <c r="X77" s="7" t="s">
        <v>32</v>
      </c>
      <c r="Y77" s="7" t="s">
        <v>32</v>
      </c>
      <c r="Z77" s="7" t="s">
        <v>32</v>
      </c>
      <c r="AA77" s="7">
        <v>27686278</v>
      </c>
      <c r="AB77" s="7">
        <v>1</v>
      </c>
      <c r="AC77" s="7"/>
      <c r="AD77" s="7">
        <v>3</v>
      </c>
      <c r="AE77" s="7">
        <f>AF77+AG77</f>
        <v>36</v>
      </c>
      <c r="AF77" s="7">
        <v>18</v>
      </c>
      <c r="AG77" s="7">
        <v>18</v>
      </c>
      <c r="AH77" s="7" t="s">
        <v>2845</v>
      </c>
      <c r="AI77" s="7" t="s">
        <v>2845</v>
      </c>
      <c r="AJ77" s="7">
        <v>39.39</v>
      </c>
      <c r="AK77" s="7">
        <v>12.36</v>
      </c>
      <c r="AL77" s="7">
        <v>40.61</v>
      </c>
      <c r="AM77" s="7">
        <v>14.21</v>
      </c>
      <c r="AN77" s="7" t="s">
        <v>2947</v>
      </c>
      <c r="AO77" s="7" t="s">
        <v>1770</v>
      </c>
      <c r="AP77" s="7" t="s">
        <v>3040</v>
      </c>
      <c r="AQ77" s="7" t="s">
        <v>3039</v>
      </c>
      <c r="AR77" s="7" t="s">
        <v>2982</v>
      </c>
      <c r="AS77" s="7" t="s">
        <v>1639</v>
      </c>
      <c r="AT77" s="7" t="s">
        <v>1646</v>
      </c>
      <c r="AU77" s="7" t="s">
        <v>2898</v>
      </c>
      <c r="AV77" s="7" t="s">
        <v>2907</v>
      </c>
      <c r="AW77" s="7">
        <v>13</v>
      </c>
      <c r="AX77" s="7">
        <v>12</v>
      </c>
      <c r="AY77" s="7" t="s">
        <v>3045</v>
      </c>
      <c r="AZ77" s="7">
        <v>7.6999999999999999E-2</v>
      </c>
      <c r="BA77" s="7">
        <v>0.11</v>
      </c>
      <c r="BB77" s="7"/>
      <c r="BC77" s="7" t="s">
        <v>3069</v>
      </c>
      <c r="BD77" s="7">
        <v>0.09</v>
      </c>
      <c r="BE77" s="7">
        <v>0.11</v>
      </c>
      <c r="BF77" s="7"/>
      <c r="BG77" t="s">
        <v>3081</v>
      </c>
    </row>
    <row r="78" spans="1:59" s="56" customFormat="1" x14ac:dyDescent="0.2">
      <c r="A78" s="21">
        <v>26</v>
      </c>
      <c r="B78" s="21" t="s">
        <v>208</v>
      </c>
      <c r="C78" s="21" t="s">
        <v>209</v>
      </c>
      <c r="D78" s="21" t="s">
        <v>210</v>
      </c>
      <c r="E78" s="21" t="s">
        <v>211</v>
      </c>
      <c r="F78" s="21" t="s">
        <v>203</v>
      </c>
      <c r="G78" s="21">
        <v>2016</v>
      </c>
      <c r="H78" s="70">
        <v>42679</v>
      </c>
      <c r="I78" s="21" t="s">
        <v>32</v>
      </c>
      <c r="J78" s="21" t="s">
        <v>32</v>
      </c>
      <c r="K78" s="21" t="s">
        <v>212</v>
      </c>
      <c r="L78" s="21">
        <v>1</v>
      </c>
      <c r="M78" s="21" t="s">
        <v>32</v>
      </c>
      <c r="N78" s="21" t="s">
        <v>34</v>
      </c>
      <c r="O78" s="21" t="s">
        <v>34</v>
      </c>
      <c r="P78" s="21" t="s">
        <v>34</v>
      </c>
      <c r="Q78" s="21" t="s">
        <v>34</v>
      </c>
      <c r="R78" s="21" t="s">
        <v>34</v>
      </c>
      <c r="S78" s="21" t="s">
        <v>34</v>
      </c>
      <c r="T78" s="21" t="s">
        <v>34</v>
      </c>
      <c r="U78" s="21" t="s">
        <v>32</v>
      </c>
      <c r="V78" s="21">
        <v>1</v>
      </c>
      <c r="W78" s="21" t="s">
        <v>32</v>
      </c>
      <c r="X78" s="21" t="s">
        <v>32</v>
      </c>
      <c r="Y78" s="21" t="s">
        <v>32</v>
      </c>
      <c r="Z78" s="21" t="s">
        <v>32</v>
      </c>
      <c r="AA78" s="21">
        <v>27686278</v>
      </c>
      <c r="AB78" s="21">
        <v>1</v>
      </c>
      <c r="AC78" s="21"/>
      <c r="AD78" s="21">
        <v>3</v>
      </c>
      <c r="AE78" s="21">
        <f t="shared" ref="AE78:AE201" si="3">AF78+AG78</f>
        <v>36</v>
      </c>
      <c r="AF78" s="21">
        <v>18</v>
      </c>
      <c r="AG78" s="21">
        <v>18</v>
      </c>
      <c r="AH78" s="21" t="s">
        <v>2845</v>
      </c>
      <c r="AI78" s="21" t="s">
        <v>2845</v>
      </c>
      <c r="AJ78" s="21">
        <v>39.39</v>
      </c>
      <c r="AK78" s="21">
        <v>12.36</v>
      </c>
      <c r="AL78" s="21">
        <v>40.61</v>
      </c>
      <c r="AM78" s="21">
        <v>14.21</v>
      </c>
      <c r="AN78" s="21" t="s">
        <v>2947</v>
      </c>
      <c r="AO78" s="21" t="s">
        <v>1770</v>
      </c>
      <c r="AP78" s="21" t="s">
        <v>3040</v>
      </c>
      <c r="AQ78" s="21" t="s">
        <v>3039</v>
      </c>
      <c r="AR78" s="21" t="s">
        <v>2982</v>
      </c>
      <c r="AS78" s="21" t="s">
        <v>1639</v>
      </c>
      <c r="AT78" s="21" t="s">
        <v>1646</v>
      </c>
      <c r="AU78" s="21" t="s">
        <v>2899</v>
      </c>
      <c r="AV78" s="21" t="s">
        <v>2907</v>
      </c>
      <c r="AW78" s="21">
        <v>13</v>
      </c>
      <c r="AX78" s="21">
        <v>12</v>
      </c>
      <c r="AY78" s="21" t="s">
        <v>3046</v>
      </c>
      <c r="AZ78" s="21">
        <v>0.05</v>
      </c>
      <c r="BA78" s="21">
        <v>7.0000000000000007E-2</v>
      </c>
      <c r="BB78" s="21"/>
      <c r="BC78" s="21" t="s">
        <v>3070</v>
      </c>
      <c r="BD78" s="21">
        <v>6.2E-2</v>
      </c>
      <c r="BE78" s="21">
        <v>7.0000000000000007E-2</v>
      </c>
      <c r="BF78" s="21"/>
      <c r="BG78" s="56" t="s">
        <v>3543</v>
      </c>
    </row>
    <row r="79" spans="1:59" x14ac:dyDescent="0.2">
      <c r="A79" s="7">
        <v>26</v>
      </c>
      <c r="B79" s="7" t="s">
        <v>208</v>
      </c>
      <c r="C79" s="7" t="s">
        <v>209</v>
      </c>
      <c r="D79" s="7" t="s">
        <v>210</v>
      </c>
      <c r="E79" s="7" t="s">
        <v>211</v>
      </c>
      <c r="F79" s="7" t="s">
        <v>203</v>
      </c>
      <c r="G79" s="7">
        <v>2016</v>
      </c>
      <c r="H79" s="8">
        <v>42679</v>
      </c>
      <c r="I79" s="7" t="s">
        <v>32</v>
      </c>
      <c r="J79" s="7" t="s">
        <v>32</v>
      </c>
      <c r="K79" s="7" t="s">
        <v>212</v>
      </c>
      <c r="L79" s="7">
        <v>1</v>
      </c>
      <c r="M79" s="7" t="s">
        <v>32</v>
      </c>
      <c r="N79" s="7" t="s">
        <v>34</v>
      </c>
      <c r="O79" s="7" t="s">
        <v>34</v>
      </c>
      <c r="P79" s="7" t="s">
        <v>34</v>
      </c>
      <c r="Q79" s="7" t="s">
        <v>34</v>
      </c>
      <c r="R79" s="7" t="s">
        <v>34</v>
      </c>
      <c r="S79" s="7" t="s">
        <v>34</v>
      </c>
      <c r="T79" s="7" t="s">
        <v>34</v>
      </c>
      <c r="U79" s="7" t="s">
        <v>32</v>
      </c>
      <c r="V79" s="7">
        <v>1</v>
      </c>
      <c r="W79" s="7" t="s">
        <v>32</v>
      </c>
      <c r="X79" s="7" t="s">
        <v>32</v>
      </c>
      <c r="Y79" s="7" t="s">
        <v>32</v>
      </c>
      <c r="Z79" s="7" t="s">
        <v>32</v>
      </c>
      <c r="AA79" s="7">
        <v>27686278</v>
      </c>
      <c r="AB79" s="7">
        <v>1</v>
      </c>
      <c r="AC79" s="7"/>
      <c r="AD79" s="7">
        <v>3</v>
      </c>
      <c r="AE79" s="7">
        <f t="shared" si="3"/>
        <v>36</v>
      </c>
      <c r="AF79" s="7">
        <v>18</v>
      </c>
      <c r="AG79" s="7">
        <v>18</v>
      </c>
      <c r="AH79" s="7" t="s">
        <v>2845</v>
      </c>
      <c r="AI79" s="7" t="s">
        <v>2845</v>
      </c>
      <c r="AJ79" s="7">
        <v>39.39</v>
      </c>
      <c r="AK79" s="7">
        <v>12.36</v>
      </c>
      <c r="AL79" s="7">
        <v>40.61</v>
      </c>
      <c r="AM79" s="7">
        <v>14.21</v>
      </c>
      <c r="AN79" s="7" t="s">
        <v>2947</v>
      </c>
      <c r="AO79" s="7" t="s">
        <v>1770</v>
      </c>
      <c r="AP79" s="7" t="s">
        <v>3040</v>
      </c>
      <c r="AQ79" s="7" t="s">
        <v>3039</v>
      </c>
      <c r="AR79" s="7" t="s">
        <v>2982</v>
      </c>
      <c r="AS79" s="7" t="s">
        <v>1639</v>
      </c>
      <c r="AT79" s="7" t="s">
        <v>1646</v>
      </c>
      <c r="AU79" s="7" t="s">
        <v>2898</v>
      </c>
      <c r="AV79" s="7" t="s">
        <v>2907</v>
      </c>
      <c r="AW79" s="7">
        <v>13</v>
      </c>
      <c r="AX79" s="7">
        <v>12</v>
      </c>
      <c r="AY79" s="7" t="s">
        <v>3047</v>
      </c>
      <c r="AZ79" s="7">
        <v>5.2999999999999999E-2</v>
      </c>
      <c r="BA79" s="7">
        <v>0.09</v>
      </c>
      <c r="BB79" s="7"/>
      <c r="BC79" s="7" t="s">
        <v>3071</v>
      </c>
      <c r="BD79" s="7">
        <v>7.1999999999999995E-2</v>
      </c>
      <c r="BE79" s="7">
        <v>0.08</v>
      </c>
      <c r="BF79" s="7"/>
    </row>
    <row r="80" spans="1:59" x14ac:dyDescent="0.2">
      <c r="A80" s="7">
        <v>26</v>
      </c>
      <c r="B80" s="7" t="s">
        <v>208</v>
      </c>
      <c r="C80" s="7" t="s">
        <v>209</v>
      </c>
      <c r="D80" s="7" t="s">
        <v>210</v>
      </c>
      <c r="E80" s="7" t="s">
        <v>211</v>
      </c>
      <c r="F80" s="7" t="s">
        <v>203</v>
      </c>
      <c r="G80" s="7">
        <v>2016</v>
      </c>
      <c r="H80" s="8">
        <v>42679</v>
      </c>
      <c r="I80" s="7" t="s">
        <v>32</v>
      </c>
      <c r="J80" s="7" t="s">
        <v>32</v>
      </c>
      <c r="K80" s="7" t="s">
        <v>212</v>
      </c>
      <c r="L80" s="7">
        <v>1</v>
      </c>
      <c r="M80" s="7" t="s">
        <v>32</v>
      </c>
      <c r="N80" s="7" t="s">
        <v>34</v>
      </c>
      <c r="O80" s="7" t="s">
        <v>34</v>
      </c>
      <c r="P80" s="7" t="s">
        <v>34</v>
      </c>
      <c r="Q80" s="7" t="s">
        <v>34</v>
      </c>
      <c r="R80" s="7" t="s">
        <v>34</v>
      </c>
      <c r="S80" s="7" t="s">
        <v>34</v>
      </c>
      <c r="T80" s="7" t="s">
        <v>34</v>
      </c>
      <c r="U80" s="7" t="s">
        <v>32</v>
      </c>
      <c r="V80" s="7">
        <v>1</v>
      </c>
      <c r="W80" s="7" t="s">
        <v>32</v>
      </c>
      <c r="X80" s="7" t="s">
        <v>32</v>
      </c>
      <c r="Y80" s="7" t="s">
        <v>32</v>
      </c>
      <c r="Z80" s="7" t="s">
        <v>32</v>
      </c>
      <c r="AA80" s="7">
        <v>27686278</v>
      </c>
      <c r="AB80" s="7">
        <v>1</v>
      </c>
      <c r="AC80" s="7"/>
      <c r="AD80" s="7">
        <v>3</v>
      </c>
      <c r="AE80" s="7">
        <f t="shared" si="3"/>
        <v>36</v>
      </c>
      <c r="AF80" s="7">
        <v>18</v>
      </c>
      <c r="AG80" s="7">
        <v>18</v>
      </c>
      <c r="AH80" s="7" t="s">
        <v>2845</v>
      </c>
      <c r="AI80" s="7" t="s">
        <v>2845</v>
      </c>
      <c r="AJ80" s="7">
        <v>39.39</v>
      </c>
      <c r="AK80" s="7">
        <v>12.36</v>
      </c>
      <c r="AL80" s="7">
        <v>40.61</v>
      </c>
      <c r="AM80" s="7">
        <v>14.21</v>
      </c>
      <c r="AN80" s="7" t="s">
        <v>2947</v>
      </c>
      <c r="AO80" s="7" t="s">
        <v>1770</v>
      </c>
      <c r="AP80" s="7" t="s">
        <v>3040</v>
      </c>
      <c r="AQ80" s="7" t="s">
        <v>3039</v>
      </c>
      <c r="AR80" s="7" t="s">
        <v>2982</v>
      </c>
      <c r="AS80" s="7" t="s">
        <v>1639</v>
      </c>
      <c r="AT80" s="7" t="s">
        <v>1646</v>
      </c>
      <c r="AU80" s="7" t="s">
        <v>2899</v>
      </c>
      <c r="AV80" s="7" t="s">
        <v>2907</v>
      </c>
      <c r="AW80" s="7">
        <v>13</v>
      </c>
      <c r="AX80" s="7">
        <v>12</v>
      </c>
      <c r="AY80" s="7" t="s">
        <v>3048</v>
      </c>
      <c r="AZ80" s="7">
        <v>2.5000000000000001E-2</v>
      </c>
      <c r="BA80" s="7">
        <v>0.03</v>
      </c>
      <c r="BB80" s="7"/>
      <c r="BC80" s="7" t="s">
        <v>3072</v>
      </c>
      <c r="BD80" s="7">
        <v>4.2999999999999997E-2</v>
      </c>
      <c r="BE80" s="7">
        <v>0.04</v>
      </c>
      <c r="BF80" s="7"/>
    </row>
    <row r="81" spans="1:58" x14ac:dyDescent="0.2">
      <c r="A81" s="7">
        <v>26</v>
      </c>
      <c r="B81" s="7" t="s">
        <v>208</v>
      </c>
      <c r="C81" s="7" t="s">
        <v>209</v>
      </c>
      <c r="D81" s="7" t="s">
        <v>210</v>
      </c>
      <c r="E81" s="7" t="s">
        <v>211</v>
      </c>
      <c r="F81" s="7" t="s">
        <v>203</v>
      </c>
      <c r="G81" s="7">
        <v>2016</v>
      </c>
      <c r="H81" s="8">
        <v>42679</v>
      </c>
      <c r="I81" s="7" t="s">
        <v>32</v>
      </c>
      <c r="J81" s="7" t="s">
        <v>32</v>
      </c>
      <c r="K81" s="7" t="s">
        <v>212</v>
      </c>
      <c r="L81" s="7">
        <v>1</v>
      </c>
      <c r="M81" s="7" t="s">
        <v>32</v>
      </c>
      <c r="N81" s="7" t="s">
        <v>34</v>
      </c>
      <c r="O81" s="7" t="s">
        <v>34</v>
      </c>
      <c r="P81" s="7" t="s">
        <v>34</v>
      </c>
      <c r="Q81" s="7" t="s">
        <v>34</v>
      </c>
      <c r="R81" s="7" t="s">
        <v>34</v>
      </c>
      <c r="S81" s="7" t="s">
        <v>34</v>
      </c>
      <c r="T81" s="7" t="s">
        <v>34</v>
      </c>
      <c r="U81" s="7" t="s">
        <v>32</v>
      </c>
      <c r="V81" s="7">
        <v>1</v>
      </c>
      <c r="W81" s="7" t="s">
        <v>32</v>
      </c>
      <c r="X81" s="7" t="s">
        <v>32</v>
      </c>
      <c r="Y81" s="7" t="s">
        <v>32</v>
      </c>
      <c r="Z81" s="7" t="s">
        <v>32</v>
      </c>
      <c r="AA81" s="7">
        <v>27686278</v>
      </c>
      <c r="AB81" s="7">
        <v>1</v>
      </c>
      <c r="AC81" s="7"/>
      <c r="AD81" s="7">
        <v>3</v>
      </c>
      <c r="AE81" s="7">
        <f t="shared" si="3"/>
        <v>36</v>
      </c>
      <c r="AF81" s="7">
        <v>18</v>
      </c>
      <c r="AG81" s="7">
        <v>18</v>
      </c>
      <c r="AH81" s="7" t="s">
        <v>2845</v>
      </c>
      <c r="AI81" s="7" t="s">
        <v>2845</v>
      </c>
      <c r="AJ81" s="7">
        <v>39.39</v>
      </c>
      <c r="AK81" s="7">
        <v>12.36</v>
      </c>
      <c r="AL81" s="7">
        <v>40.61</v>
      </c>
      <c r="AM81" s="7">
        <v>14.21</v>
      </c>
      <c r="AN81" s="7" t="s">
        <v>2947</v>
      </c>
      <c r="AO81" s="7" t="s">
        <v>1770</v>
      </c>
      <c r="AP81" s="7" t="s">
        <v>3040</v>
      </c>
      <c r="AQ81" s="7" t="s">
        <v>3039</v>
      </c>
      <c r="AR81" s="7" t="s">
        <v>2982</v>
      </c>
      <c r="AS81" s="7" t="s">
        <v>1639</v>
      </c>
      <c r="AT81" s="21" t="s">
        <v>1646</v>
      </c>
      <c r="AU81" s="21" t="s">
        <v>3041</v>
      </c>
      <c r="AV81" s="21" t="s">
        <v>2907</v>
      </c>
      <c r="AW81" s="7">
        <v>13</v>
      </c>
      <c r="AX81" s="7">
        <v>12</v>
      </c>
      <c r="AY81" s="7" t="s">
        <v>3049</v>
      </c>
      <c r="AZ81" s="7">
        <v>5.3999999999999999E-2</v>
      </c>
      <c r="BA81" s="7">
        <v>0.1</v>
      </c>
      <c r="BB81" s="7"/>
      <c r="BC81" s="7" t="s">
        <v>3073</v>
      </c>
      <c r="BD81" s="7">
        <v>5.7000000000000002E-2</v>
      </c>
      <c r="BE81" s="7">
        <v>0.05</v>
      </c>
      <c r="BF81" s="7"/>
    </row>
    <row r="82" spans="1:58" x14ac:dyDescent="0.2">
      <c r="A82" s="7">
        <v>26</v>
      </c>
      <c r="B82" s="7" t="s">
        <v>208</v>
      </c>
      <c r="C82" s="7" t="s">
        <v>209</v>
      </c>
      <c r="D82" s="7" t="s">
        <v>210</v>
      </c>
      <c r="E82" s="7" t="s">
        <v>211</v>
      </c>
      <c r="F82" s="7" t="s">
        <v>203</v>
      </c>
      <c r="G82" s="7">
        <v>2016</v>
      </c>
      <c r="H82" s="8">
        <v>42679</v>
      </c>
      <c r="I82" s="7" t="s">
        <v>32</v>
      </c>
      <c r="J82" s="7" t="s">
        <v>32</v>
      </c>
      <c r="K82" s="7" t="s">
        <v>212</v>
      </c>
      <c r="L82" s="7">
        <v>1</v>
      </c>
      <c r="M82" s="7" t="s">
        <v>32</v>
      </c>
      <c r="N82" s="7" t="s">
        <v>34</v>
      </c>
      <c r="O82" s="7" t="s">
        <v>34</v>
      </c>
      <c r="P82" s="7" t="s">
        <v>34</v>
      </c>
      <c r="Q82" s="7" t="s">
        <v>34</v>
      </c>
      <c r="R82" s="7" t="s">
        <v>34</v>
      </c>
      <c r="S82" s="7" t="s">
        <v>34</v>
      </c>
      <c r="T82" s="7" t="s">
        <v>34</v>
      </c>
      <c r="U82" s="7" t="s">
        <v>32</v>
      </c>
      <c r="V82" s="7">
        <v>1</v>
      </c>
      <c r="W82" s="7" t="s">
        <v>32</v>
      </c>
      <c r="X82" s="7" t="s">
        <v>32</v>
      </c>
      <c r="Y82" s="7" t="s">
        <v>32</v>
      </c>
      <c r="Z82" s="7" t="s">
        <v>32</v>
      </c>
      <c r="AA82" s="7">
        <v>27686278</v>
      </c>
      <c r="AB82" s="7">
        <v>1</v>
      </c>
      <c r="AC82" s="7"/>
      <c r="AD82" s="7">
        <v>3</v>
      </c>
      <c r="AE82" s="7">
        <f t="shared" si="3"/>
        <v>36</v>
      </c>
      <c r="AF82" s="7">
        <v>18</v>
      </c>
      <c r="AG82" s="7">
        <v>18</v>
      </c>
      <c r="AH82" s="7" t="s">
        <v>2845</v>
      </c>
      <c r="AI82" s="7" t="s">
        <v>2845</v>
      </c>
      <c r="AJ82" s="7">
        <v>39.39</v>
      </c>
      <c r="AK82" s="7">
        <v>12.36</v>
      </c>
      <c r="AL82" s="7">
        <v>40.61</v>
      </c>
      <c r="AM82" s="7">
        <v>14.21</v>
      </c>
      <c r="AN82" s="7" t="s">
        <v>2947</v>
      </c>
      <c r="AO82" s="7" t="s">
        <v>1770</v>
      </c>
      <c r="AP82" s="7" t="s">
        <v>3040</v>
      </c>
      <c r="AQ82" s="7" t="s">
        <v>3039</v>
      </c>
      <c r="AR82" s="7" t="s">
        <v>2982</v>
      </c>
      <c r="AS82" s="7" t="s">
        <v>1639</v>
      </c>
      <c r="AT82" s="21" t="s">
        <v>1646</v>
      </c>
      <c r="AU82" s="21" t="s">
        <v>3042</v>
      </c>
      <c r="AV82" s="21" t="s">
        <v>2907</v>
      </c>
      <c r="AW82" s="7">
        <v>13</v>
      </c>
      <c r="AX82" s="7">
        <v>12</v>
      </c>
      <c r="AY82" s="7" t="s">
        <v>3050</v>
      </c>
      <c r="AZ82" s="7">
        <v>0.30399999999999999</v>
      </c>
      <c r="BA82" s="7">
        <v>0.05</v>
      </c>
      <c r="BB82" s="7"/>
      <c r="BC82" s="7" t="s">
        <v>3074</v>
      </c>
      <c r="BD82" s="7">
        <v>4.2000000000000003E-2</v>
      </c>
      <c r="BE82" s="7">
        <v>0.04</v>
      </c>
      <c r="BF82" s="7"/>
    </row>
    <row r="83" spans="1:58" x14ac:dyDescent="0.2">
      <c r="A83" s="7">
        <v>26</v>
      </c>
      <c r="B83" s="7" t="s">
        <v>208</v>
      </c>
      <c r="C83" s="7" t="s">
        <v>209</v>
      </c>
      <c r="D83" s="7" t="s">
        <v>210</v>
      </c>
      <c r="E83" s="7" t="s">
        <v>211</v>
      </c>
      <c r="F83" s="7" t="s">
        <v>203</v>
      </c>
      <c r="G83" s="7">
        <v>2016</v>
      </c>
      <c r="H83" s="8">
        <v>42679</v>
      </c>
      <c r="I83" s="7" t="s">
        <v>32</v>
      </c>
      <c r="J83" s="7" t="s">
        <v>32</v>
      </c>
      <c r="K83" s="7" t="s">
        <v>212</v>
      </c>
      <c r="L83" s="7">
        <v>1</v>
      </c>
      <c r="M83" s="7" t="s">
        <v>32</v>
      </c>
      <c r="N83" s="7" t="s">
        <v>34</v>
      </c>
      <c r="O83" s="7" t="s">
        <v>34</v>
      </c>
      <c r="P83" s="7" t="s">
        <v>34</v>
      </c>
      <c r="Q83" s="7" t="s">
        <v>34</v>
      </c>
      <c r="R83" s="7" t="s">
        <v>34</v>
      </c>
      <c r="S83" s="7" t="s">
        <v>34</v>
      </c>
      <c r="T83" s="7" t="s">
        <v>34</v>
      </c>
      <c r="U83" s="7" t="s">
        <v>32</v>
      </c>
      <c r="V83" s="7">
        <v>1</v>
      </c>
      <c r="W83" s="7" t="s">
        <v>32</v>
      </c>
      <c r="X83" s="7" t="s">
        <v>32</v>
      </c>
      <c r="Y83" s="7" t="s">
        <v>32</v>
      </c>
      <c r="Z83" s="7" t="s">
        <v>32</v>
      </c>
      <c r="AA83" s="7">
        <v>27686278</v>
      </c>
      <c r="AB83" s="7">
        <v>1</v>
      </c>
      <c r="AC83" s="7"/>
      <c r="AD83" s="7">
        <v>3</v>
      </c>
      <c r="AE83" s="7">
        <f t="shared" si="3"/>
        <v>36</v>
      </c>
      <c r="AF83" s="7">
        <v>18</v>
      </c>
      <c r="AG83" s="7">
        <v>18</v>
      </c>
      <c r="AH83" s="7" t="s">
        <v>2845</v>
      </c>
      <c r="AI83" s="7" t="s">
        <v>2845</v>
      </c>
      <c r="AJ83" s="7">
        <v>39.39</v>
      </c>
      <c r="AK83" s="7">
        <v>12.36</v>
      </c>
      <c r="AL83" s="7">
        <v>40.61</v>
      </c>
      <c r="AM83" s="7">
        <v>14.21</v>
      </c>
      <c r="AN83" s="7" t="s">
        <v>2947</v>
      </c>
      <c r="AO83" s="7" t="s">
        <v>1770</v>
      </c>
      <c r="AP83" s="7" t="s">
        <v>3040</v>
      </c>
      <c r="AQ83" s="7" t="s">
        <v>3039</v>
      </c>
      <c r="AR83" s="7" t="s">
        <v>2982</v>
      </c>
      <c r="AS83" s="7" t="s">
        <v>1639</v>
      </c>
      <c r="AT83" s="21" t="s">
        <v>1646</v>
      </c>
      <c r="AU83" s="21" t="s">
        <v>3041</v>
      </c>
      <c r="AV83" s="21" t="s">
        <v>2907</v>
      </c>
      <c r="AW83" s="7">
        <v>13</v>
      </c>
      <c r="AX83" s="7">
        <v>12</v>
      </c>
      <c r="AY83" s="7" t="s">
        <v>3051</v>
      </c>
      <c r="AZ83" s="7">
        <v>0.05</v>
      </c>
      <c r="BA83" s="7">
        <v>0.09</v>
      </c>
      <c r="BB83" s="7"/>
      <c r="BC83" s="7" t="s">
        <v>3075</v>
      </c>
      <c r="BD83" s="7">
        <v>4.5999999999999999E-2</v>
      </c>
      <c r="BE83" s="7">
        <v>0.06</v>
      </c>
      <c r="BF83" s="7"/>
    </row>
    <row r="84" spans="1:58" x14ac:dyDescent="0.2">
      <c r="A84" s="7">
        <v>26</v>
      </c>
      <c r="B84" s="7" t="s">
        <v>208</v>
      </c>
      <c r="C84" s="7" t="s">
        <v>209</v>
      </c>
      <c r="D84" s="7" t="s">
        <v>210</v>
      </c>
      <c r="E84" s="7" t="s">
        <v>211</v>
      </c>
      <c r="F84" s="7" t="s">
        <v>203</v>
      </c>
      <c r="G84" s="7">
        <v>2016</v>
      </c>
      <c r="H84" s="8">
        <v>42679</v>
      </c>
      <c r="I84" s="7" t="s">
        <v>32</v>
      </c>
      <c r="J84" s="7" t="s">
        <v>32</v>
      </c>
      <c r="K84" s="7" t="s">
        <v>212</v>
      </c>
      <c r="L84" s="7">
        <v>1</v>
      </c>
      <c r="M84" s="7" t="s">
        <v>32</v>
      </c>
      <c r="N84" s="7" t="s">
        <v>34</v>
      </c>
      <c r="O84" s="7" t="s">
        <v>34</v>
      </c>
      <c r="P84" s="7" t="s">
        <v>34</v>
      </c>
      <c r="Q84" s="7" t="s">
        <v>34</v>
      </c>
      <c r="R84" s="7" t="s">
        <v>34</v>
      </c>
      <c r="S84" s="7" t="s">
        <v>34</v>
      </c>
      <c r="T84" s="7" t="s">
        <v>34</v>
      </c>
      <c r="U84" s="7" t="s">
        <v>32</v>
      </c>
      <c r="V84" s="7">
        <v>1</v>
      </c>
      <c r="W84" s="7" t="s">
        <v>32</v>
      </c>
      <c r="X84" s="7" t="s">
        <v>32</v>
      </c>
      <c r="Y84" s="7" t="s">
        <v>32</v>
      </c>
      <c r="Z84" s="7" t="s">
        <v>32</v>
      </c>
      <c r="AA84" s="7">
        <v>27686278</v>
      </c>
      <c r="AB84" s="7">
        <v>1</v>
      </c>
      <c r="AC84" s="7"/>
      <c r="AD84" s="7">
        <v>3</v>
      </c>
      <c r="AE84" s="7">
        <f t="shared" si="3"/>
        <v>36</v>
      </c>
      <c r="AF84" s="7">
        <v>18</v>
      </c>
      <c r="AG84" s="7">
        <v>18</v>
      </c>
      <c r="AH84" s="7" t="s">
        <v>2845</v>
      </c>
      <c r="AI84" s="7" t="s">
        <v>2845</v>
      </c>
      <c r="AJ84" s="7">
        <v>39.39</v>
      </c>
      <c r="AK84" s="7">
        <v>12.36</v>
      </c>
      <c r="AL84" s="7">
        <v>40.61</v>
      </c>
      <c r="AM84" s="7">
        <v>14.21</v>
      </c>
      <c r="AN84" s="7" t="s">
        <v>2947</v>
      </c>
      <c r="AO84" s="7" t="s">
        <v>1770</v>
      </c>
      <c r="AP84" s="7" t="s">
        <v>3040</v>
      </c>
      <c r="AQ84" s="7" t="s">
        <v>3039</v>
      </c>
      <c r="AR84" s="7" t="s">
        <v>2982</v>
      </c>
      <c r="AS84" s="7" t="s">
        <v>1639</v>
      </c>
      <c r="AT84" s="21" t="s">
        <v>1646</v>
      </c>
      <c r="AU84" s="21" t="s">
        <v>3042</v>
      </c>
      <c r="AV84" s="21" t="s">
        <v>2907</v>
      </c>
      <c r="AW84" s="7">
        <v>13</v>
      </c>
      <c r="AX84" s="7">
        <v>12</v>
      </c>
      <c r="AY84" s="7" t="s">
        <v>3052</v>
      </c>
      <c r="AZ84" s="7">
        <v>2.4E-2</v>
      </c>
      <c r="BA84" s="7">
        <v>3.9E-2</v>
      </c>
      <c r="BB84" s="7"/>
      <c r="BC84" s="7" t="s">
        <v>3076</v>
      </c>
      <c r="BD84" s="7">
        <v>3.6999999999999998E-2</v>
      </c>
      <c r="BE84" s="7">
        <v>0.05</v>
      </c>
      <c r="BF84" s="7"/>
    </row>
    <row r="85" spans="1:58" x14ac:dyDescent="0.2">
      <c r="A85" s="7">
        <v>26</v>
      </c>
      <c r="B85" s="7" t="s">
        <v>208</v>
      </c>
      <c r="C85" s="7" t="s">
        <v>209</v>
      </c>
      <c r="D85" s="7" t="s">
        <v>210</v>
      </c>
      <c r="E85" s="7" t="s">
        <v>211</v>
      </c>
      <c r="F85" s="7" t="s">
        <v>203</v>
      </c>
      <c r="G85" s="7">
        <v>2016</v>
      </c>
      <c r="H85" s="8">
        <v>42679</v>
      </c>
      <c r="I85" s="7" t="s">
        <v>32</v>
      </c>
      <c r="J85" s="7" t="s">
        <v>32</v>
      </c>
      <c r="K85" s="7" t="s">
        <v>212</v>
      </c>
      <c r="L85" s="7">
        <v>1</v>
      </c>
      <c r="M85" s="7" t="s">
        <v>32</v>
      </c>
      <c r="N85" s="7" t="s">
        <v>34</v>
      </c>
      <c r="O85" s="7" t="s">
        <v>34</v>
      </c>
      <c r="P85" s="7" t="s">
        <v>34</v>
      </c>
      <c r="Q85" s="7" t="s">
        <v>34</v>
      </c>
      <c r="R85" s="7" t="s">
        <v>34</v>
      </c>
      <c r="S85" s="7" t="s">
        <v>34</v>
      </c>
      <c r="T85" s="7" t="s">
        <v>34</v>
      </c>
      <c r="U85" s="7" t="s">
        <v>32</v>
      </c>
      <c r="V85" s="7">
        <v>1</v>
      </c>
      <c r="W85" s="7" t="s">
        <v>32</v>
      </c>
      <c r="X85" s="7" t="s">
        <v>32</v>
      </c>
      <c r="Y85" s="7" t="s">
        <v>32</v>
      </c>
      <c r="Z85" s="7" t="s">
        <v>32</v>
      </c>
      <c r="AA85" s="7">
        <v>27686278</v>
      </c>
      <c r="AB85" s="7">
        <v>1</v>
      </c>
      <c r="AC85" s="7"/>
      <c r="AD85" s="7">
        <v>3</v>
      </c>
      <c r="AE85" s="7">
        <f t="shared" si="3"/>
        <v>36</v>
      </c>
      <c r="AF85" s="7">
        <v>18</v>
      </c>
      <c r="AG85" s="7">
        <v>18</v>
      </c>
      <c r="AH85" s="7" t="s">
        <v>2845</v>
      </c>
      <c r="AI85" s="7" t="s">
        <v>2845</v>
      </c>
      <c r="AJ85" s="7">
        <v>39.39</v>
      </c>
      <c r="AK85" s="7">
        <v>12.36</v>
      </c>
      <c r="AL85" s="7">
        <v>40.61</v>
      </c>
      <c r="AM85" s="7">
        <v>14.21</v>
      </c>
      <c r="AN85" s="7" t="s">
        <v>2947</v>
      </c>
      <c r="AO85" s="7" t="s">
        <v>1770</v>
      </c>
      <c r="AP85" s="7" t="s">
        <v>3040</v>
      </c>
      <c r="AQ85" s="7" t="s">
        <v>3039</v>
      </c>
      <c r="AR85" s="7" t="s">
        <v>2982</v>
      </c>
      <c r="AS85" s="7" t="s">
        <v>1639</v>
      </c>
      <c r="AT85" s="21" t="s">
        <v>1646</v>
      </c>
      <c r="AU85" s="21" t="s">
        <v>3043</v>
      </c>
      <c r="AV85" s="21" t="s">
        <v>2907</v>
      </c>
      <c r="AW85" s="7">
        <v>13</v>
      </c>
      <c r="AX85" s="7">
        <v>12</v>
      </c>
      <c r="AY85" s="7" t="s">
        <v>3053</v>
      </c>
      <c r="AZ85" s="7">
        <v>8.3000000000000004E-2</v>
      </c>
      <c r="BA85" s="7">
        <v>0.1</v>
      </c>
      <c r="BB85" s="7"/>
      <c r="BC85" s="7" t="s">
        <v>3077</v>
      </c>
      <c r="BD85" s="7">
        <v>0.107</v>
      </c>
      <c r="BE85" s="7">
        <v>0.09</v>
      </c>
      <c r="BF85" s="7"/>
    </row>
    <row r="86" spans="1:58" x14ac:dyDescent="0.2">
      <c r="A86" s="7">
        <v>26</v>
      </c>
      <c r="B86" s="7" t="s">
        <v>208</v>
      </c>
      <c r="C86" s="7" t="s">
        <v>209</v>
      </c>
      <c r="D86" s="7" t="s">
        <v>210</v>
      </c>
      <c r="E86" s="7" t="s">
        <v>211</v>
      </c>
      <c r="F86" s="7" t="s">
        <v>203</v>
      </c>
      <c r="G86" s="7">
        <v>2016</v>
      </c>
      <c r="H86" s="8">
        <v>42679</v>
      </c>
      <c r="I86" s="7" t="s">
        <v>32</v>
      </c>
      <c r="J86" s="7" t="s">
        <v>32</v>
      </c>
      <c r="K86" s="7" t="s">
        <v>212</v>
      </c>
      <c r="L86" s="7">
        <v>1</v>
      </c>
      <c r="M86" s="7" t="s">
        <v>32</v>
      </c>
      <c r="N86" s="7" t="s">
        <v>34</v>
      </c>
      <c r="O86" s="7" t="s">
        <v>34</v>
      </c>
      <c r="P86" s="7" t="s">
        <v>34</v>
      </c>
      <c r="Q86" s="7" t="s">
        <v>34</v>
      </c>
      <c r="R86" s="7" t="s">
        <v>34</v>
      </c>
      <c r="S86" s="7" t="s">
        <v>34</v>
      </c>
      <c r="T86" s="7" t="s">
        <v>34</v>
      </c>
      <c r="U86" s="7" t="s">
        <v>32</v>
      </c>
      <c r="V86" s="7">
        <v>1</v>
      </c>
      <c r="W86" s="7" t="s">
        <v>32</v>
      </c>
      <c r="X86" s="7" t="s">
        <v>32</v>
      </c>
      <c r="Y86" s="7" t="s">
        <v>32</v>
      </c>
      <c r="Z86" s="7" t="s">
        <v>32</v>
      </c>
      <c r="AA86" s="7">
        <v>27686278</v>
      </c>
      <c r="AB86" s="7">
        <v>1</v>
      </c>
      <c r="AC86" s="7"/>
      <c r="AD86" s="7">
        <v>3</v>
      </c>
      <c r="AE86" s="7">
        <f t="shared" si="3"/>
        <v>36</v>
      </c>
      <c r="AF86" s="7">
        <v>18</v>
      </c>
      <c r="AG86" s="7">
        <v>18</v>
      </c>
      <c r="AH86" s="7" t="s">
        <v>2845</v>
      </c>
      <c r="AI86" s="7" t="s">
        <v>2845</v>
      </c>
      <c r="AJ86" s="7">
        <v>39.39</v>
      </c>
      <c r="AK86" s="7">
        <v>12.36</v>
      </c>
      <c r="AL86" s="7">
        <v>40.61</v>
      </c>
      <c r="AM86" s="7">
        <v>14.21</v>
      </c>
      <c r="AN86" s="7" t="s">
        <v>2947</v>
      </c>
      <c r="AO86" s="7" t="s">
        <v>1770</v>
      </c>
      <c r="AP86" s="7" t="s">
        <v>3040</v>
      </c>
      <c r="AQ86" s="7" t="s">
        <v>3039</v>
      </c>
      <c r="AR86" s="7" t="s">
        <v>2982</v>
      </c>
      <c r="AS86" s="7" t="s">
        <v>1639</v>
      </c>
      <c r="AT86" s="21" t="s">
        <v>1646</v>
      </c>
      <c r="AU86" s="21" t="s">
        <v>3044</v>
      </c>
      <c r="AV86" s="21" t="s">
        <v>2907</v>
      </c>
      <c r="AW86" s="7">
        <v>13</v>
      </c>
      <c r="AX86" s="7">
        <v>12</v>
      </c>
      <c r="AY86" s="7" t="s">
        <v>3054</v>
      </c>
      <c r="AZ86" s="7">
        <v>3.4000000000000002E-2</v>
      </c>
      <c r="BA86" s="7">
        <v>0.04</v>
      </c>
      <c r="BB86" s="7"/>
      <c r="BC86" s="7" t="s">
        <v>3078</v>
      </c>
      <c r="BD86" s="7">
        <v>9.0999999999999998E-2</v>
      </c>
      <c r="BE86" s="7">
        <v>9.5000000000000001E-2</v>
      </c>
      <c r="BF86" s="7"/>
    </row>
    <row r="87" spans="1:58" x14ac:dyDescent="0.2">
      <c r="A87" s="7">
        <v>26</v>
      </c>
      <c r="B87" s="7" t="s">
        <v>208</v>
      </c>
      <c r="C87" s="7" t="s">
        <v>209</v>
      </c>
      <c r="D87" s="7" t="s">
        <v>210</v>
      </c>
      <c r="E87" s="7" t="s">
        <v>211</v>
      </c>
      <c r="F87" s="7" t="s">
        <v>203</v>
      </c>
      <c r="G87" s="7">
        <v>2016</v>
      </c>
      <c r="H87" s="8">
        <v>42679</v>
      </c>
      <c r="I87" s="7" t="s">
        <v>32</v>
      </c>
      <c r="J87" s="7" t="s">
        <v>32</v>
      </c>
      <c r="K87" s="7" t="s">
        <v>212</v>
      </c>
      <c r="L87" s="7">
        <v>1</v>
      </c>
      <c r="M87" s="7" t="s">
        <v>32</v>
      </c>
      <c r="N87" s="7" t="s">
        <v>34</v>
      </c>
      <c r="O87" s="7" t="s">
        <v>34</v>
      </c>
      <c r="P87" s="7" t="s">
        <v>34</v>
      </c>
      <c r="Q87" s="7" t="s">
        <v>34</v>
      </c>
      <c r="R87" s="7" t="s">
        <v>34</v>
      </c>
      <c r="S87" s="7" t="s">
        <v>34</v>
      </c>
      <c r="T87" s="7" t="s">
        <v>34</v>
      </c>
      <c r="U87" s="7" t="s">
        <v>32</v>
      </c>
      <c r="V87" s="7">
        <v>1</v>
      </c>
      <c r="W87" s="7" t="s">
        <v>32</v>
      </c>
      <c r="X87" s="7" t="s">
        <v>32</v>
      </c>
      <c r="Y87" s="7" t="s">
        <v>32</v>
      </c>
      <c r="Z87" s="7" t="s">
        <v>32</v>
      </c>
      <c r="AA87" s="7">
        <v>27686278</v>
      </c>
      <c r="AB87" s="7">
        <v>1</v>
      </c>
      <c r="AC87" s="7"/>
      <c r="AD87" s="7">
        <v>3</v>
      </c>
      <c r="AE87" s="7">
        <f t="shared" si="3"/>
        <v>36</v>
      </c>
      <c r="AF87" s="7">
        <v>18</v>
      </c>
      <c r="AG87" s="7">
        <v>18</v>
      </c>
      <c r="AH87" s="7" t="s">
        <v>2845</v>
      </c>
      <c r="AI87" s="7" t="s">
        <v>2845</v>
      </c>
      <c r="AJ87" s="7">
        <v>39.39</v>
      </c>
      <c r="AK87" s="7">
        <v>12.36</v>
      </c>
      <c r="AL87" s="7">
        <v>40.61</v>
      </c>
      <c r="AM87" s="7">
        <v>14.21</v>
      </c>
      <c r="AN87" s="7" t="s">
        <v>2947</v>
      </c>
      <c r="AO87" s="7" t="s">
        <v>1770</v>
      </c>
      <c r="AP87" s="7" t="s">
        <v>3040</v>
      </c>
      <c r="AQ87" s="7" t="s">
        <v>3039</v>
      </c>
      <c r="AR87" s="7" t="s">
        <v>2982</v>
      </c>
      <c r="AS87" s="7" t="s">
        <v>1639</v>
      </c>
      <c r="AT87" s="21" t="s">
        <v>1646</v>
      </c>
      <c r="AU87" s="21" t="s">
        <v>3043</v>
      </c>
      <c r="AV87" s="21" t="s">
        <v>2907</v>
      </c>
      <c r="AW87" s="7">
        <v>13</v>
      </c>
      <c r="AX87" s="7">
        <v>12</v>
      </c>
      <c r="AY87" s="7" t="s">
        <v>3055</v>
      </c>
      <c r="AZ87" s="7">
        <v>1.4999999999999999E-2</v>
      </c>
      <c r="BA87" s="7">
        <v>0.02</v>
      </c>
      <c r="BB87" s="7"/>
      <c r="BC87" s="7" t="s">
        <v>3079</v>
      </c>
      <c r="BD87" s="7">
        <v>4.1000000000000002E-2</v>
      </c>
      <c r="BE87" s="7">
        <v>0.05</v>
      </c>
      <c r="BF87" s="7"/>
    </row>
    <row r="88" spans="1:58" x14ac:dyDescent="0.2">
      <c r="A88" s="7">
        <v>26</v>
      </c>
      <c r="B88" s="7" t="s">
        <v>208</v>
      </c>
      <c r="C88" s="7" t="s">
        <v>209</v>
      </c>
      <c r="D88" s="7" t="s">
        <v>210</v>
      </c>
      <c r="E88" s="7" t="s">
        <v>211</v>
      </c>
      <c r="F88" s="7" t="s">
        <v>203</v>
      </c>
      <c r="G88" s="7">
        <v>2016</v>
      </c>
      <c r="H88" s="8">
        <v>42679</v>
      </c>
      <c r="I88" s="7" t="s">
        <v>32</v>
      </c>
      <c r="J88" s="7" t="s">
        <v>32</v>
      </c>
      <c r="K88" s="7" t="s">
        <v>212</v>
      </c>
      <c r="L88" s="7">
        <v>1</v>
      </c>
      <c r="M88" s="7" t="s">
        <v>32</v>
      </c>
      <c r="N88" s="7" t="s">
        <v>34</v>
      </c>
      <c r="O88" s="7" t="s">
        <v>34</v>
      </c>
      <c r="P88" s="7" t="s">
        <v>34</v>
      </c>
      <c r="Q88" s="7" t="s">
        <v>34</v>
      </c>
      <c r="R88" s="7" t="s">
        <v>34</v>
      </c>
      <c r="S88" s="7" t="s">
        <v>34</v>
      </c>
      <c r="T88" s="7" t="s">
        <v>34</v>
      </c>
      <c r="U88" s="7" t="s">
        <v>32</v>
      </c>
      <c r="V88" s="7">
        <v>1</v>
      </c>
      <c r="W88" s="7" t="s">
        <v>32</v>
      </c>
      <c r="X88" s="7" t="s">
        <v>32</v>
      </c>
      <c r="Y88" s="7" t="s">
        <v>32</v>
      </c>
      <c r="Z88" s="7" t="s">
        <v>32</v>
      </c>
      <c r="AA88" s="7">
        <v>27686278</v>
      </c>
      <c r="AB88" s="7">
        <v>1</v>
      </c>
      <c r="AC88" s="7"/>
      <c r="AD88" s="7">
        <v>3</v>
      </c>
      <c r="AE88" s="7">
        <f t="shared" si="3"/>
        <v>36</v>
      </c>
      <c r="AF88" s="7">
        <v>18</v>
      </c>
      <c r="AG88" s="7">
        <v>18</v>
      </c>
      <c r="AH88" s="7" t="s">
        <v>2845</v>
      </c>
      <c r="AI88" s="7" t="s">
        <v>2845</v>
      </c>
      <c r="AJ88" s="7">
        <v>39.39</v>
      </c>
      <c r="AK88" s="7">
        <v>12.36</v>
      </c>
      <c r="AL88" s="7">
        <v>40.61</v>
      </c>
      <c r="AM88" s="7">
        <v>14.21</v>
      </c>
      <c r="AN88" s="7" t="s">
        <v>2947</v>
      </c>
      <c r="AO88" s="7" t="s">
        <v>1770</v>
      </c>
      <c r="AP88" s="7" t="s">
        <v>3040</v>
      </c>
      <c r="AQ88" s="7" t="s">
        <v>3039</v>
      </c>
      <c r="AR88" s="7" t="s">
        <v>2982</v>
      </c>
      <c r="AS88" s="7" t="s">
        <v>1639</v>
      </c>
      <c r="AT88" s="21" t="s">
        <v>1646</v>
      </c>
      <c r="AU88" s="21" t="s">
        <v>3044</v>
      </c>
      <c r="AV88" s="21" t="s">
        <v>2907</v>
      </c>
      <c r="AW88" s="7">
        <v>13</v>
      </c>
      <c r="AX88" s="7">
        <v>12</v>
      </c>
      <c r="AY88" s="7" t="s">
        <v>3056</v>
      </c>
      <c r="AZ88" s="7">
        <v>1.2E-2</v>
      </c>
      <c r="BA88" s="7">
        <v>0.02</v>
      </c>
      <c r="BB88" s="7"/>
      <c r="BC88" s="7" t="s">
        <v>3080</v>
      </c>
      <c r="BD88" s="7">
        <v>2.5000000000000001E-2</v>
      </c>
      <c r="BE88" s="7">
        <v>0.03</v>
      </c>
      <c r="BF88" s="7"/>
    </row>
    <row r="89" spans="1:58" x14ac:dyDescent="0.2">
      <c r="A89" s="7">
        <v>26</v>
      </c>
      <c r="B89" s="7" t="s">
        <v>208</v>
      </c>
      <c r="C89" s="7" t="s">
        <v>209</v>
      </c>
      <c r="D89" s="7" t="s">
        <v>210</v>
      </c>
      <c r="E89" s="7" t="s">
        <v>211</v>
      </c>
      <c r="F89" s="7" t="s">
        <v>203</v>
      </c>
      <c r="G89" s="7">
        <v>2016</v>
      </c>
      <c r="H89" s="8">
        <v>42679</v>
      </c>
      <c r="I89" s="7" t="s">
        <v>32</v>
      </c>
      <c r="J89" s="7" t="s">
        <v>32</v>
      </c>
      <c r="K89" s="7" t="s">
        <v>212</v>
      </c>
      <c r="L89" s="7">
        <v>1</v>
      </c>
      <c r="M89" s="7" t="s">
        <v>32</v>
      </c>
      <c r="N89" s="7" t="s">
        <v>34</v>
      </c>
      <c r="O89" s="7" t="s">
        <v>34</v>
      </c>
      <c r="P89" s="7" t="s">
        <v>34</v>
      </c>
      <c r="Q89" s="7" t="s">
        <v>34</v>
      </c>
      <c r="R89" s="7" t="s">
        <v>34</v>
      </c>
      <c r="S89" s="7" t="s">
        <v>34</v>
      </c>
      <c r="T89" s="7" t="s">
        <v>34</v>
      </c>
      <c r="U89" s="7" t="s">
        <v>32</v>
      </c>
      <c r="V89" s="7">
        <v>1</v>
      </c>
      <c r="W89" s="7" t="s">
        <v>32</v>
      </c>
      <c r="X89" s="7" t="s">
        <v>32</v>
      </c>
      <c r="Y89" s="7" t="s">
        <v>32</v>
      </c>
      <c r="Z89" s="7" t="s">
        <v>32</v>
      </c>
      <c r="AA89" s="7">
        <v>27686278</v>
      </c>
      <c r="AB89" s="7">
        <v>1</v>
      </c>
      <c r="AC89" s="7"/>
      <c r="AD89" s="7">
        <v>3</v>
      </c>
      <c r="AE89" s="7">
        <f t="shared" si="3"/>
        <v>36</v>
      </c>
      <c r="AF89" s="7">
        <v>18</v>
      </c>
      <c r="AG89" s="7">
        <v>18</v>
      </c>
      <c r="AH89" s="7" t="s">
        <v>2845</v>
      </c>
      <c r="AI89" s="7" t="s">
        <v>2845</v>
      </c>
      <c r="AJ89" s="7">
        <v>39.39</v>
      </c>
      <c r="AK89" s="7">
        <v>12.36</v>
      </c>
      <c r="AL89" s="7">
        <v>36.61</v>
      </c>
      <c r="AM89" s="7">
        <v>12.21</v>
      </c>
      <c r="AN89" s="7" t="s">
        <v>2947</v>
      </c>
      <c r="AO89" s="7" t="s">
        <v>1638</v>
      </c>
      <c r="AP89" s="7" t="s">
        <v>3040</v>
      </c>
      <c r="AQ89" s="7" t="s">
        <v>3039</v>
      </c>
      <c r="AR89" s="7" t="s">
        <v>2982</v>
      </c>
      <c r="AS89" s="7" t="s">
        <v>1639</v>
      </c>
      <c r="AT89" s="21" t="s">
        <v>1646</v>
      </c>
      <c r="AU89" s="21" t="s">
        <v>2898</v>
      </c>
      <c r="AV89" s="21" t="s">
        <v>2848</v>
      </c>
      <c r="AW89" s="7">
        <v>13</v>
      </c>
      <c r="AX89" s="7">
        <v>13</v>
      </c>
      <c r="AY89" s="7" t="s">
        <v>3045</v>
      </c>
      <c r="AZ89" s="7">
        <v>7.6999999999999999E-2</v>
      </c>
      <c r="BA89" s="7">
        <v>0.11</v>
      </c>
      <c r="BB89" s="7"/>
      <c r="BC89" s="7" t="s">
        <v>3057</v>
      </c>
      <c r="BD89" s="7">
        <v>4.7E-2</v>
      </c>
      <c r="BE89" s="7">
        <v>0.03</v>
      </c>
      <c r="BF89" s="7"/>
    </row>
    <row r="90" spans="1:58" x14ac:dyDescent="0.2">
      <c r="A90" s="7">
        <v>26</v>
      </c>
      <c r="B90" s="7" t="s">
        <v>208</v>
      </c>
      <c r="C90" s="7" t="s">
        <v>209</v>
      </c>
      <c r="D90" s="7" t="s">
        <v>210</v>
      </c>
      <c r="E90" s="7" t="s">
        <v>211</v>
      </c>
      <c r="F90" s="7" t="s">
        <v>203</v>
      </c>
      <c r="G90" s="7">
        <v>2016</v>
      </c>
      <c r="H90" s="8">
        <v>42679</v>
      </c>
      <c r="I90" s="7" t="s">
        <v>32</v>
      </c>
      <c r="J90" s="7" t="s">
        <v>32</v>
      </c>
      <c r="K90" s="7" t="s">
        <v>212</v>
      </c>
      <c r="L90" s="7">
        <v>1</v>
      </c>
      <c r="M90" s="7" t="s">
        <v>32</v>
      </c>
      <c r="N90" s="7" t="s">
        <v>34</v>
      </c>
      <c r="O90" s="7" t="s">
        <v>34</v>
      </c>
      <c r="P90" s="7" t="s">
        <v>34</v>
      </c>
      <c r="Q90" s="7" t="s">
        <v>34</v>
      </c>
      <c r="R90" s="7" t="s">
        <v>34</v>
      </c>
      <c r="S90" s="7" t="s">
        <v>34</v>
      </c>
      <c r="T90" s="7" t="s">
        <v>34</v>
      </c>
      <c r="U90" s="7" t="s">
        <v>32</v>
      </c>
      <c r="V90" s="7">
        <v>1</v>
      </c>
      <c r="W90" s="7" t="s">
        <v>32</v>
      </c>
      <c r="X90" s="7" t="s">
        <v>32</v>
      </c>
      <c r="Y90" s="7" t="s">
        <v>32</v>
      </c>
      <c r="Z90" s="7" t="s">
        <v>32</v>
      </c>
      <c r="AA90" s="7">
        <v>27686278</v>
      </c>
      <c r="AB90" s="7">
        <v>1</v>
      </c>
      <c r="AC90" s="7"/>
      <c r="AD90" s="7">
        <v>3</v>
      </c>
      <c r="AE90" s="7">
        <f t="shared" si="3"/>
        <v>36</v>
      </c>
      <c r="AF90" s="7">
        <v>18</v>
      </c>
      <c r="AG90" s="7">
        <v>18</v>
      </c>
      <c r="AH90" s="7" t="s">
        <v>2845</v>
      </c>
      <c r="AI90" s="7" t="s">
        <v>2845</v>
      </c>
      <c r="AJ90" s="7">
        <v>39.39</v>
      </c>
      <c r="AK90" s="7">
        <v>12.36</v>
      </c>
      <c r="AL90" s="7">
        <v>36.61</v>
      </c>
      <c r="AM90" s="7">
        <v>12.21</v>
      </c>
      <c r="AN90" s="7" t="s">
        <v>2947</v>
      </c>
      <c r="AO90" s="7" t="s">
        <v>1638</v>
      </c>
      <c r="AP90" s="7" t="s">
        <v>3040</v>
      </c>
      <c r="AQ90" s="7" t="s">
        <v>3039</v>
      </c>
      <c r="AR90" s="7" t="s">
        <v>2982</v>
      </c>
      <c r="AS90" s="7" t="s">
        <v>1639</v>
      </c>
      <c r="AT90" s="21" t="s">
        <v>1646</v>
      </c>
      <c r="AU90" s="21" t="s">
        <v>2899</v>
      </c>
      <c r="AV90" s="21" t="s">
        <v>2848</v>
      </c>
      <c r="AW90" s="7">
        <v>13</v>
      </c>
      <c r="AX90" s="7">
        <v>13</v>
      </c>
      <c r="AY90" s="7" t="s">
        <v>3046</v>
      </c>
      <c r="AZ90" s="7">
        <v>0.05</v>
      </c>
      <c r="BA90" s="7">
        <v>7.0000000000000007E-2</v>
      </c>
      <c r="BB90" s="7"/>
      <c r="BC90" s="7" t="s">
        <v>3058</v>
      </c>
      <c r="BD90" s="7">
        <v>3.1E-2</v>
      </c>
      <c r="BE90" s="7">
        <v>0.03</v>
      </c>
      <c r="BF90" s="7"/>
    </row>
    <row r="91" spans="1:58" x14ac:dyDescent="0.2">
      <c r="A91" s="7">
        <v>26</v>
      </c>
      <c r="B91" s="7" t="s">
        <v>208</v>
      </c>
      <c r="C91" s="7" t="s">
        <v>209</v>
      </c>
      <c r="D91" s="7" t="s">
        <v>210</v>
      </c>
      <c r="E91" s="7" t="s">
        <v>211</v>
      </c>
      <c r="F91" s="7" t="s">
        <v>203</v>
      </c>
      <c r="G91" s="7">
        <v>2016</v>
      </c>
      <c r="H91" s="8">
        <v>42679</v>
      </c>
      <c r="I91" s="7" t="s">
        <v>32</v>
      </c>
      <c r="J91" s="7" t="s">
        <v>32</v>
      </c>
      <c r="K91" s="7" t="s">
        <v>212</v>
      </c>
      <c r="L91" s="7">
        <v>1</v>
      </c>
      <c r="M91" s="7" t="s">
        <v>32</v>
      </c>
      <c r="N91" s="7" t="s">
        <v>34</v>
      </c>
      <c r="O91" s="7" t="s">
        <v>34</v>
      </c>
      <c r="P91" s="7" t="s">
        <v>34</v>
      </c>
      <c r="Q91" s="7" t="s">
        <v>34</v>
      </c>
      <c r="R91" s="7" t="s">
        <v>34</v>
      </c>
      <c r="S91" s="7" t="s">
        <v>34</v>
      </c>
      <c r="T91" s="7" t="s">
        <v>34</v>
      </c>
      <c r="U91" s="7" t="s">
        <v>32</v>
      </c>
      <c r="V91" s="7">
        <v>1</v>
      </c>
      <c r="W91" s="7" t="s">
        <v>32</v>
      </c>
      <c r="X91" s="7" t="s">
        <v>32</v>
      </c>
      <c r="Y91" s="7" t="s">
        <v>32</v>
      </c>
      <c r="Z91" s="7" t="s">
        <v>32</v>
      </c>
      <c r="AA91" s="7">
        <v>27686278</v>
      </c>
      <c r="AB91" s="7">
        <v>1</v>
      </c>
      <c r="AC91" s="7"/>
      <c r="AD91" s="7">
        <v>3</v>
      </c>
      <c r="AE91" s="7">
        <f t="shared" si="3"/>
        <v>36</v>
      </c>
      <c r="AF91" s="7">
        <v>18</v>
      </c>
      <c r="AG91" s="7">
        <v>18</v>
      </c>
      <c r="AH91" s="7" t="s">
        <v>2845</v>
      </c>
      <c r="AI91" s="7" t="s">
        <v>2845</v>
      </c>
      <c r="AJ91" s="7">
        <v>39.39</v>
      </c>
      <c r="AK91" s="7">
        <v>12.36</v>
      </c>
      <c r="AL91" s="7">
        <v>36.61</v>
      </c>
      <c r="AM91" s="7">
        <v>12.21</v>
      </c>
      <c r="AN91" s="7" t="s">
        <v>2947</v>
      </c>
      <c r="AO91" s="7" t="s">
        <v>1638</v>
      </c>
      <c r="AP91" s="7" t="s">
        <v>3040</v>
      </c>
      <c r="AQ91" s="7" t="s">
        <v>3039</v>
      </c>
      <c r="AR91" s="7" t="s">
        <v>2982</v>
      </c>
      <c r="AS91" s="7" t="s">
        <v>1639</v>
      </c>
      <c r="AT91" s="21" t="s">
        <v>1646</v>
      </c>
      <c r="AU91" s="21" t="s">
        <v>2898</v>
      </c>
      <c r="AV91" s="21" t="s">
        <v>2848</v>
      </c>
      <c r="AW91" s="7">
        <v>13</v>
      </c>
      <c r="AX91" s="7">
        <v>13</v>
      </c>
      <c r="AY91" s="7" t="s">
        <v>3047</v>
      </c>
      <c r="AZ91" s="7">
        <v>5.2999999999999999E-2</v>
      </c>
      <c r="BA91" s="7">
        <v>0.09</v>
      </c>
      <c r="BB91" s="7"/>
      <c r="BC91" s="7" t="s">
        <v>3059</v>
      </c>
      <c r="BD91" s="7">
        <v>3.7999999999999999E-2</v>
      </c>
      <c r="BE91" s="7">
        <v>0.05</v>
      </c>
      <c r="BF91" s="7"/>
    </row>
    <row r="92" spans="1:58" x14ac:dyDescent="0.2">
      <c r="A92" s="7">
        <v>26</v>
      </c>
      <c r="B92" s="7" t="s">
        <v>208</v>
      </c>
      <c r="C92" s="7" t="s">
        <v>209</v>
      </c>
      <c r="D92" s="7" t="s">
        <v>210</v>
      </c>
      <c r="E92" s="7" t="s">
        <v>211</v>
      </c>
      <c r="F92" s="7" t="s">
        <v>203</v>
      </c>
      <c r="G92" s="7">
        <v>2016</v>
      </c>
      <c r="H92" s="8">
        <v>42679</v>
      </c>
      <c r="I92" s="7" t="s">
        <v>32</v>
      </c>
      <c r="J92" s="7" t="s">
        <v>32</v>
      </c>
      <c r="K92" s="7" t="s">
        <v>212</v>
      </c>
      <c r="L92" s="7">
        <v>1</v>
      </c>
      <c r="M92" s="7" t="s">
        <v>32</v>
      </c>
      <c r="N92" s="7" t="s">
        <v>34</v>
      </c>
      <c r="O92" s="7" t="s">
        <v>34</v>
      </c>
      <c r="P92" s="7" t="s">
        <v>34</v>
      </c>
      <c r="Q92" s="7" t="s">
        <v>34</v>
      </c>
      <c r="R92" s="7" t="s">
        <v>34</v>
      </c>
      <c r="S92" s="7" t="s">
        <v>34</v>
      </c>
      <c r="T92" s="7" t="s">
        <v>34</v>
      </c>
      <c r="U92" s="7" t="s">
        <v>32</v>
      </c>
      <c r="V92" s="7">
        <v>1</v>
      </c>
      <c r="W92" s="7" t="s">
        <v>32</v>
      </c>
      <c r="X92" s="7" t="s">
        <v>32</v>
      </c>
      <c r="Y92" s="7" t="s">
        <v>32</v>
      </c>
      <c r="Z92" s="7" t="s">
        <v>32</v>
      </c>
      <c r="AA92" s="7">
        <v>27686278</v>
      </c>
      <c r="AB92" s="7">
        <v>1</v>
      </c>
      <c r="AC92" s="7"/>
      <c r="AD92" s="7">
        <v>3</v>
      </c>
      <c r="AE92" s="7">
        <f t="shared" si="3"/>
        <v>36</v>
      </c>
      <c r="AF92" s="7">
        <v>18</v>
      </c>
      <c r="AG92" s="7">
        <v>18</v>
      </c>
      <c r="AH92" s="7" t="s">
        <v>2845</v>
      </c>
      <c r="AI92" s="7" t="s">
        <v>2845</v>
      </c>
      <c r="AJ92" s="7">
        <v>39.39</v>
      </c>
      <c r="AK92" s="7">
        <v>12.36</v>
      </c>
      <c r="AL92" s="7">
        <v>36.61</v>
      </c>
      <c r="AM92" s="7">
        <v>12.21</v>
      </c>
      <c r="AN92" s="7" t="s">
        <v>2947</v>
      </c>
      <c r="AO92" s="7" t="s">
        <v>1638</v>
      </c>
      <c r="AP92" s="7" t="s">
        <v>3040</v>
      </c>
      <c r="AQ92" s="7" t="s">
        <v>3039</v>
      </c>
      <c r="AR92" s="7" t="s">
        <v>2982</v>
      </c>
      <c r="AS92" s="7" t="s">
        <v>1639</v>
      </c>
      <c r="AT92" s="21" t="s">
        <v>1646</v>
      </c>
      <c r="AU92" s="21" t="s">
        <v>2899</v>
      </c>
      <c r="AV92" s="21" t="s">
        <v>2848</v>
      </c>
      <c r="AW92" s="7">
        <v>13</v>
      </c>
      <c r="AX92" s="7">
        <v>13</v>
      </c>
      <c r="AY92" s="7" t="s">
        <v>3048</v>
      </c>
      <c r="AZ92" s="7">
        <v>2.5000000000000001E-2</v>
      </c>
      <c r="BA92" s="7">
        <v>0.03</v>
      </c>
      <c r="BB92" s="7"/>
      <c r="BC92" s="7" t="s">
        <v>3060</v>
      </c>
      <c r="BD92" s="7">
        <v>2.4E-2</v>
      </c>
      <c r="BE92" s="7">
        <v>0.03</v>
      </c>
      <c r="BF92" s="7"/>
    </row>
    <row r="93" spans="1:58" x14ac:dyDescent="0.2">
      <c r="A93" s="7">
        <v>26</v>
      </c>
      <c r="B93" s="7" t="s">
        <v>208</v>
      </c>
      <c r="C93" s="7" t="s">
        <v>209</v>
      </c>
      <c r="D93" s="7" t="s">
        <v>210</v>
      </c>
      <c r="E93" s="7" t="s">
        <v>211</v>
      </c>
      <c r="F93" s="7" t="s">
        <v>203</v>
      </c>
      <c r="G93" s="7">
        <v>2016</v>
      </c>
      <c r="H93" s="8">
        <v>42679</v>
      </c>
      <c r="I93" s="7" t="s">
        <v>32</v>
      </c>
      <c r="J93" s="7" t="s">
        <v>32</v>
      </c>
      <c r="K93" s="7" t="s">
        <v>212</v>
      </c>
      <c r="L93" s="7">
        <v>1</v>
      </c>
      <c r="M93" s="7" t="s">
        <v>32</v>
      </c>
      <c r="N93" s="7" t="s">
        <v>34</v>
      </c>
      <c r="O93" s="7" t="s">
        <v>34</v>
      </c>
      <c r="P93" s="7" t="s">
        <v>34</v>
      </c>
      <c r="Q93" s="7" t="s">
        <v>34</v>
      </c>
      <c r="R93" s="7" t="s">
        <v>34</v>
      </c>
      <c r="S93" s="7" t="s">
        <v>34</v>
      </c>
      <c r="T93" s="7" t="s">
        <v>34</v>
      </c>
      <c r="U93" s="7" t="s">
        <v>32</v>
      </c>
      <c r="V93" s="7">
        <v>1</v>
      </c>
      <c r="W93" s="7" t="s">
        <v>32</v>
      </c>
      <c r="X93" s="7" t="s">
        <v>32</v>
      </c>
      <c r="Y93" s="7" t="s">
        <v>32</v>
      </c>
      <c r="Z93" s="7" t="s">
        <v>32</v>
      </c>
      <c r="AA93" s="7">
        <v>27686278</v>
      </c>
      <c r="AB93" s="7">
        <v>1</v>
      </c>
      <c r="AC93" s="7"/>
      <c r="AD93" s="7">
        <v>3</v>
      </c>
      <c r="AE93" s="7">
        <f t="shared" si="3"/>
        <v>36</v>
      </c>
      <c r="AF93" s="7">
        <v>18</v>
      </c>
      <c r="AG93" s="7">
        <v>18</v>
      </c>
      <c r="AH93" s="7" t="s">
        <v>2845</v>
      </c>
      <c r="AI93" s="7" t="s">
        <v>2845</v>
      </c>
      <c r="AJ93" s="7">
        <v>39.39</v>
      </c>
      <c r="AK93" s="7">
        <v>12.36</v>
      </c>
      <c r="AL93" s="7">
        <v>36.61</v>
      </c>
      <c r="AM93" s="7">
        <v>12.21</v>
      </c>
      <c r="AN93" s="7" t="s">
        <v>2947</v>
      </c>
      <c r="AO93" s="7" t="s">
        <v>1638</v>
      </c>
      <c r="AP93" s="7" t="s">
        <v>3040</v>
      </c>
      <c r="AQ93" s="7" t="s">
        <v>3039</v>
      </c>
      <c r="AR93" s="7" t="s">
        <v>2982</v>
      </c>
      <c r="AS93" s="7" t="s">
        <v>1639</v>
      </c>
      <c r="AT93" s="21" t="s">
        <v>1646</v>
      </c>
      <c r="AU93" s="21" t="s">
        <v>3041</v>
      </c>
      <c r="AV93" s="21" t="s">
        <v>2848</v>
      </c>
      <c r="AW93" s="7">
        <v>13</v>
      </c>
      <c r="AX93" s="7">
        <v>13</v>
      </c>
      <c r="AY93" s="7" t="s">
        <v>3049</v>
      </c>
      <c r="AZ93" s="7">
        <v>5.3999999999999999E-2</v>
      </c>
      <c r="BA93" s="7">
        <v>0.1</v>
      </c>
      <c r="BB93" s="7"/>
      <c r="BC93" s="7" t="s">
        <v>3061</v>
      </c>
      <c r="BD93" s="7">
        <v>5.8999999999999997E-2</v>
      </c>
      <c r="BE93" s="7">
        <v>0.06</v>
      </c>
      <c r="BF93" s="7"/>
    </row>
    <row r="94" spans="1:58" x14ac:dyDescent="0.2">
      <c r="A94" s="7">
        <v>26</v>
      </c>
      <c r="B94" s="7" t="s">
        <v>208</v>
      </c>
      <c r="C94" s="7" t="s">
        <v>209</v>
      </c>
      <c r="D94" s="7" t="s">
        <v>210</v>
      </c>
      <c r="E94" s="7" t="s">
        <v>211</v>
      </c>
      <c r="F94" s="7" t="s">
        <v>203</v>
      </c>
      <c r="G94" s="7">
        <v>2016</v>
      </c>
      <c r="H94" s="8">
        <v>42679</v>
      </c>
      <c r="I94" s="7" t="s">
        <v>32</v>
      </c>
      <c r="J94" s="7" t="s">
        <v>32</v>
      </c>
      <c r="K94" s="7" t="s">
        <v>212</v>
      </c>
      <c r="L94" s="7">
        <v>1</v>
      </c>
      <c r="M94" s="7" t="s">
        <v>32</v>
      </c>
      <c r="N94" s="7" t="s">
        <v>34</v>
      </c>
      <c r="O94" s="7" t="s">
        <v>34</v>
      </c>
      <c r="P94" s="7" t="s">
        <v>34</v>
      </c>
      <c r="Q94" s="7" t="s">
        <v>34</v>
      </c>
      <c r="R94" s="7" t="s">
        <v>34</v>
      </c>
      <c r="S94" s="7" t="s">
        <v>34</v>
      </c>
      <c r="T94" s="7" t="s">
        <v>34</v>
      </c>
      <c r="U94" s="7" t="s">
        <v>32</v>
      </c>
      <c r="V94" s="7">
        <v>1</v>
      </c>
      <c r="W94" s="7" t="s">
        <v>32</v>
      </c>
      <c r="X94" s="7" t="s">
        <v>32</v>
      </c>
      <c r="Y94" s="7" t="s">
        <v>32</v>
      </c>
      <c r="Z94" s="7" t="s">
        <v>32</v>
      </c>
      <c r="AA94" s="7">
        <v>27686278</v>
      </c>
      <c r="AB94" s="7">
        <v>1</v>
      </c>
      <c r="AC94" s="7"/>
      <c r="AD94" s="7">
        <v>3</v>
      </c>
      <c r="AE94" s="7">
        <f t="shared" si="3"/>
        <v>36</v>
      </c>
      <c r="AF94" s="7">
        <v>18</v>
      </c>
      <c r="AG94" s="7">
        <v>18</v>
      </c>
      <c r="AH94" s="7" t="s">
        <v>2845</v>
      </c>
      <c r="AI94" s="7" t="s">
        <v>2845</v>
      </c>
      <c r="AJ94" s="7">
        <v>39.39</v>
      </c>
      <c r="AK94" s="7">
        <v>12.36</v>
      </c>
      <c r="AL94" s="7">
        <v>36.61</v>
      </c>
      <c r="AM94" s="7">
        <v>12.21</v>
      </c>
      <c r="AN94" s="7" t="s">
        <v>2947</v>
      </c>
      <c r="AO94" s="7" t="s">
        <v>1638</v>
      </c>
      <c r="AP94" s="7" t="s">
        <v>3040</v>
      </c>
      <c r="AQ94" s="7" t="s">
        <v>3039</v>
      </c>
      <c r="AR94" s="7" t="s">
        <v>2982</v>
      </c>
      <c r="AS94" s="7" t="s">
        <v>1639</v>
      </c>
      <c r="AT94" s="21" t="s">
        <v>1646</v>
      </c>
      <c r="AU94" s="21" t="s">
        <v>3042</v>
      </c>
      <c r="AV94" s="21" t="s">
        <v>2848</v>
      </c>
      <c r="AW94" s="7">
        <v>13</v>
      </c>
      <c r="AX94" s="7">
        <v>13</v>
      </c>
      <c r="AY94" s="7" t="s">
        <v>3050</v>
      </c>
      <c r="AZ94" s="7">
        <v>0.30399999999999999</v>
      </c>
      <c r="BA94" s="7">
        <v>0.05</v>
      </c>
      <c r="BB94" s="7"/>
      <c r="BC94" s="7" t="s">
        <v>3062</v>
      </c>
      <c r="BD94" s="7">
        <v>3.6999999999999998E-2</v>
      </c>
      <c r="BE94" s="7">
        <v>0.03</v>
      </c>
      <c r="BF94" s="7"/>
    </row>
    <row r="95" spans="1:58" x14ac:dyDescent="0.2">
      <c r="A95" s="7">
        <v>26</v>
      </c>
      <c r="B95" s="7" t="s">
        <v>208</v>
      </c>
      <c r="C95" s="7" t="s">
        <v>209</v>
      </c>
      <c r="D95" s="7" t="s">
        <v>210</v>
      </c>
      <c r="E95" s="7" t="s">
        <v>211</v>
      </c>
      <c r="F95" s="7" t="s">
        <v>203</v>
      </c>
      <c r="G95" s="7">
        <v>2016</v>
      </c>
      <c r="H95" s="8">
        <v>42679</v>
      </c>
      <c r="I95" s="7" t="s">
        <v>32</v>
      </c>
      <c r="J95" s="7" t="s">
        <v>32</v>
      </c>
      <c r="K95" s="7" t="s">
        <v>212</v>
      </c>
      <c r="L95" s="7">
        <v>1</v>
      </c>
      <c r="M95" s="7" t="s">
        <v>32</v>
      </c>
      <c r="N95" s="7" t="s">
        <v>34</v>
      </c>
      <c r="O95" s="7" t="s">
        <v>34</v>
      </c>
      <c r="P95" s="7" t="s">
        <v>34</v>
      </c>
      <c r="Q95" s="7" t="s">
        <v>34</v>
      </c>
      <c r="R95" s="7" t="s">
        <v>34</v>
      </c>
      <c r="S95" s="7" t="s">
        <v>34</v>
      </c>
      <c r="T95" s="7" t="s">
        <v>34</v>
      </c>
      <c r="U95" s="7" t="s">
        <v>32</v>
      </c>
      <c r="V95" s="7">
        <v>1</v>
      </c>
      <c r="W95" s="7" t="s">
        <v>32</v>
      </c>
      <c r="X95" s="7" t="s">
        <v>32</v>
      </c>
      <c r="Y95" s="7" t="s">
        <v>32</v>
      </c>
      <c r="Z95" s="7" t="s">
        <v>32</v>
      </c>
      <c r="AA95" s="7">
        <v>27686278</v>
      </c>
      <c r="AB95" s="7">
        <v>1</v>
      </c>
      <c r="AC95" s="7"/>
      <c r="AD95" s="7">
        <v>3</v>
      </c>
      <c r="AE95" s="7">
        <f t="shared" si="3"/>
        <v>36</v>
      </c>
      <c r="AF95" s="7">
        <v>18</v>
      </c>
      <c r="AG95" s="7">
        <v>18</v>
      </c>
      <c r="AH95" s="7" t="s">
        <v>2845</v>
      </c>
      <c r="AI95" s="7" t="s">
        <v>2845</v>
      </c>
      <c r="AJ95" s="7">
        <v>39.39</v>
      </c>
      <c r="AK95" s="7">
        <v>12.36</v>
      </c>
      <c r="AL95" s="7">
        <v>36.61</v>
      </c>
      <c r="AM95" s="7">
        <v>12.21</v>
      </c>
      <c r="AN95" s="7" t="s">
        <v>2947</v>
      </c>
      <c r="AO95" s="7" t="s">
        <v>1638</v>
      </c>
      <c r="AP95" s="7" t="s">
        <v>3040</v>
      </c>
      <c r="AQ95" s="7" t="s">
        <v>3039</v>
      </c>
      <c r="AR95" s="7" t="s">
        <v>2982</v>
      </c>
      <c r="AS95" s="7" t="s">
        <v>1639</v>
      </c>
      <c r="AT95" s="21" t="s">
        <v>1646</v>
      </c>
      <c r="AU95" s="21" t="s">
        <v>3041</v>
      </c>
      <c r="AV95" s="21" t="s">
        <v>2848</v>
      </c>
      <c r="AW95" s="7">
        <v>13</v>
      </c>
      <c r="AX95" s="7">
        <v>13</v>
      </c>
      <c r="AY95" s="7" t="s">
        <v>3051</v>
      </c>
      <c r="AZ95" s="7">
        <v>0.05</v>
      </c>
      <c r="BA95" s="7">
        <v>0.09</v>
      </c>
      <c r="BB95" s="7"/>
      <c r="BC95" s="7" t="s">
        <v>3063</v>
      </c>
      <c r="BD95" s="7">
        <v>3.2000000000000001E-2</v>
      </c>
      <c r="BE95" s="7">
        <v>4.8000000000000001E-2</v>
      </c>
      <c r="BF95" s="7"/>
    </row>
    <row r="96" spans="1:58" x14ac:dyDescent="0.2">
      <c r="A96" s="7">
        <v>26</v>
      </c>
      <c r="B96" s="7" t="s">
        <v>208</v>
      </c>
      <c r="C96" s="7" t="s">
        <v>209</v>
      </c>
      <c r="D96" s="7" t="s">
        <v>210</v>
      </c>
      <c r="E96" s="7" t="s">
        <v>211</v>
      </c>
      <c r="F96" s="7" t="s">
        <v>203</v>
      </c>
      <c r="G96" s="7">
        <v>2016</v>
      </c>
      <c r="H96" s="8">
        <v>42679</v>
      </c>
      <c r="I96" s="7" t="s">
        <v>32</v>
      </c>
      <c r="J96" s="7" t="s">
        <v>32</v>
      </c>
      <c r="K96" s="7" t="s">
        <v>212</v>
      </c>
      <c r="L96" s="7">
        <v>1</v>
      </c>
      <c r="M96" s="7" t="s">
        <v>32</v>
      </c>
      <c r="N96" s="7" t="s">
        <v>34</v>
      </c>
      <c r="O96" s="7" t="s">
        <v>34</v>
      </c>
      <c r="P96" s="7" t="s">
        <v>34</v>
      </c>
      <c r="Q96" s="7" t="s">
        <v>34</v>
      </c>
      <c r="R96" s="7" t="s">
        <v>34</v>
      </c>
      <c r="S96" s="7" t="s">
        <v>34</v>
      </c>
      <c r="T96" s="7" t="s">
        <v>34</v>
      </c>
      <c r="U96" s="7" t="s">
        <v>32</v>
      </c>
      <c r="V96" s="7">
        <v>1</v>
      </c>
      <c r="W96" s="7" t="s">
        <v>32</v>
      </c>
      <c r="X96" s="7" t="s">
        <v>32</v>
      </c>
      <c r="Y96" s="7" t="s">
        <v>32</v>
      </c>
      <c r="Z96" s="7" t="s">
        <v>32</v>
      </c>
      <c r="AA96" s="7">
        <v>27686278</v>
      </c>
      <c r="AB96" s="7">
        <v>1</v>
      </c>
      <c r="AC96" s="7"/>
      <c r="AD96" s="7">
        <v>3</v>
      </c>
      <c r="AE96" s="7">
        <f t="shared" si="3"/>
        <v>36</v>
      </c>
      <c r="AF96" s="7">
        <v>18</v>
      </c>
      <c r="AG96" s="7">
        <v>18</v>
      </c>
      <c r="AH96" s="7" t="s">
        <v>2845</v>
      </c>
      <c r="AI96" s="7" t="s">
        <v>2845</v>
      </c>
      <c r="AJ96" s="7">
        <v>39.39</v>
      </c>
      <c r="AK96" s="7">
        <v>12.36</v>
      </c>
      <c r="AL96" s="7">
        <v>36.61</v>
      </c>
      <c r="AM96" s="7">
        <v>12.21</v>
      </c>
      <c r="AN96" s="7" t="s">
        <v>2947</v>
      </c>
      <c r="AO96" s="7" t="s">
        <v>1638</v>
      </c>
      <c r="AP96" s="7" t="s">
        <v>3040</v>
      </c>
      <c r="AQ96" s="7" t="s">
        <v>3039</v>
      </c>
      <c r="AR96" s="7" t="s">
        <v>2982</v>
      </c>
      <c r="AS96" s="7" t="s">
        <v>1639</v>
      </c>
      <c r="AT96" s="21" t="s">
        <v>1646</v>
      </c>
      <c r="AU96" s="21" t="s">
        <v>3042</v>
      </c>
      <c r="AV96" s="21" t="s">
        <v>2848</v>
      </c>
      <c r="AW96" s="7">
        <v>13</v>
      </c>
      <c r="AX96" s="7">
        <v>13</v>
      </c>
      <c r="AY96" s="7" t="s">
        <v>3052</v>
      </c>
      <c r="AZ96" s="7">
        <v>2.4E-2</v>
      </c>
      <c r="BA96" s="7">
        <v>3.9E-2</v>
      </c>
      <c r="BB96" s="7"/>
      <c r="BC96" s="7" t="s">
        <v>3064</v>
      </c>
      <c r="BD96" s="7">
        <v>0.03</v>
      </c>
      <c r="BE96" s="7">
        <v>0.03</v>
      </c>
      <c r="BF96" s="7"/>
    </row>
    <row r="97" spans="1:59" x14ac:dyDescent="0.2">
      <c r="A97" s="7">
        <v>26</v>
      </c>
      <c r="B97" s="7" t="s">
        <v>208</v>
      </c>
      <c r="C97" s="7" t="s">
        <v>209</v>
      </c>
      <c r="D97" s="7" t="s">
        <v>210</v>
      </c>
      <c r="E97" s="7" t="s">
        <v>211</v>
      </c>
      <c r="F97" s="7" t="s">
        <v>203</v>
      </c>
      <c r="G97" s="7">
        <v>2016</v>
      </c>
      <c r="H97" s="8">
        <v>42679</v>
      </c>
      <c r="I97" s="7" t="s">
        <v>32</v>
      </c>
      <c r="J97" s="7" t="s">
        <v>32</v>
      </c>
      <c r="K97" s="7" t="s">
        <v>212</v>
      </c>
      <c r="L97" s="7">
        <v>1</v>
      </c>
      <c r="M97" s="7" t="s">
        <v>32</v>
      </c>
      <c r="N97" s="7" t="s">
        <v>34</v>
      </c>
      <c r="O97" s="7" t="s">
        <v>34</v>
      </c>
      <c r="P97" s="7" t="s">
        <v>34</v>
      </c>
      <c r="Q97" s="7" t="s">
        <v>34</v>
      </c>
      <c r="R97" s="7" t="s">
        <v>34</v>
      </c>
      <c r="S97" s="7" t="s">
        <v>34</v>
      </c>
      <c r="T97" s="7" t="s">
        <v>34</v>
      </c>
      <c r="U97" s="7" t="s">
        <v>32</v>
      </c>
      <c r="V97" s="7">
        <v>1</v>
      </c>
      <c r="W97" s="7" t="s">
        <v>32</v>
      </c>
      <c r="X97" s="7" t="s">
        <v>32</v>
      </c>
      <c r="Y97" s="7" t="s">
        <v>32</v>
      </c>
      <c r="Z97" s="7" t="s">
        <v>32</v>
      </c>
      <c r="AA97" s="7">
        <v>27686278</v>
      </c>
      <c r="AB97" s="7">
        <v>1</v>
      </c>
      <c r="AC97" s="7"/>
      <c r="AD97" s="7">
        <v>3</v>
      </c>
      <c r="AE97" s="7">
        <f t="shared" si="3"/>
        <v>36</v>
      </c>
      <c r="AF97" s="7">
        <v>18</v>
      </c>
      <c r="AG97" s="7">
        <v>18</v>
      </c>
      <c r="AH97" s="7" t="s">
        <v>2845</v>
      </c>
      <c r="AI97" s="7" t="s">
        <v>2845</v>
      </c>
      <c r="AJ97" s="7">
        <v>39.39</v>
      </c>
      <c r="AK97" s="7">
        <v>12.36</v>
      </c>
      <c r="AL97" s="7">
        <v>36.61</v>
      </c>
      <c r="AM97" s="7">
        <v>12.21</v>
      </c>
      <c r="AN97" s="7" t="s">
        <v>2947</v>
      </c>
      <c r="AO97" s="7" t="s">
        <v>1638</v>
      </c>
      <c r="AP97" s="7" t="s">
        <v>3040</v>
      </c>
      <c r="AQ97" s="7" t="s">
        <v>3039</v>
      </c>
      <c r="AR97" s="7" t="s">
        <v>2982</v>
      </c>
      <c r="AS97" s="7" t="s">
        <v>1639</v>
      </c>
      <c r="AT97" s="21" t="s">
        <v>1646</v>
      </c>
      <c r="AU97" s="21" t="s">
        <v>3043</v>
      </c>
      <c r="AV97" s="21" t="s">
        <v>2848</v>
      </c>
      <c r="AW97" s="7">
        <v>13</v>
      </c>
      <c r="AX97" s="7">
        <v>13</v>
      </c>
      <c r="AY97" s="7" t="s">
        <v>3053</v>
      </c>
      <c r="AZ97" s="7">
        <v>8.3000000000000004E-2</v>
      </c>
      <c r="BA97" s="7">
        <v>0.1</v>
      </c>
      <c r="BB97" s="7"/>
      <c r="BC97" s="7" t="s">
        <v>3065</v>
      </c>
      <c r="BD97" s="7">
        <v>4.1000000000000002E-2</v>
      </c>
      <c r="BE97" s="7">
        <v>0.06</v>
      </c>
      <c r="BF97" s="7"/>
    </row>
    <row r="98" spans="1:59" x14ac:dyDescent="0.2">
      <c r="A98" s="7">
        <v>26</v>
      </c>
      <c r="B98" s="7" t="s">
        <v>208</v>
      </c>
      <c r="C98" s="7" t="s">
        <v>209</v>
      </c>
      <c r="D98" s="7" t="s">
        <v>210</v>
      </c>
      <c r="E98" s="7" t="s">
        <v>211</v>
      </c>
      <c r="F98" s="7" t="s">
        <v>203</v>
      </c>
      <c r="G98" s="7">
        <v>2016</v>
      </c>
      <c r="H98" s="8">
        <v>42679</v>
      </c>
      <c r="I98" s="7" t="s">
        <v>32</v>
      </c>
      <c r="J98" s="7" t="s">
        <v>32</v>
      </c>
      <c r="K98" s="7" t="s">
        <v>212</v>
      </c>
      <c r="L98" s="7">
        <v>1</v>
      </c>
      <c r="M98" s="7" t="s">
        <v>32</v>
      </c>
      <c r="N98" s="7" t="s">
        <v>34</v>
      </c>
      <c r="O98" s="7" t="s">
        <v>34</v>
      </c>
      <c r="P98" s="7" t="s">
        <v>34</v>
      </c>
      <c r="Q98" s="7" t="s">
        <v>34</v>
      </c>
      <c r="R98" s="7" t="s">
        <v>34</v>
      </c>
      <c r="S98" s="7" t="s">
        <v>34</v>
      </c>
      <c r="T98" s="7" t="s">
        <v>34</v>
      </c>
      <c r="U98" s="7" t="s">
        <v>32</v>
      </c>
      <c r="V98" s="7">
        <v>1</v>
      </c>
      <c r="W98" s="7" t="s">
        <v>32</v>
      </c>
      <c r="X98" s="7" t="s">
        <v>32</v>
      </c>
      <c r="Y98" s="7" t="s">
        <v>32</v>
      </c>
      <c r="Z98" s="7" t="s">
        <v>32</v>
      </c>
      <c r="AA98" s="7">
        <v>27686278</v>
      </c>
      <c r="AB98" s="7">
        <v>1</v>
      </c>
      <c r="AC98" s="7"/>
      <c r="AD98" s="7">
        <v>3</v>
      </c>
      <c r="AE98" s="7">
        <f t="shared" si="3"/>
        <v>36</v>
      </c>
      <c r="AF98" s="7">
        <v>18</v>
      </c>
      <c r="AG98" s="7">
        <v>18</v>
      </c>
      <c r="AH98" s="7" t="s">
        <v>2845</v>
      </c>
      <c r="AI98" s="7" t="s">
        <v>2845</v>
      </c>
      <c r="AJ98" s="7">
        <v>39.39</v>
      </c>
      <c r="AK98" s="7">
        <v>12.36</v>
      </c>
      <c r="AL98" s="7">
        <v>36.61</v>
      </c>
      <c r="AM98" s="7">
        <v>12.21</v>
      </c>
      <c r="AN98" s="7" t="s">
        <v>2947</v>
      </c>
      <c r="AO98" s="7" t="s">
        <v>1638</v>
      </c>
      <c r="AP98" s="7" t="s">
        <v>3040</v>
      </c>
      <c r="AQ98" s="7" t="s">
        <v>3039</v>
      </c>
      <c r="AR98" s="7" t="s">
        <v>2982</v>
      </c>
      <c r="AS98" s="7" t="s">
        <v>1639</v>
      </c>
      <c r="AT98" s="21" t="s">
        <v>1646</v>
      </c>
      <c r="AU98" s="21" t="s">
        <v>3044</v>
      </c>
      <c r="AV98" s="21" t="s">
        <v>2848</v>
      </c>
      <c r="AW98" s="7">
        <v>13</v>
      </c>
      <c r="AX98" s="7">
        <v>13</v>
      </c>
      <c r="AY98" s="7" t="s">
        <v>3054</v>
      </c>
      <c r="AZ98" s="7">
        <v>3.4000000000000002E-2</v>
      </c>
      <c r="BA98" s="7">
        <v>0.04</v>
      </c>
      <c r="BB98" s="7"/>
      <c r="BC98" s="7" t="s">
        <v>3066</v>
      </c>
      <c r="BD98" s="19">
        <v>3.5999999999999997E-2</v>
      </c>
      <c r="BE98" s="7">
        <v>0.04</v>
      </c>
      <c r="BF98" s="7"/>
    </row>
    <row r="99" spans="1:59" x14ac:dyDescent="0.2">
      <c r="A99" s="7">
        <v>26</v>
      </c>
      <c r="B99" s="7" t="s">
        <v>208</v>
      </c>
      <c r="C99" s="7" t="s">
        <v>209</v>
      </c>
      <c r="D99" s="7" t="s">
        <v>210</v>
      </c>
      <c r="E99" s="7" t="s">
        <v>211</v>
      </c>
      <c r="F99" s="7" t="s">
        <v>203</v>
      </c>
      <c r="G99" s="7">
        <v>2016</v>
      </c>
      <c r="H99" s="8">
        <v>42679</v>
      </c>
      <c r="I99" s="7" t="s">
        <v>32</v>
      </c>
      <c r="J99" s="7" t="s">
        <v>32</v>
      </c>
      <c r="K99" s="7" t="s">
        <v>212</v>
      </c>
      <c r="L99" s="7">
        <v>1</v>
      </c>
      <c r="M99" s="7" t="s">
        <v>32</v>
      </c>
      <c r="N99" s="7" t="s">
        <v>34</v>
      </c>
      <c r="O99" s="7" t="s">
        <v>34</v>
      </c>
      <c r="P99" s="7" t="s">
        <v>34</v>
      </c>
      <c r="Q99" s="7" t="s">
        <v>34</v>
      </c>
      <c r="R99" s="7" t="s">
        <v>34</v>
      </c>
      <c r="S99" s="7" t="s">
        <v>34</v>
      </c>
      <c r="T99" s="7" t="s">
        <v>34</v>
      </c>
      <c r="U99" s="7" t="s">
        <v>32</v>
      </c>
      <c r="V99" s="7">
        <v>1</v>
      </c>
      <c r="W99" s="7" t="s">
        <v>32</v>
      </c>
      <c r="X99" s="7" t="s">
        <v>32</v>
      </c>
      <c r="Y99" s="7" t="s">
        <v>32</v>
      </c>
      <c r="Z99" s="7" t="s">
        <v>32</v>
      </c>
      <c r="AA99" s="7">
        <v>27686278</v>
      </c>
      <c r="AB99" s="7">
        <v>1</v>
      </c>
      <c r="AC99" s="7"/>
      <c r="AD99" s="7">
        <v>3</v>
      </c>
      <c r="AE99" s="7">
        <f t="shared" si="3"/>
        <v>36</v>
      </c>
      <c r="AF99" s="7">
        <v>18</v>
      </c>
      <c r="AG99" s="7">
        <v>18</v>
      </c>
      <c r="AH99" s="7" t="s">
        <v>2845</v>
      </c>
      <c r="AI99" s="7" t="s">
        <v>2845</v>
      </c>
      <c r="AJ99" s="7">
        <v>39.39</v>
      </c>
      <c r="AK99" s="7">
        <v>12.36</v>
      </c>
      <c r="AL99" s="7">
        <v>36.61</v>
      </c>
      <c r="AM99" s="7">
        <v>12.21</v>
      </c>
      <c r="AN99" s="7" t="s">
        <v>2947</v>
      </c>
      <c r="AO99" s="7" t="s">
        <v>1638</v>
      </c>
      <c r="AP99" s="7" t="s">
        <v>3040</v>
      </c>
      <c r="AQ99" s="7" t="s">
        <v>3039</v>
      </c>
      <c r="AR99" s="7" t="s">
        <v>2982</v>
      </c>
      <c r="AS99" s="7" t="s">
        <v>1639</v>
      </c>
      <c r="AT99" s="21" t="s">
        <v>1646</v>
      </c>
      <c r="AU99" s="21" t="s">
        <v>3043</v>
      </c>
      <c r="AV99" s="21" t="s">
        <v>2848</v>
      </c>
      <c r="AW99" s="7">
        <v>13</v>
      </c>
      <c r="AX99" s="7">
        <v>13</v>
      </c>
      <c r="AY99" s="7" t="s">
        <v>3055</v>
      </c>
      <c r="AZ99" s="7">
        <v>1.4999999999999999E-2</v>
      </c>
      <c r="BA99" s="7">
        <v>0.02</v>
      </c>
      <c r="BB99" s="7"/>
      <c r="BC99" s="7" t="s">
        <v>3067</v>
      </c>
      <c r="BD99" s="7">
        <v>2.7E-2</v>
      </c>
      <c r="BE99" s="7">
        <v>0.04</v>
      </c>
      <c r="BF99" s="7"/>
    </row>
    <row r="100" spans="1:59" x14ac:dyDescent="0.2">
      <c r="A100" s="7">
        <v>26</v>
      </c>
      <c r="B100" s="7" t="s">
        <v>208</v>
      </c>
      <c r="C100" s="7" t="s">
        <v>209</v>
      </c>
      <c r="D100" s="7" t="s">
        <v>210</v>
      </c>
      <c r="E100" s="7" t="s">
        <v>211</v>
      </c>
      <c r="F100" s="7" t="s">
        <v>203</v>
      </c>
      <c r="G100" s="7">
        <v>2016</v>
      </c>
      <c r="H100" s="8">
        <v>42679</v>
      </c>
      <c r="I100" s="7" t="s">
        <v>32</v>
      </c>
      <c r="J100" s="7" t="s">
        <v>32</v>
      </c>
      <c r="K100" s="7" t="s">
        <v>212</v>
      </c>
      <c r="L100" s="7">
        <v>1</v>
      </c>
      <c r="M100" s="7" t="s">
        <v>32</v>
      </c>
      <c r="N100" s="7" t="s">
        <v>34</v>
      </c>
      <c r="O100" s="7" t="s">
        <v>34</v>
      </c>
      <c r="P100" s="7" t="s">
        <v>34</v>
      </c>
      <c r="Q100" s="7" t="s">
        <v>34</v>
      </c>
      <c r="R100" s="7" t="s">
        <v>34</v>
      </c>
      <c r="S100" s="7" t="s">
        <v>34</v>
      </c>
      <c r="T100" s="7" t="s">
        <v>34</v>
      </c>
      <c r="U100" s="7" t="s">
        <v>32</v>
      </c>
      <c r="V100" s="7">
        <v>1</v>
      </c>
      <c r="W100" s="7" t="s">
        <v>32</v>
      </c>
      <c r="X100" s="7" t="s">
        <v>32</v>
      </c>
      <c r="Y100" s="7" t="s">
        <v>32</v>
      </c>
      <c r="Z100" s="7" t="s">
        <v>32</v>
      </c>
      <c r="AA100" s="7">
        <v>27686278</v>
      </c>
      <c r="AB100" s="7">
        <v>1</v>
      </c>
      <c r="AC100" s="7"/>
      <c r="AD100" s="7">
        <v>3</v>
      </c>
      <c r="AE100" s="7">
        <f t="shared" si="3"/>
        <v>36</v>
      </c>
      <c r="AF100" s="7">
        <v>18</v>
      </c>
      <c r="AG100" s="7">
        <v>18</v>
      </c>
      <c r="AH100" s="7" t="s">
        <v>2845</v>
      </c>
      <c r="AI100" s="7" t="s">
        <v>2845</v>
      </c>
      <c r="AJ100" s="7">
        <v>39.39</v>
      </c>
      <c r="AK100" s="7">
        <v>12.36</v>
      </c>
      <c r="AL100" s="7">
        <v>36.61</v>
      </c>
      <c r="AM100" s="7">
        <v>12.21</v>
      </c>
      <c r="AN100" s="7" t="s">
        <v>2947</v>
      </c>
      <c r="AO100" s="7" t="s">
        <v>1638</v>
      </c>
      <c r="AP100" s="7" t="s">
        <v>3040</v>
      </c>
      <c r="AQ100" s="7" t="s">
        <v>3039</v>
      </c>
      <c r="AR100" s="7" t="s">
        <v>2982</v>
      </c>
      <c r="AS100" s="7" t="s">
        <v>1639</v>
      </c>
      <c r="AT100" s="21" t="s">
        <v>1646</v>
      </c>
      <c r="AU100" s="21" t="s">
        <v>3044</v>
      </c>
      <c r="AV100" s="21" t="s">
        <v>2848</v>
      </c>
      <c r="AW100" s="7">
        <v>13</v>
      </c>
      <c r="AX100" s="7">
        <v>13</v>
      </c>
      <c r="AY100" s="7" t="s">
        <v>3056</v>
      </c>
      <c r="AZ100" s="7">
        <v>1.2E-2</v>
      </c>
      <c r="BA100" s="7">
        <v>0.02</v>
      </c>
      <c r="BB100" s="7"/>
      <c r="BC100" s="7" t="s">
        <v>3068</v>
      </c>
      <c r="BD100" s="7">
        <v>0.02</v>
      </c>
      <c r="BE100" s="7">
        <v>0.03</v>
      </c>
      <c r="BF100" s="7"/>
    </row>
    <row r="101" spans="1:59" s="65" customFormat="1" x14ac:dyDescent="0.2">
      <c r="A101" s="20">
        <v>27</v>
      </c>
      <c r="B101" s="20" t="s">
        <v>213</v>
      </c>
      <c r="C101" s="20" t="s">
        <v>214</v>
      </c>
      <c r="D101" s="20" t="s">
        <v>215</v>
      </c>
      <c r="E101" s="20" t="s">
        <v>216</v>
      </c>
      <c r="F101" s="20" t="s">
        <v>217</v>
      </c>
      <c r="G101" s="20">
        <v>2017</v>
      </c>
      <c r="H101" s="64">
        <v>42675</v>
      </c>
      <c r="I101" s="20" t="s">
        <v>218</v>
      </c>
      <c r="J101" s="20" t="s">
        <v>219</v>
      </c>
      <c r="K101" s="20" t="s">
        <v>220</v>
      </c>
      <c r="L101" s="20">
        <v>1</v>
      </c>
      <c r="M101" s="20" t="s">
        <v>32</v>
      </c>
      <c r="N101" s="20" t="s">
        <v>34</v>
      </c>
      <c r="O101" s="20" t="s">
        <v>34</v>
      </c>
      <c r="P101" s="20" t="s">
        <v>34</v>
      </c>
      <c r="Q101" s="20" t="s">
        <v>34</v>
      </c>
      <c r="R101" s="20" t="s">
        <v>34</v>
      </c>
      <c r="S101" s="20" t="s">
        <v>34</v>
      </c>
      <c r="T101" s="20" t="s">
        <v>34</v>
      </c>
      <c r="U101" s="20" t="s">
        <v>32</v>
      </c>
      <c r="V101" s="20">
        <v>1</v>
      </c>
      <c r="W101" s="20" t="s">
        <v>32</v>
      </c>
      <c r="X101" s="20" t="s">
        <v>32</v>
      </c>
      <c r="Y101" s="20" t="s">
        <v>32</v>
      </c>
      <c r="Z101" s="20" t="s">
        <v>32</v>
      </c>
      <c r="AA101" s="20">
        <v>27794690</v>
      </c>
      <c r="AB101" s="20">
        <v>0</v>
      </c>
      <c r="AC101" s="20" t="s">
        <v>3082</v>
      </c>
      <c r="AD101" s="20">
        <v>2</v>
      </c>
      <c r="AE101" s="20">
        <f t="shared" si="3"/>
        <v>40</v>
      </c>
      <c r="AF101" s="20">
        <v>20</v>
      </c>
      <c r="AG101" s="20">
        <v>20</v>
      </c>
      <c r="AH101" s="20" t="s">
        <v>1642</v>
      </c>
      <c r="AI101" s="20" t="s">
        <v>1642</v>
      </c>
      <c r="AJ101" s="20"/>
      <c r="AK101" s="20"/>
      <c r="AL101" s="20"/>
      <c r="AM101" s="20"/>
      <c r="AN101" s="20"/>
      <c r="AO101" s="20"/>
      <c r="AP101" s="20"/>
      <c r="AQ101" s="20" t="s">
        <v>3039</v>
      </c>
      <c r="AR101" s="20"/>
      <c r="AS101" s="20"/>
      <c r="AT101" s="20"/>
      <c r="AU101" s="20"/>
      <c r="AV101" s="20"/>
      <c r="AW101" s="20"/>
      <c r="AX101" s="20"/>
      <c r="AY101" s="20"/>
      <c r="AZ101" s="20"/>
      <c r="BA101" s="20"/>
      <c r="BB101" s="20"/>
      <c r="BC101" s="20"/>
      <c r="BD101" s="20"/>
      <c r="BE101" s="20"/>
      <c r="BF101" s="20"/>
    </row>
    <row r="102" spans="1:59" x14ac:dyDescent="0.2">
      <c r="A102" s="7">
        <v>28</v>
      </c>
      <c r="B102" s="7" t="s">
        <v>221</v>
      </c>
      <c r="C102" s="7" t="s">
        <v>222</v>
      </c>
      <c r="D102" s="7" t="s">
        <v>223</v>
      </c>
      <c r="E102" s="7" t="s">
        <v>224</v>
      </c>
      <c r="F102" s="7" t="s">
        <v>225</v>
      </c>
      <c r="G102" s="7">
        <v>2016</v>
      </c>
      <c r="H102" s="8">
        <v>42633</v>
      </c>
      <c r="I102" s="7" t="s">
        <v>226</v>
      </c>
      <c r="J102" s="7" t="s">
        <v>227</v>
      </c>
      <c r="K102" s="7" t="s">
        <v>228</v>
      </c>
      <c r="L102" s="7">
        <v>1</v>
      </c>
      <c r="M102" s="7" t="s">
        <v>32</v>
      </c>
      <c r="N102" s="7" t="s">
        <v>34</v>
      </c>
      <c r="O102" s="7" t="s">
        <v>34</v>
      </c>
      <c r="P102" s="7" t="s">
        <v>34</v>
      </c>
      <c r="Q102" s="7" t="s">
        <v>34</v>
      </c>
      <c r="R102" s="7" t="s">
        <v>34</v>
      </c>
      <c r="S102" s="7" t="s">
        <v>34</v>
      </c>
      <c r="T102" s="7" t="s">
        <v>34</v>
      </c>
      <c r="U102" s="7" t="s">
        <v>32</v>
      </c>
      <c r="V102" s="7">
        <v>1</v>
      </c>
      <c r="W102" s="7" t="s">
        <v>32</v>
      </c>
      <c r="X102" s="7" t="s">
        <v>32</v>
      </c>
      <c r="Y102" s="7" t="s">
        <v>32</v>
      </c>
      <c r="Z102" s="7" t="s">
        <v>32</v>
      </c>
      <c r="AA102" s="7">
        <v>27641312</v>
      </c>
      <c r="AB102" s="7">
        <v>1</v>
      </c>
      <c r="AC102" s="7"/>
      <c r="AD102" s="7">
        <v>3</v>
      </c>
      <c r="AE102" s="7">
        <f t="shared" si="3"/>
        <v>40</v>
      </c>
      <c r="AF102" s="7">
        <v>19</v>
      </c>
      <c r="AG102" s="7">
        <v>21</v>
      </c>
      <c r="AH102" s="7" t="s">
        <v>2845</v>
      </c>
      <c r="AI102" s="7" t="s">
        <v>2845</v>
      </c>
      <c r="AJ102" s="7">
        <v>39.049999999999997</v>
      </c>
      <c r="AK102" s="19">
        <v>11.57</v>
      </c>
      <c r="AL102" s="7">
        <v>41.29</v>
      </c>
      <c r="AM102" s="7">
        <v>12.62</v>
      </c>
      <c r="AN102" s="7" t="s">
        <v>2947</v>
      </c>
      <c r="AO102" s="7" t="s">
        <v>1638</v>
      </c>
      <c r="AP102" s="7" t="s">
        <v>2846</v>
      </c>
      <c r="AQ102" s="7" t="s">
        <v>3083</v>
      </c>
      <c r="AR102" s="7" t="s">
        <v>1646</v>
      </c>
      <c r="AS102" s="7" t="s">
        <v>1639</v>
      </c>
      <c r="AT102" s="7" t="s">
        <v>1646</v>
      </c>
      <c r="AU102" s="7" t="s">
        <v>2899</v>
      </c>
      <c r="AV102" s="7" t="s">
        <v>2848</v>
      </c>
      <c r="AW102" s="7">
        <v>14</v>
      </c>
      <c r="AX102" s="7">
        <v>14</v>
      </c>
      <c r="AY102" s="7" t="s">
        <v>3084</v>
      </c>
      <c r="AZ102" s="7">
        <v>-7.3999999999999996E-2</v>
      </c>
      <c r="BA102" s="7">
        <v>0.25700000000000001</v>
      </c>
      <c r="BB102" s="7"/>
      <c r="BC102" s="7" t="s">
        <v>3086</v>
      </c>
      <c r="BD102" s="7">
        <v>-4.8000000000000001E-2</v>
      </c>
      <c r="BE102" s="7">
        <v>0.246</v>
      </c>
      <c r="BG102" s="7" t="s">
        <v>3088</v>
      </c>
    </row>
    <row r="103" spans="1:59" x14ac:dyDescent="0.2">
      <c r="A103" s="7">
        <v>28</v>
      </c>
      <c r="B103" s="7" t="s">
        <v>221</v>
      </c>
      <c r="C103" s="7" t="s">
        <v>222</v>
      </c>
      <c r="D103" s="7" t="s">
        <v>223</v>
      </c>
      <c r="E103" s="7" t="s">
        <v>224</v>
      </c>
      <c r="F103" s="7" t="s">
        <v>225</v>
      </c>
      <c r="G103" s="7">
        <v>2016</v>
      </c>
      <c r="H103" s="8">
        <v>42633</v>
      </c>
      <c r="I103" s="7" t="s">
        <v>226</v>
      </c>
      <c r="J103" s="7" t="s">
        <v>227</v>
      </c>
      <c r="K103" s="7" t="s">
        <v>228</v>
      </c>
      <c r="L103" s="7">
        <v>1</v>
      </c>
      <c r="M103" s="7" t="s">
        <v>32</v>
      </c>
      <c r="N103" s="7" t="s">
        <v>34</v>
      </c>
      <c r="O103" s="7" t="s">
        <v>34</v>
      </c>
      <c r="P103" s="7" t="s">
        <v>34</v>
      </c>
      <c r="Q103" s="7" t="s">
        <v>34</v>
      </c>
      <c r="R103" s="7" t="s">
        <v>34</v>
      </c>
      <c r="S103" s="7" t="s">
        <v>34</v>
      </c>
      <c r="T103" s="7" t="s">
        <v>34</v>
      </c>
      <c r="U103" s="7" t="s">
        <v>32</v>
      </c>
      <c r="V103" s="7">
        <v>1</v>
      </c>
      <c r="W103" s="7" t="s">
        <v>32</v>
      </c>
      <c r="X103" s="7" t="s">
        <v>32</v>
      </c>
      <c r="Y103" s="7" t="s">
        <v>32</v>
      </c>
      <c r="Z103" s="7" t="s">
        <v>32</v>
      </c>
      <c r="AA103" s="7">
        <v>27641312</v>
      </c>
      <c r="AB103" s="7">
        <v>1</v>
      </c>
      <c r="AC103" s="7"/>
      <c r="AD103" s="7">
        <v>3</v>
      </c>
      <c r="AE103" s="7">
        <f>AF103+AG103</f>
        <v>40</v>
      </c>
      <c r="AF103" s="7">
        <v>19</v>
      </c>
      <c r="AG103" s="7">
        <v>21</v>
      </c>
      <c r="AH103" s="7" t="s">
        <v>2845</v>
      </c>
      <c r="AI103" s="7" t="s">
        <v>2845</v>
      </c>
      <c r="AJ103" s="7">
        <v>39.049999999999997</v>
      </c>
      <c r="AK103" s="19">
        <v>11.57</v>
      </c>
      <c r="AL103" s="7">
        <v>41.29</v>
      </c>
      <c r="AM103" s="7">
        <v>12.62</v>
      </c>
      <c r="AN103" s="7" t="s">
        <v>2947</v>
      </c>
      <c r="AO103" s="7" t="s">
        <v>1638</v>
      </c>
      <c r="AP103" s="7" t="s">
        <v>2846</v>
      </c>
      <c r="AQ103" s="7" t="s">
        <v>3083</v>
      </c>
      <c r="AR103" s="7" t="s">
        <v>1646</v>
      </c>
      <c r="AS103" s="7" t="s">
        <v>1639</v>
      </c>
      <c r="AT103" s="7" t="s">
        <v>1646</v>
      </c>
      <c r="AU103" s="7" t="s">
        <v>2898</v>
      </c>
      <c r="AV103" s="7" t="s">
        <v>2848</v>
      </c>
      <c r="AW103" s="7">
        <v>14</v>
      </c>
      <c r="AX103" s="7">
        <v>14</v>
      </c>
      <c r="AY103" s="7" t="s">
        <v>3085</v>
      </c>
      <c r="AZ103" s="7">
        <v>-1E-3</v>
      </c>
      <c r="BA103" s="7">
        <v>0.27700000000000002</v>
      </c>
      <c r="BB103" s="7"/>
      <c r="BC103" s="7" t="s">
        <v>3087</v>
      </c>
      <c r="BD103" s="7">
        <v>4.3999999999999997E-2</v>
      </c>
      <c r="BE103" s="7">
        <v>0.375</v>
      </c>
      <c r="BG103" s="7" t="s">
        <v>3088</v>
      </c>
    </row>
    <row r="104" spans="1:59" x14ac:dyDescent="0.2">
      <c r="A104" s="7">
        <v>29</v>
      </c>
      <c r="B104" s="7" t="s">
        <v>229</v>
      </c>
      <c r="C104" s="7" t="s">
        <v>230</v>
      </c>
      <c r="D104" s="7" t="s">
        <v>231</v>
      </c>
      <c r="E104" s="7" t="s">
        <v>232</v>
      </c>
      <c r="F104" s="7" t="s">
        <v>233</v>
      </c>
      <c r="G104" s="7">
        <v>2016</v>
      </c>
      <c r="H104" s="8">
        <v>42664</v>
      </c>
      <c r="I104" s="7" t="s">
        <v>234</v>
      </c>
      <c r="J104" s="7" t="s">
        <v>32</v>
      </c>
      <c r="K104" s="7" t="s">
        <v>235</v>
      </c>
      <c r="L104" s="7">
        <v>1</v>
      </c>
      <c r="M104" s="7" t="s">
        <v>32</v>
      </c>
      <c r="N104" s="7" t="s">
        <v>34</v>
      </c>
      <c r="O104" s="7" t="s">
        <v>34</v>
      </c>
      <c r="P104" s="7" t="s">
        <v>34</v>
      </c>
      <c r="Q104" s="7" t="s">
        <v>34</v>
      </c>
      <c r="R104" s="7" t="s">
        <v>34</v>
      </c>
      <c r="S104" s="7" t="s">
        <v>34</v>
      </c>
      <c r="T104" s="7" t="s">
        <v>34</v>
      </c>
      <c r="U104" s="7" t="s">
        <v>32</v>
      </c>
      <c r="V104" s="7">
        <v>1</v>
      </c>
      <c r="W104" s="7" t="s">
        <v>32</v>
      </c>
      <c r="X104" s="7" t="s">
        <v>32</v>
      </c>
      <c r="Y104" s="7" t="s">
        <v>32</v>
      </c>
      <c r="Z104" s="7" t="s">
        <v>32</v>
      </c>
      <c r="AA104" s="7">
        <v>27761402</v>
      </c>
      <c r="AB104" s="7">
        <v>1</v>
      </c>
      <c r="AC104" s="7"/>
      <c r="AD104" s="7">
        <v>3</v>
      </c>
      <c r="AE104" s="7">
        <f t="shared" si="3"/>
        <v>33</v>
      </c>
      <c r="AF104" s="7">
        <v>16</v>
      </c>
      <c r="AG104" s="7">
        <v>17</v>
      </c>
      <c r="AH104" s="7" t="s">
        <v>2845</v>
      </c>
      <c r="AI104" s="7" t="s">
        <v>2845</v>
      </c>
      <c r="AJ104" s="7">
        <v>35.31</v>
      </c>
      <c r="AK104" s="7">
        <v>9.89</v>
      </c>
      <c r="AL104" s="7">
        <v>35.61</v>
      </c>
      <c r="AM104" s="7">
        <v>9.36</v>
      </c>
      <c r="AN104" s="7" t="s">
        <v>2947</v>
      </c>
      <c r="AO104" s="7" t="s">
        <v>1770</v>
      </c>
      <c r="AP104" s="7" t="s">
        <v>3089</v>
      </c>
      <c r="AQ104" s="7" t="s">
        <v>3039</v>
      </c>
      <c r="AR104" s="7" t="s">
        <v>1646</v>
      </c>
      <c r="AS104" s="7" t="s">
        <v>1639</v>
      </c>
      <c r="AT104" s="7" t="s">
        <v>1646</v>
      </c>
      <c r="AU104" s="7" t="s">
        <v>2898</v>
      </c>
      <c r="AV104" s="7" t="s">
        <v>2907</v>
      </c>
      <c r="AW104" s="7">
        <v>15</v>
      </c>
      <c r="AX104" s="7">
        <v>15</v>
      </c>
      <c r="AY104" s="7" t="s">
        <v>3090</v>
      </c>
      <c r="AZ104" s="7">
        <v>0.44357799999999997</v>
      </c>
      <c r="BA104" s="7"/>
      <c r="BB104" s="7">
        <f>0.553758-AZ104</f>
        <v>0.11018</v>
      </c>
      <c r="BC104" s="7" t="s">
        <v>3094</v>
      </c>
      <c r="BD104" s="7">
        <v>0.56060900000000002</v>
      </c>
      <c r="BE104" s="7"/>
      <c r="BF104" s="7">
        <f>0.654234-BD104</f>
        <v>9.3624999999999958E-2</v>
      </c>
      <c r="BG104" t="s">
        <v>3098</v>
      </c>
    </row>
    <row r="105" spans="1:59" x14ac:dyDescent="0.2">
      <c r="A105" s="7">
        <v>29</v>
      </c>
      <c r="B105" s="7" t="s">
        <v>229</v>
      </c>
      <c r="C105" s="7" t="s">
        <v>230</v>
      </c>
      <c r="D105" s="7" t="s">
        <v>231</v>
      </c>
      <c r="E105" s="7" t="s">
        <v>232</v>
      </c>
      <c r="F105" s="7" t="s">
        <v>233</v>
      </c>
      <c r="G105" s="7">
        <v>2016</v>
      </c>
      <c r="H105" s="8">
        <v>42664</v>
      </c>
      <c r="I105" s="7" t="s">
        <v>234</v>
      </c>
      <c r="J105" s="7" t="s">
        <v>32</v>
      </c>
      <c r="K105" s="7" t="s">
        <v>235</v>
      </c>
      <c r="L105" s="7">
        <v>1</v>
      </c>
      <c r="M105" s="7" t="s">
        <v>32</v>
      </c>
      <c r="N105" s="7" t="s">
        <v>34</v>
      </c>
      <c r="O105" s="7" t="s">
        <v>34</v>
      </c>
      <c r="P105" s="7" t="s">
        <v>34</v>
      </c>
      <c r="Q105" s="7" t="s">
        <v>34</v>
      </c>
      <c r="R105" s="7" t="s">
        <v>34</v>
      </c>
      <c r="S105" s="7" t="s">
        <v>34</v>
      </c>
      <c r="T105" s="7" t="s">
        <v>34</v>
      </c>
      <c r="U105" s="7" t="s">
        <v>32</v>
      </c>
      <c r="V105" s="7">
        <v>1</v>
      </c>
      <c r="W105" s="7" t="s">
        <v>32</v>
      </c>
      <c r="X105" s="7" t="s">
        <v>32</v>
      </c>
      <c r="Y105" s="7" t="s">
        <v>32</v>
      </c>
      <c r="Z105" s="7" t="s">
        <v>32</v>
      </c>
      <c r="AA105" s="7">
        <v>27761402</v>
      </c>
      <c r="AB105" s="7">
        <v>1</v>
      </c>
      <c r="AC105" s="7"/>
      <c r="AD105" s="7">
        <v>3</v>
      </c>
      <c r="AE105" s="7">
        <f>AF105+AG105</f>
        <v>33</v>
      </c>
      <c r="AF105" s="7">
        <v>16</v>
      </c>
      <c r="AG105" s="7">
        <v>17</v>
      </c>
      <c r="AH105" s="7" t="s">
        <v>2845</v>
      </c>
      <c r="AI105" s="7" t="s">
        <v>2845</v>
      </c>
      <c r="AJ105" s="7">
        <v>35.31</v>
      </c>
      <c r="AK105" s="7">
        <v>9.89</v>
      </c>
      <c r="AL105" s="7">
        <v>35.61</v>
      </c>
      <c r="AM105" s="7">
        <v>9.36</v>
      </c>
      <c r="AN105" s="7" t="s">
        <v>2947</v>
      </c>
      <c r="AO105" s="7" t="s">
        <v>1770</v>
      </c>
      <c r="AP105" s="7" t="s">
        <v>3089</v>
      </c>
      <c r="AQ105" s="7" t="s">
        <v>3039</v>
      </c>
      <c r="AR105" s="7" t="s">
        <v>1646</v>
      </c>
      <c r="AS105" s="7" t="s">
        <v>1639</v>
      </c>
      <c r="AT105" s="7" t="s">
        <v>1646</v>
      </c>
      <c r="AU105" s="7" t="s">
        <v>2899</v>
      </c>
      <c r="AV105" s="7" t="s">
        <v>2907</v>
      </c>
      <c r="AW105" s="7">
        <v>15</v>
      </c>
      <c r="AX105" s="7">
        <v>15</v>
      </c>
      <c r="AY105" s="7" t="s">
        <v>3091</v>
      </c>
      <c r="AZ105" s="7">
        <v>0.19695499999999999</v>
      </c>
      <c r="BA105" s="7"/>
      <c r="BB105" s="7">
        <f>0.254615-AZ105</f>
        <v>5.7659999999999989E-2</v>
      </c>
      <c r="BC105" s="7" t="s">
        <v>3095</v>
      </c>
      <c r="BD105" s="7">
        <v>0.172407</v>
      </c>
      <c r="BE105" s="7"/>
      <c r="BF105" s="7">
        <f>0.235775-BD105</f>
        <v>6.3368000000000008E-2</v>
      </c>
    </row>
    <row r="106" spans="1:59" x14ac:dyDescent="0.2">
      <c r="A106" s="7">
        <v>29</v>
      </c>
      <c r="B106" s="7" t="s">
        <v>229</v>
      </c>
      <c r="C106" s="7" t="s">
        <v>230</v>
      </c>
      <c r="D106" s="7" t="s">
        <v>231</v>
      </c>
      <c r="E106" s="7" t="s">
        <v>232</v>
      </c>
      <c r="F106" s="7" t="s">
        <v>233</v>
      </c>
      <c r="G106" s="7">
        <v>2016</v>
      </c>
      <c r="H106" s="8">
        <v>42664</v>
      </c>
      <c r="I106" s="7" t="s">
        <v>234</v>
      </c>
      <c r="J106" s="7" t="s">
        <v>32</v>
      </c>
      <c r="K106" s="7" t="s">
        <v>235</v>
      </c>
      <c r="L106" s="7">
        <v>1</v>
      </c>
      <c r="M106" s="7" t="s">
        <v>32</v>
      </c>
      <c r="N106" s="7" t="s">
        <v>34</v>
      </c>
      <c r="O106" s="7" t="s">
        <v>34</v>
      </c>
      <c r="P106" s="7" t="s">
        <v>34</v>
      </c>
      <c r="Q106" s="7" t="s">
        <v>34</v>
      </c>
      <c r="R106" s="7" t="s">
        <v>34</v>
      </c>
      <c r="S106" s="7" t="s">
        <v>34</v>
      </c>
      <c r="T106" s="7" t="s">
        <v>34</v>
      </c>
      <c r="U106" s="7" t="s">
        <v>32</v>
      </c>
      <c r="V106" s="7">
        <v>1</v>
      </c>
      <c r="W106" s="7" t="s">
        <v>32</v>
      </c>
      <c r="X106" s="7" t="s">
        <v>32</v>
      </c>
      <c r="Y106" s="7" t="s">
        <v>32</v>
      </c>
      <c r="Z106" s="7" t="s">
        <v>32</v>
      </c>
      <c r="AA106" s="7">
        <v>27761402</v>
      </c>
      <c r="AB106" s="7">
        <v>1</v>
      </c>
      <c r="AC106" s="7"/>
      <c r="AD106" s="7">
        <v>3</v>
      </c>
      <c r="AE106" s="7">
        <f>AF106+AG106</f>
        <v>33</v>
      </c>
      <c r="AF106" s="7">
        <v>16</v>
      </c>
      <c r="AG106" s="7">
        <v>17</v>
      </c>
      <c r="AH106" s="7" t="s">
        <v>2845</v>
      </c>
      <c r="AI106" s="7" t="s">
        <v>2845</v>
      </c>
      <c r="AJ106" s="7">
        <v>35.31</v>
      </c>
      <c r="AK106" s="7">
        <v>9.89</v>
      </c>
      <c r="AL106" s="7">
        <v>35.61</v>
      </c>
      <c r="AM106" s="7">
        <v>9.36</v>
      </c>
      <c r="AN106" s="7" t="s">
        <v>2947</v>
      </c>
      <c r="AO106" s="7" t="s">
        <v>1770</v>
      </c>
      <c r="AP106" s="7" t="s">
        <v>3089</v>
      </c>
      <c r="AQ106" s="7" t="s">
        <v>3039</v>
      </c>
      <c r="AR106" s="7" t="s">
        <v>1646</v>
      </c>
      <c r="AS106" s="7" t="s">
        <v>1639</v>
      </c>
      <c r="AT106" s="7" t="s">
        <v>1646</v>
      </c>
      <c r="AU106" s="21" t="s">
        <v>3041</v>
      </c>
      <c r="AV106" s="21" t="s">
        <v>2907</v>
      </c>
      <c r="AW106" s="21">
        <v>15</v>
      </c>
      <c r="AX106" s="7">
        <v>15</v>
      </c>
      <c r="AY106" s="7" t="s">
        <v>3092</v>
      </c>
      <c r="AZ106" s="7">
        <v>0.138178</v>
      </c>
      <c r="BA106" s="7"/>
      <c r="BB106" s="7">
        <f>0.173455-AZ106</f>
        <v>3.5277000000000003E-2</v>
      </c>
      <c r="BC106" s="7" t="s">
        <v>3096</v>
      </c>
      <c r="BD106" s="7">
        <v>6.8331699999999995E-2</v>
      </c>
      <c r="BE106" s="7"/>
      <c r="BF106" s="7">
        <f>0.0970837-BD106</f>
        <v>2.8752E-2</v>
      </c>
    </row>
    <row r="107" spans="1:59" x14ac:dyDescent="0.2">
      <c r="A107" s="7">
        <v>29</v>
      </c>
      <c r="B107" s="7" t="s">
        <v>229</v>
      </c>
      <c r="C107" s="7" t="s">
        <v>230</v>
      </c>
      <c r="D107" s="7" t="s">
        <v>231</v>
      </c>
      <c r="E107" s="7" t="s">
        <v>232</v>
      </c>
      <c r="F107" s="7" t="s">
        <v>233</v>
      </c>
      <c r="G107" s="7">
        <v>2016</v>
      </c>
      <c r="H107" s="8">
        <v>42664</v>
      </c>
      <c r="I107" s="7" t="s">
        <v>234</v>
      </c>
      <c r="J107" s="7" t="s">
        <v>32</v>
      </c>
      <c r="K107" s="7" t="s">
        <v>235</v>
      </c>
      <c r="L107" s="7">
        <v>1</v>
      </c>
      <c r="M107" s="7" t="s">
        <v>32</v>
      </c>
      <c r="N107" s="7" t="s">
        <v>34</v>
      </c>
      <c r="O107" s="7" t="s">
        <v>34</v>
      </c>
      <c r="P107" s="7" t="s">
        <v>34</v>
      </c>
      <c r="Q107" s="7" t="s">
        <v>34</v>
      </c>
      <c r="R107" s="7" t="s">
        <v>34</v>
      </c>
      <c r="S107" s="7" t="s">
        <v>34</v>
      </c>
      <c r="T107" s="7" t="s">
        <v>34</v>
      </c>
      <c r="U107" s="7" t="s">
        <v>32</v>
      </c>
      <c r="V107" s="7">
        <v>1</v>
      </c>
      <c r="W107" s="7" t="s">
        <v>32</v>
      </c>
      <c r="X107" s="7" t="s">
        <v>32</v>
      </c>
      <c r="Y107" s="7" t="s">
        <v>32</v>
      </c>
      <c r="Z107" s="7" t="s">
        <v>32</v>
      </c>
      <c r="AA107" s="7">
        <v>27761402</v>
      </c>
      <c r="AB107" s="7">
        <v>1</v>
      </c>
      <c r="AC107" s="7"/>
      <c r="AD107" s="7">
        <v>3</v>
      </c>
      <c r="AE107" s="7">
        <f>AF107+AG107</f>
        <v>33</v>
      </c>
      <c r="AF107" s="7">
        <v>16</v>
      </c>
      <c r="AG107" s="7">
        <v>17</v>
      </c>
      <c r="AH107" s="7" t="s">
        <v>2845</v>
      </c>
      <c r="AI107" s="7" t="s">
        <v>2845</v>
      </c>
      <c r="AJ107" s="7">
        <v>35.31</v>
      </c>
      <c r="AK107" s="7">
        <v>9.89</v>
      </c>
      <c r="AL107" s="7">
        <v>35.61</v>
      </c>
      <c r="AM107" s="7">
        <v>9.36</v>
      </c>
      <c r="AN107" s="7" t="s">
        <v>2947</v>
      </c>
      <c r="AO107" s="7" t="s">
        <v>1770</v>
      </c>
      <c r="AP107" s="7" t="s">
        <v>3089</v>
      </c>
      <c r="AQ107" s="7" t="s">
        <v>3039</v>
      </c>
      <c r="AR107" s="7" t="s">
        <v>1646</v>
      </c>
      <c r="AS107" s="7" t="s">
        <v>1639</v>
      </c>
      <c r="AT107" s="7" t="s">
        <v>1646</v>
      </c>
      <c r="AU107" s="21" t="s">
        <v>3042</v>
      </c>
      <c r="AV107" s="21" t="s">
        <v>2907</v>
      </c>
      <c r="AW107" s="21">
        <v>15</v>
      </c>
      <c r="AX107" s="7">
        <v>15</v>
      </c>
      <c r="AY107" s="7" t="s">
        <v>3093</v>
      </c>
      <c r="AZ107" s="7">
        <v>0.100881</v>
      </c>
      <c r="BA107" s="7"/>
      <c r="BB107" s="7">
        <f>0.131264-AZ107</f>
        <v>3.0382999999999993E-2</v>
      </c>
      <c r="BC107" s="7" t="s">
        <v>3097</v>
      </c>
      <c r="BD107" s="7">
        <v>6.6720199999999993E-2</v>
      </c>
      <c r="BE107" s="7"/>
      <c r="BF107" s="7">
        <f>0.0850724-BD107</f>
        <v>1.8352200000000013E-2</v>
      </c>
    </row>
    <row r="108" spans="1:59" s="65" customFormat="1" x14ac:dyDescent="0.2">
      <c r="A108" s="20">
        <v>30</v>
      </c>
      <c r="B108" s="20" t="s">
        <v>236</v>
      </c>
      <c r="C108" s="20" t="s">
        <v>237</v>
      </c>
      <c r="D108" s="20" t="s">
        <v>238</v>
      </c>
      <c r="E108" s="20" t="s">
        <v>239</v>
      </c>
      <c r="F108" s="20" t="s">
        <v>111</v>
      </c>
      <c r="G108" s="20">
        <v>2017</v>
      </c>
      <c r="H108" s="64">
        <v>42651</v>
      </c>
      <c r="I108" s="20" t="s">
        <v>240</v>
      </c>
      <c r="J108" s="20" t="s">
        <v>241</v>
      </c>
      <c r="K108" s="20" t="s">
        <v>242</v>
      </c>
      <c r="L108" s="20">
        <v>1</v>
      </c>
      <c r="M108" s="20" t="s">
        <v>32</v>
      </c>
      <c r="N108" s="20" t="s">
        <v>34</v>
      </c>
      <c r="O108" s="20" t="s">
        <v>34</v>
      </c>
      <c r="P108" s="20" t="s">
        <v>34</v>
      </c>
      <c r="Q108" s="20" t="s">
        <v>34</v>
      </c>
      <c r="R108" s="20" t="s">
        <v>34</v>
      </c>
      <c r="S108" s="20" t="s">
        <v>34</v>
      </c>
      <c r="T108" s="20" t="s">
        <v>34</v>
      </c>
      <c r="U108" s="20" t="s">
        <v>32</v>
      </c>
      <c r="V108" s="20">
        <v>1</v>
      </c>
      <c r="W108" s="20" t="s">
        <v>32</v>
      </c>
      <c r="X108" s="20" t="s">
        <v>32</v>
      </c>
      <c r="Y108" s="20" t="s">
        <v>32</v>
      </c>
      <c r="Z108" s="20" t="s">
        <v>32</v>
      </c>
      <c r="AA108" s="20">
        <v>27716541</v>
      </c>
      <c r="AB108" s="20">
        <v>0</v>
      </c>
      <c r="AC108" s="20" t="s">
        <v>3099</v>
      </c>
      <c r="AD108" s="20">
        <v>3</v>
      </c>
      <c r="AE108" s="20">
        <f t="shared" si="3"/>
        <v>28</v>
      </c>
      <c r="AF108" s="20">
        <v>13</v>
      </c>
      <c r="AG108" s="20">
        <v>15</v>
      </c>
      <c r="AH108" s="20" t="s">
        <v>2845</v>
      </c>
      <c r="AI108" s="20" t="s">
        <v>2845</v>
      </c>
      <c r="AJ108" s="20">
        <v>31.92</v>
      </c>
      <c r="AK108" s="20">
        <v>12.97</v>
      </c>
      <c r="AL108" s="20">
        <v>22.87</v>
      </c>
      <c r="AM108" s="20">
        <v>5.59</v>
      </c>
      <c r="AN108" s="20" t="s">
        <v>2947</v>
      </c>
      <c r="AO108" s="20" t="s">
        <v>1638</v>
      </c>
      <c r="AP108" s="20" t="s">
        <v>2846</v>
      </c>
      <c r="AQ108" s="20" t="s">
        <v>2936</v>
      </c>
      <c r="AR108" s="20" t="s">
        <v>1646</v>
      </c>
      <c r="AS108" s="20" t="s">
        <v>1639</v>
      </c>
      <c r="AT108" s="20" t="s">
        <v>1646</v>
      </c>
      <c r="AU108" s="20"/>
      <c r="AV108" s="20"/>
      <c r="AW108" s="20"/>
      <c r="AX108" s="20"/>
      <c r="AY108" s="20"/>
      <c r="AZ108" s="20"/>
      <c r="BA108" s="20"/>
      <c r="BB108" s="20"/>
      <c r="BC108" s="20"/>
      <c r="BD108" s="20"/>
      <c r="BE108" s="20"/>
      <c r="BF108" s="20"/>
    </row>
    <row r="109" spans="1:59" s="65" customFormat="1" x14ac:dyDescent="0.2">
      <c r="A109" s="20">
        <v>31</v>
      </c>
      <c r="B109" s="20" t="s">
        <v>243</v>
      </c>
      <c r="C109" s="20" t="s">
        <v>244</v>
      </c>
      <c r="D109" s="20" t="s">
        <v>245</v>
      </c>
      <c r="E109" s="20" t="s">
        <v>246</v>
      </c>
      <c r="F109" s="20" t="s">
        <v>94</v>
      </c>
      <c r="G109" s="20">
        <v>2016</v>
      </c>
      <c r="H109" s="64">
        <v>42566</v>
      </c>
      <c r="I109" s="20" t="s">
        <v>32</v>
      </c>
      <c r="J109" s="20" t="s">
        <v>32</v>
      </c>
      <c r="K109" s="20" t="s">
        <v>247</v>
      </c>
      <c r="L109" s="20">
        <v>1</v>
      </c>
      <c r="M109" s="20" t="s">
        <v>32</v>
      </c>
      <c r="N109" s="20" t="s">
        <v>34</v>
      </c>
      <c r="O109" s="20" t="s">
        <v>34</v>
      </c>
      <c r="P109" s="20" t="s">
        <v>34</v>
      </c>
      <c r="Q109" s="20" t="s">
        <v>34</v>
      </c>
      <c r="R109" s="20" t="s">
        <v>34</v>
      </c>
      <c r="S109" s="20" t="s">
        <v>34</v>
      </c>
      <c r="T109" s="20" t="s">
        <v>34</v>
      </c>
      <c r="U109" s="20" t="s">
        <v>32</v>
      </c>
      <c r="V109" s="20">
        <v>1</v>
      </c>
      <c r="W109" s="20" t="s">
        <v>32</v>
      </c>
      <c r="X109" s="20" t="s">
        <v>32</v>
      </c>
      <c r="Y109" s="20" t="s">
        <v>32</v>
      </c>
      <c r="Z109" s="20" t="s">
        <v>32</v>
      </c>
      <c r="AA109" s="20">
        <v>27412783</v>
      </c>
      <c r="AB109" s="20">
        <v>0</v>
      </c>
      <c r="AC109" s="20" t="s">
        <v>3100</v>
      </c>
      <c r="AD109" s="20"/>
      <c r="AE109" s="20">
        <f t="shared" si="3"/>
        <v>0</v>
      </c>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row>
    <row r="110" spans="1:59" x14ac:dyDescent="0.2">
      <c r="A110" s="7">
        <v>32</v>
      </c>
      <c r="B110" s="7" t="s">
        <v>248</v>
      </c>
      <c r="C110" s="7" t="s">
        <v>249</v>
      </c>
      <c r="D110" s="7" t="s">
        <v>250</v>
      </c>
      <c r="E110" s="7" t="s">
        <v>251</v>
      </c>
      <c r="F110" s="7" t="s">
        <v>217</v>
      </c>
      <c r="G110" s="7">
        <v>2016</v>
      </c>
      <c r="H110" s="8">
        <v>42427</v>
      </c>
      <c r="I110" s="7" t="s">
        <v>32</v>
      </c>
      <c r="J110" s="7" t="s">
        <v>32</v>
      </c>
      <c r="K110" s="7" t="s">
        <v>252</v>
      </c>
      <c r="L110" s="7">
        <v>1</v>
      </c>
      <c r="M110" s="7" t="s">
        <v>32</v>
      </c>
      <c r="N110" s="7" t="s">
        <v>34</v>
      </c>
      <c r="O110" s="7" t="s">
        <v>34</v>
      </c>
      <c r="P110" s="7" t="s">
        <v>34</v>
      </c>
      <c r="Q110" s="7" t="s">
        <v>34</v>
      </c>
      <c r="R110" s="7" t="s">
        <v>34</v>
      </c>
      <c r="S110" s="7" t="s">
        <v>34</v>
      </c>
      <c r="T110" s="7" t="s">
        <v>34</v>
      </c>
      <c r="U110" s="7" t="s">
        <v>32</v>
      </c>
      <c r="V110" s="7">
        <v>1</v>
      </c>
      <c r="W110" s="7" t="s">
        <v>32</v>
      </c>
      <c r="X110" s="7" t="s">
        <v>32</v>
      </c>
      <c r="Y110" s="7" t="s">
        <v>32</v>
      </c>
      <c r="Z110" s="7" t="s">
        <v>32</v>
      </c>
      <c r="AA110" s="7">
        <v>26917165</v>
      </c>
      <c r="AB110" s="7">
        <v>1</v>
      </c>
      <c r="AC110" s="7"/>
      <c r="AD110" s="7">
        <v>3</v>
      </c>
      <c r="AE110" s="7">
        <f t="shared" si="3"/>
        <v>44</v>
      </c>
      <c r="AF110" s="7">
        <v>24</v>
      </c>
      <c r="AG110" s="7">
        <v>20</v>
      </c>
      <c r="AH110" s="7" t="s">
        <v>2845</v>
      </c>
      <c r="AI110" s="7" t="s">
        <v>2845</v>
      </c>
      <c r="AJ110" s="7">
        <v>39.799999999999997</v>
      </c>
      <c r="AK110" s="7">
        <v>2.8</v>
      </c>
      <c r="AL110" s="7">
        <v>34.1</v>
      </c>
      <c r="AM110" s="7">
        <v>2.9</v>
      </c>
      <c r="AN110" s="7" t="s">
        <v>2947</v>
      </c>
      <c r="AO110" s="7" t="s">
        <v>1770</v>
      </c>
      <c r="AP110" s="7" t="s">
        <v>3040</v>
      </c>
      <c r="AQ110" s="7" t="s">
        <v>3102</v>
      </c>
      <c r="AR110" s="7" t="s">
        <v>1646</v>
      </c>
      <c r="AS110" s="7" t="s">
        <v>1639</v>
      </c>
      <c r="AT110" s="7" t="s">
        <v>1646</v>
      </c>
      <c r="AU110" s="21" t="s">
        <v>3105</v>
      </c>
      <c r="AV110" s="7" t="s">
        <v>2907</v>
      </c>
      <c r="AW110" s="7">
        <v>16</v>
      </c>
      <c r="AX110" s="7">
        <v>16</v>
      </c>
      <c r="AY110" s="7" t="s">
        <v>3103</v>
      </c>
      <c r="AZ110" s="7">
        <v>28.011399999999998</v>
      </c>
      <c r="BA110" s="7">
        <f>75.142-AZ110</f>
        <v>47.130600000000001</v>
      </c>
      <c r="BC110" s="7" t="s">
        <v>3104</v>
      </c>
      <c r="BD110" s="7">
        <v>51.4773</v>
      </c>
      <c r="BE110" s="7">
        <f>85.2841-BD110</f>
        <v>33.806799999999996</v>
      </c>
      <c r="BG110" t="s">
        <v>3101</v>
      </c>
    </row>
    <row r="111" spans="1:59" s="65" customFormat="1" x14ac:dyDescent="0.2">
      <c r="A111" s="20">
        <v>33</v>
      </c>
      <c r="B111" s="20" t="s">
        <v>253</v>
      </c>
      <c r="C111" s="20" t="s">
        <v>254</v>
      </c>
      <c r="D111" s="20" t="s">
        <v>255</v>
      </c>
      <c r="E111" s="20" t="s">
        <v>136</v>
      </c>
      <c r="F111" s="20" t="s">
        <v>256</v>
      </c>
      <c r="G111" s="20">
        <v>2016</v>
      </c>
      <c r="H111" s="64">
        <v>42412</v>
      </c>
      <c r="I111" s="20" t="s">
        <v>32</v>
      </c>
      <c r="J111" s="20" t="s">
        <v>32</v>
      </c>
      <c r="K111" s="20" t="s">
        <v>257</v>
      </c>
      <c r="L111" s="20">
        <v>1</v>
      </c>
      <c r="M111" s="20" t="s">
        <v>32</v>
      </c>
      <c r="N111" s="20" t="s">
        <v>34</v>
      </c>
      <c r="O111" s="20" t="s">
        <v>34</v>
      </c>
      <c r="P111" s="20" t="s">
        <v>34</v>
      </c>
      <c r="Q111" s="20" t="s">
        <v>34</v>
      </c>
      <c r="R111" s="20" t="s">
        <v>34</v>
      </c>
      <c r="S111" s="20" t="s">
        <v>34</v>
      </c>
      <c r="T111" s="20" t="s">
        <v>34</v>
      </c>
      <c r="U111" s="20" t="s">
        <v>32</v>
      </c>
      <c r="V111" s="20">
        <v>1</v>
      </c>
      <c r="W111" s="20" t="s">
        <v>32</v>
      </c>
      <c r="X111" s="20" t="s">
        <v>32</v>
      </c>
      <c r="Y111" s="20" t="s">
        <v>32</v>
      </c>
      <c r="Z111" s="20" t="s">
        <v>32</v>
      </c>
      <c r="AA111" s="20">
        <v>26866677</v>
      </c>
      <c r="AB111" s="20">
        <v>0</v>
      </c>
      <c r="AC111" s="69" t="s">
        <v>3106</v>
      </c>
      <c r="AD111" s="20">
        <v>3</v>
      </c>
      <c r="AE111" s="20">
        <f t="shared" si="3"/>
        <v>32</v>
      </c>
      <c r="AF111" s="20">
        <v>16</v>
      </c>
      <c r="AG111" s="20">
        <v>16</v>
      </c>
      <c r="AH111" s="20" t="s">
        <v>1769</v>
      </c>
      <c r="AI111" s="20" t="s">
        <v>1769</v>
      </c>
      <c r="AJ111" s="20">
        <v>28.81</v>
      </c>
      <c r="AK111" s="20">
        <v>7.96</v>
      </c>
      <c r="AL111" s="20">
        <v>28.81</v>
      </c>
      <c r="AM111" s="20">
        <v>7.96</v>
      </c>
      <c r="AN111" s="20" t="s">
        <v>2947</v>
      </c>
      <c r="AO111" s="20" t="s">
        <v>1770</v>
      </c>
      <c r="AP111" s="20" t="s">
        <v>2977</v>
      </c>
      <c r="AQ111" s="20" t="s">
        <v>3039</v>
      </c>
      <c r="AR111" s="20" t="s">
        <v>1646</v>
      </c>
      <c r="AS111" s="20" t="s">
        <v>1639</v>
      </c>
      <c r="AT111" s="20" t="s">
        <v>1646</v>
      </c>
      <c r="AU111" s="20"/>
      <c r="AV111" s="20"/>
      <c r="AW111" s="20"/>
      <c r="AX111" s="20"/>
      <c r="AY111" s="20"/>
      <c r="AZ111" s="20"/>
      <c r="BA111" s="20"/>
      <c r="BB111" s="20"/>
      <c r="BC111" s="20"/>
      <c r="BD111" s="20"/>
      <c r="BE111" s="20"/>
      <c r="BF111" s="20"/>
      <c r="BG111" s="65" t="s">
        <v>3106</v>
      </c>
    </row>
    <row r="112" spans="1:59" s="56" customFormat="1" x14ac:dyDescent="0.2">
      <c r="A112" s="21">
        <v>34</v>
      </c>
      <c r="B112" s="21" t="s">
        <v>258</v>
      </c>
      <c r="C112" s="21" t="s">
        <v>259</v>
      </c>
      <c r="D112" s="21" t="s">
        <v>260</v>
      </c>
      <c r="E112" s="21" t="s">
        <v>261</v>
      </c>
      <c r="F112" s="21" t="s">
        <v>159</v>
      </c>
      <c r="G112" s="21">
        <v>2016</v>
      </c>
      <c r="H112" s="70">
        <v>42411</v>
      </c>
      <c r="I112" s="21" t="s">
        <v>262</v>
      </c>
      <c r="J112" s="21" t="s">
        <v>32</v>
      </c>
      <c r="K112" s="21" t="s">
        <v>263</v>
      </c>
      <c r="L112" s="21">
        <v>1</v>
      </c>
      <c r="M112" s="21" t="s">
        <v>32</v>
      </c>
      <c r="N112" s="21" t="s">
        <v>34</v>
      </c>
      <c r="O112" s="21" t="s">
        <v>34</v>
      </c>
      <c r="P112" s="21" t="s">
        <v>34</v>
      </c>
      <c r="Q112" s="21" t="s">
        <v>34</v>
      </c>
      <c r="R112" s="21" t="s">
        <v>34</v>
      </c>
      <c r="S112" s="21" t="s">
        <v>34</v>
      </c>
      <c r="T112" s="21" t="s">
        <v>34</v>
      </c>
      <c r="U112" s="21" t="s">
        <v>32</v>
      </c>
      <c r="V112" s="21">
        <v>1</v>
      </c>
      <c r="W112" s="21" t="s">
        <v>32</v>
      </c>
      <c r="X112" s="21" t="s">
        <v>32</v>
      </c>
      <c r="Y112" s="21" t="s">
        <v>32</v>
      </c>
      <c r="Z112" s="21" t="s">
        <v>32</v>
      </c>
      <c r="AA112" s="21">
        <v>26863536</v>
      </c>
      <c r="AB112" s="21">
        <v>1</v>
      </c>
      <c r="AC112" s="21"/>
      <c r="AD112" s="21">
        <v>3</v>
      </c>
      <c r="AE112" s="21">
        <f t="shared" si="3"/>
        <v>30</v>
      </c>
      <c r="AF112" s="21">
        <v>16</v>
      </c>
      <c r="AG112" s="21">
        <v>14</v>
      </c>
      <c r="AH112" s="21" t="s">
        <v>2845</v>
      </c>
      <c r="AI112" s="21" t="s">
        <v>2845</v>
      </c>
      <c r="AJ112" s="21">
        <v>37</v>
      </c>
      <c r="AK112" s="21">
        <v>12.446999999999999</v>
      </c>
      <c r="AL112" s="21">
        <v>31.141999999999999</v>
      </c>
      <c r="AM112" s="21">
        <v>9.5419999999999998</v>
      </c>
      <c r="AN112" s="21" t="s">
        <v>3107</v>
      </c>
      <c r="AO112" s="21" t="s">
        <v>1638</v>
      </c>
      <c r="AP112" s="21" t="s">
        <v>2846</v>
      </c>
      <c r="AQ112" s="21" t="s">
        <v>3039</v>
      </c>
      <c r="AR112" s="83" t="s">
        <v>3108</v>
      </c>
      <c r="AS112" s="21" t="s">
        <v>3544</v>
      </c>
      <c r="AT112" s="21" t="s">
        <v>1646</v>
      </c>
      <c r="AU112" s="21" t="s">
        <v>3545</v>
      </c>
      <c r="AV112" s="21" t="s">
        <v>2848</v>
      </c>
      <c r="AW112" s="21">
        <v>17</v>
      </c>
      <c r="AX112" s="21">
        <v>17</v>
      </c>
      <c r="AY112" s="21" t="s">
        <v>3551</v>
      </c>
      <c r="AZ112" s="21">
        <v>0.24199999999999999</v>
      </c>
      <c r="BA112" s="21">
        <v>0.49199999999999999</v>
      </c>
      <c r="BB112" s="21"/>
      <c r="BC112" s="21" t="s">
        <v>3557</v>
      </c>
      <c r="BD112" s="21">
        <v>0.34799999999999998</v>
      </c>
      <c r="BE112" s="21">
        <v>0.29699999999999999</v>
      </c>
      <c r="BF112" s="21"/>
      <c r="BG112" s="56" t="s">
        <v>3109</v>
      </c>
    </row>
    <row r="113" spans="1:59" s="56" customFormat="1" x14ac:dyDescent="0.2">
      <c r="A113" s="21">
        <v>34</v>
      </c>
      <c r="B113" s="21" t="s">
        <v>258</v>
      </c>
      <c r="C113" s="21" t="s">
        <v>259</v>
      </c>
      <c r="D113" s="21" t="s">
        <v>260</v>
      </c>
      <c r="E113" s="21" t="s">
        <v>261</v>
      </c>
      <c r="F113" s="21" t="s">
        <v>159</v>
      </c>
      <c r="G113" s="21">
        <v>2016</v>
      </c>
      <c r="H113" s="70">
        <v>42411</v>
      </c>
      <c r="I113" s="21" t="s">
        <v>262</v>
      </c>
      <c r="J113" s="21" t="s">
        <v>32</v>
      </c>
      <c r="K113" s="21" t="s">
        <v>263</v>
      </c>
      <c r="L113" s="21">
        <v>1</v>
      </c>
      <c r="M113" s="21" t="s">
        <v>32</v>
      </c>
      <c r="N113" s="21" t="s">
        <v>34</v>
      </c>
      <c r="O113" s="21" t="s">
        <v>34</v>
      </c>
      <c r="P113" s="21" t="s">
        <v>34</v>
      </c>
      <c r="Q113" s="21" t="s">
        <v>34</v>
      </c>
      <c r="R113" s="21" t="s">
        <v>34</v>
      </c>
      <c r="S113" s="21" t="s">
        <v>34</v>
      </c>
      <c r="T113" s="21" t="s">
        <v>34</v>
      </c>
      <c r="U113" s="21" t="s">
        <v>32</v>
      </c>
      <c r="V113" s="21">
        <v>1</v>
      </c>
      <c r="W113" s="21" t="s">
        <v>32</v>
      </c>
      <c r="X113" s="21" t="s">
        <v>32</v>
      </c>
      <c r="Y113" s="21" t="s">
        <v>32</v>
      </c>
      <c r="Z113" s="21" t="s">
        <v>32</v>
      </c>
      <c r="AA113" s="21">
        <v>26863536</v>
      </c>
      <c r="AB113" s="21">
        <v>1</v>
      </c>
      <c r="AC113" s="21"/>
      <c r="AD113" s="21">
        <v>3</v>
      </c>
      <c r="AE113" s="21">
        <f t="shared" ref="AE113:AE117" si="4">AF113+AG113</f>
        <v>30</v>
      </c>
      <c r="AF113" s="21">
        <v>16</v>
      </c>
      <c r="AG113" s="21">
        <v>14</v>
      </c>
      <c r="AH113" s="21" t="s">
        <v>2845</v>
      </c>
      <c r="AI113" s="21" t="s">
        <v>2845</v>
      </c>
      <c r="AJ113" s="21">
        <v>37</v>
      </c>
      <c r="AK113" s="21">
        <v>12.446999999999999</v>
      </c>
      <c r="AL113" s="21">
        <v>31.141999999999999</v>
      </c>
      <c r="AM113" s="21">
        <v>9.5419999999999998</v>
      </c>
      <c r="AN113" s="21" t="s">
        <v>3107</v>
      </c>
      <c r="AO113" s="21" t="s">
        <v>1638</v>
      </c>
      <c r="AP113" s="21" t="s">
        <v>2846</v>
      </c>
      <c r="AQ113" s="21" t="s">
        <v>3039</v>
      </c>
      <c r="AR113" s="83" t="s">
        <v>3108</v>
      </c>
      <c r="AS113" s="21" t="s">
        <v>3544</v>
      </c>
      <c r="AT113" s="21" t="s">
        <v>1646</v>
      </c>
      <c r="AU113" s="21" t="s">
        <v>3546</v>
      </c>
      <c r="AV113" s="21" t="s">
        <v>2848</v>
      </c>
      <c r="AW113" s="21">
        <v>17</v>
      </c>
      <c r="AX113" s="21">
        <v>17</v>
      </c>
      <c r="AY113" s="21" t="s">
        <v>3552</v>
      </c>
      <c r="AZ113" s="21">
        <v>0.23499999999999999</v>
      </c>
      <c r="BA113" s="21">
        <v>0.27800000000000002</v>
      </c>
      <c r="BB113" s="21"/>
      <c r="BC113" s="21" t="s">
        <v>3558</v>
      </c>
      <c r="BD113" s="21">
        <v>0.49199999999999999</v>
      </c>
      <c r="BE113" s="21">
        <v>0.35599999999999998</v>
      </c>
      <c r="BF113" s="21"/>
    </row>
    <row r="114" spans="1:59" s="56" customFormat="1" x14ac:dyDescent="0.2">
      <c r="A114" s="21">
        <v>34</v>
      </c>
      <c r="B114" s="21" t="s">
        <v>258</v>
      </c>
      <c r="C114" s="21" t="s">
        <v>259</v>
      </c>
      <c r="D114" s="21" t="s">
        <v>260</v>
      </c>
      <c r="E114" s="21" t="s">
        <v>261</v>
      </c>
      <c r="F114" s="21" t="s">
        <v>159</v>
      </c>
      <c r="G114" s="21">
        <v>2016</v>
      </c>
      <c r="H114" s="70">
        <v>42411</v>
      </c>
      <c r="I114" s="21" t="s">
        <v>262</v>
      </c>
      <c r="J114" s="21" t="s">
        <v>32</v>
      </c>
      <c r="K114" s="21" t="s">
        <v>263</v>
      </c>
      <c r="L114" s="21">
        <v>1</v>
      </c>
      <c r="M114" s="21" t="s">
        <v>32</v>
      </c>
      <c r="N114" s="21" t="s">
        <v>34</v>
      </c>
      <c r="O114" s="21" t="s">
        <v>34</v>
      </c>
      <c r="P114" s="21" t="s">
        <v>34</v>
      </c>
      <c r="Q114" s="21" t="s">
        <v>34</v>
      </c>
      <c r="R114" s="21" t="s">
        <v>34</v>
      </c>
      <c r="S114" s="21" t="s">
        <v>34</v>
      </c>
      <c r="T114" s="21" t="s">
        <v>34</v>
      </c>
      <c r="U114" s="21" t="s">
        <v>32</v>
      </c>
      <c r="V114" s="21">
        <v>1</v>
      </c>
      <c r="W114" s="21" t="s">
        <v>32</v>
      </c>
      <c r="X114" s="21" t="s">
        <v>32</v>
      </c>
      <c r="Y114" s="21" t="s">
        <v>32</v>
      </c>
      <c r="Z114" s="21" t="s">
        <v>32</v>
      </c>
      <c r="AA114" s="21">
        <v>26863536</v>
      </c>
      <c r="AB114" s="21">
        <v>1</v>
      </c>
      <c r="AC114" s="21"/>
      <c r="AD114" s="21">
        <v>3</v>
      </c>
      <c r="AE114" s="21">
        <f t="shared" si="4"/>
        <v>30</v>
      </c>
      <c r="AF114" s="21">
        <v>16</v>
      </c>
      <c r="AG114" s="21">
        <v>14</v>
      </c>
      <c r="AH114" s="21" t="s">
        <v>2845</v>
      </c>
      <c r="AI114" s="21" t="s">
        <v>2845</v>
      </c>
      <c r="AJ114" s="21">
        <v>37</v>
      </c>
      <c r="AK114" s="21">
        <v>12.446999999999999</v>
      </c>
      <c r="AL114" s="21">
        <v>31.141999999999999</v>
      </c>
      <c r="AM114" s="21">
        <v>9.5419999999999998</v>
      </c>
      <c r="AN114" s="21" t="s">
        <v>3107</v>
      </c>
      <c r="AO114" s="21" t="s">
        <v>1638</v>
      </c>
      <c r="AP114" s="21" t="s">
        <v>2846</v>
      </c>
      <c r="AQ114" s="21" t="s">
        <v>3039</v>
      </c>
      <c r="AR114" s="83" t="s">
        <v>3108</v>
      </c>
      <c r="AS114" s="21" t="s">
        <v>3544</v>
      </c>
      <c r="AT114" s="21" t="s">
        <v>1646</v>
      </c>
      <c r="AU114" s="21" t="s">
        <v>3547</v>
      </c>
      <c r="AV114" s="21" t="s">
        <v>2848</v>
      </c>
      <c r="AW114" s="21">
        <v>17</v>
      </c>
      <c r="AX114" s="21">
        <v>17</v>
      </c>
      <c r="AY114" s="21" t="s">
        <v>3553</v>
      </c>
      <c r="AZ114" s="21">
        <v>1292.846</v>
      </c>
      <c r="BA114" s="21">
        <v>430.47899999999998</v>
      </c>
      <c r="BB114" s="21"/>
      <c r="BC114" s="21" t="s">
        <v>3559</v>
      </c>
      <c r="BD114" s="21">
        <v>1107.8789999999999</v>
      </c>
      <c r="BE114" s="21">
        <v>236.57300000000001</v>
      </c>
      <c r="BF114" s="21"/>
    </row>
    <row r="115" spans="1:59" s="56" customFormat="1" x14ac:dyDescent="0.2">
      <c r="A115" s="21">
        <v>34</v>
      </c>
      <c r="B115" s="21" t="s">
        <v>258</v>
      </c>
      <c r="C115" s="21" t="s">
        <v>259</v>
      </c>
      <c r="D115" s="21" t="s">
        <v>260</v>
      </c>
      <c r="E115" s="21" t="s">
        <v>261</v>
      </c>
      <c r="F115" s="21" t="s">
        <v>159</v>
      </c>
      <c r="G115" s="21">
        <v>2016</v>
      </c>
      <c r="H115" s="70">
        <v>42411</v>
      </c>
      <c r="I115" s="21" t="s">
        <v>262</v>
      </c>
      <c r="J115" s="21" t="s">
        <v>32</v>
      </c>
      <c r="K115" s="21" t="s">
        <v>263</v>
      </c>
      <c r="L115" s="21">
        <v>1</v>
      </c>
      <c r="M115" s="21" t="s">
        <v>32</v>
      </c>
      <c r="N115" s="21" t="s">
        <v>34</v>
      </c>
      <c r="O115" s="21" t="s">
        <v>34</v>
      </c>
      <c r="P115" s="21" t="s">
        <v>34</v>
      </c>
      <c r="Q115" s="21" t="s">
        <v>34</v>
      </c>
      <c r="R115" s="21" t="s">
        <v>34</v>
      </c>
      <c r="S115" s="21" t="s">
        <v>34</v>
      </c>
      <c r="T115" s="21" t="s">
        <v>34</v>
      </c>
      <c r="U115" s="21" t="s">
        <v>32</v>
      </c>
      <c r="V115" s="21">
        <v>1</v>
      </c>
      <c r="W115" s="21" t="s">
        <v>32</v>
      </c>
      <c r="X115" s="21" t="s">
        <v>32</v>
      </c>
      <c r="Y115" s="21" t="s">
        <v>32</v>
      </c>
      <c r="Z115" s="21" t="s">
        <v>32</v>
      </c>
      <c r="AA115" s="21">
        <v>26863536</v>
      </c>
      <c r="AB115" s="21">
        <v>1</v>
      </c>
      <c r="AC115" s="21"/>
      <c r="AD115" s="21">
        <v>3</v>
      </c>
      <c r="AE115" s="21">
        <f t="shared" si="4"/>
        <v>30</v>
      </c>
      <c r="AF115" s="21">
        <v>16</v>
      </c>
      <c r="AG115" s="21">
        <v>14</v>
      </c>
      <c r="AH115" s="21" t="s">
        <v>2845</v>
      </c>
      <c r="AI115" s="21" t="s">
        <v>2845</v>
      </c>
      <c r="AJ115" s="21">
        <v>37</v>
      </c>
      <c r="AK115" s="21">
        <v>12.446999999999999</v>
      </c>
      <c r="AL115" s="21">
        <v>31.141999999999999</v>
      </c>
      <c r="AM115" s="21">
        <v>9.5419999999999998</v>
      </c>
      <c r="AN115" s="21" t="s">
        <v>3107</v>
      </c>
      <c r="AO115" s="21" t="s">
        <v>1638</v>
      </c>
      <c r="AP115" s="21" t="s">
        <v>2846</v>
      </c>
      <c r="AQ115" s="21" t="s">
        <v>3039</v>
      </c>
      <c r="AR115" s="83" t="s">
        <v>3108</v>
      </c>
      <c r="AS115" s="21" t="s">
        <v>3544</v>
      </c>
      <c r="AT115" s="21" t="s">
        <v>1646</v>
      </c>
      <c r="AU115" s="21" t="s">
        <v>3548</v>
      </c>
      <c r="AV115" s="21" t="s">
        <v>2848</v>
      </c>
      <c r="AW115" s="21">
        <v>17</v>
      </c>
      <c r="AX115" s="21">
        <v>17</v>
      </c>
      <c r="AY115" s="21" t="s">
        <v>3554</v>
      </c>
      <c r="AZ115" s="21">
        <v>1732.646</v>
      </c>
      <c r="BA115" s="21">
        <v>865.01900000000001</v>
      </c>
      <c r="BB115" s="21"/>
      <c r="BC115" s="21" t="s">
        <v>3560</v>
      </c>
      <c r="BD115" s="21">
        <v>1495.682</v>
      </c>
      <c r="BE115" s="21">
        <v>243.80799999999999</v>
      </c>
      <c r="BF115" s="21"/>
    </row>
    <row r="116" spans="1:59" s="56" customFormat="1" x14ac:dyDescent="0.2">
      <c r="A116" s="21">
        <v>34</v>
      </c>
      <c r="B116" s="21" t="s">
        <v>258</v>
      </c>
      <c r="C116" s="21" t="s">
        <v>259</v>
      </c>
      <c r="D116" s="21" t="s">
        <v>260</v>
      </c>
      <c r="E116" s="21" t="s">
        <v>261</v>
      </c>
      <c r="F116" s="21" t="s">
        <v>159</v>
      </c>
      <c r="G116" s="21">
        <v>2016</v>
      </c>
      <c r="H116" s="70">
        <v>42411</v>
      </c>
      <c r="I116" s="21" t="s">
        <v>262</v>
      </c>
      <c r="J116" s="21" t="s">
        <v>32</v>
      </c>
      <c r="K116" s="21" t="s">
        <v>263</v>
      </c>
      <c r="L116" s="21">
        <v>1</v>
      </c>
      <c r="M116" s="21" t="s">
        <v>32</v>
      </c>
      <c r="N116" s="21" t="s">
        <v>34</v>
      </c>
      <c r="O116" s="21" t="s">
        <v>34</v>
      </c>
      <c r="P116" s="21" t="s">
        <v>34</v>
      </c>
      <c r="Q116" s="21" t="s">
        <v>34</v>
      </c>
      <c r="R116" s="21" t="s">
        <v>34</v>
      </c>
      <c r="S116" s="21" t="s">
        <v>34</v>
      </c>
      <c r="T116" s="21" t="s">
        <v>34</v>
      </c>
      <c r="U116" s="21" t="s">
        <v>32</v>
      </c>
      <c r="V116" s="21">
        <v>1</v>
      </c>
      <c r="W116" s="21" t="s">
        <v>32</v>
      </c>
      <c r="X116" s="21" t="s">
        <v>32</v>
      </c>
      <c r="Y116" s="21" t="s">
        <v>32</v>
      </c>
      <c r="Z116" s="21" t="s">
        <v>32</v>
      </c>
      <c r="AA116" s="21">
        <v>26863536</v>
      </c>
      <c r="AB116" s="21">
        <v>1</v>
      </c>
      <c r="AC116" s="21"/>
      <c r="AD116" s="21">
        <v>3</v>
      </c>
      <c r="AE116" s="21">
        <f t="shared" si="4"/>
        <v>30</v>
      </c>
      <c r="AF116" s="21">
        <v>16</v>
      </c>
      <c r="AG116" s="21">
        <v>14</v>
      </c>
      <c r="AH116" s="21" t="s">
        <v>2845</v>
      </c>
      <c r="AI116" s="21" t="s">
        <v>2845</v>
      </c>
      <c r="AJ116" s="21">
        <v>37</v>
      </c>
      <c r="AK116" s="21">
        <v>12.446999999999999</v>
      </c>
      <c r="AL116" s="21">
        <v>31.141999999999999</v>
      </c>
      <c r="AM116" s="21">
        <v>9.5419999999999998</v>
      </c>
      <c r="AN116" s="21" t="s">
        <v>3107</v>
      </c>
      <c r="AO116" s="21" t="s">
        <v>1638</v>
      </c>
      <c r="AP116" s="21" t="s">
        <v>2846</v>
      </c>
      <c r="AQ116" s="21" t="s">
        <v>3039</v>
      </c>
      <c r="AR116" s="83" t="s">
        <v>3108</v>
      </c>
      <c r="AS116" s="21" t="s">
        <v>3544</v>
      </c>
      <c r="AT116" s="21" t="s">
        <v>1646</v>
      </c>
      <c r="AU116" s="21" t="s">
        <v>3549</v>
      </c>
      <c r="AV116" s="21" t="s">
        <v>2848</v>
      </c>
      <c r="AW116" s="21">
        <v>17</v>
      </c>
      <c r="AX116" s="21">
        <v>17</v>
      </c>
      <c r="AY116" s="21" t="s">
        <v>3555</v>
      </c>
      <c r="AZ116" s="21">
        <v>1144.3130000000001</v>
      </c>
      <c r="BA116" s="21">
        <v>177.27099999999999</v>
      </c>
      <c r="BB116" s="21"/>
      <c r="BC116" s="21" t="s">
        <v>3561</v>
      </c>
      <c r="BD116" s="21">
        <v>1032.056</v>
      </c>
      <c r="BE116" s="21">
        <v>190.56700000000001</v>
      </c>
      <c r="BF116" s="21"/>
    </row>
    <row r="117" spans="1:59" s="56" customFormat="1" x14ac:dyDescent="0.2">
      <c r="A117" s="21">
        <v>34</v>
      </c>
      <c r="B117" s="21" t="s">
        <v>258</v>
      </c>
      <c r="C117" s="21" t="s">
        <v>259</v>
      </c>
      <c r="D117" s="21" t="s">
        <v>260</v>
      </c>
      <c r="E117" s="21" t="s">
        <v>261</v>
      </c>
      <c r="F117" s="21" t="s">
        <v>159</v>
      </c>
      <c r="G117" s="21">
        <v>2016</v>
      </c>
      <c r="H117" s="70">
        <v>42411</v>
      </c>
      <c r="I117" s="21" t="s">
        <v>262</v>
      </c>
      <c r="J117" s="21" t="s">
        <v>32</v>
      </c>
      <c r="K117" s="21" t="s">
        <v>263</v>
      </c>
      <c r="L117" s="21">
        <v>1</v>
      </c>
      <c r="M117" s="21" t="s">
        <v>32</v>
      </c>
      <c r="N117" s="21" t="s">
        <v>34</v>
      </c>
      <c r="O117" s="21" t="s">
        <v>34</v>
      </c>
      <c r="P117" s="21" t="s">
        <v>34</v>
      </c>
      <c r="Q117" s="21" t="s">
        <v>34</v>
      </c>
      <c r="R117" s="21" t="s">
        <v>34</v>
      </c>
      <c r="S117" s="21" t="s">
        <v>34</v>
      </c>
      <c r="T117" s="21" t="s">
        <v>34</v>
      </c>
      <c r="U117" s="21" t="s">
        <v>32</v>
      </c>
      <c r="V117" s="21">
        <v>1</v>
      </c>
      <c r="W117" s="21" t="s">
        <v>32</v>
      </c>
      <c r="X117" s="21" t="s">
        <v>32</v>
      </c>
      <c r="Y117" s="21" t="s">
        <v>32</v>
      </c>
      <c r="Z117" s="21" t="s">
        <v>32</v>
      </c>
      <c r="AA117" s="21">
        <v>26863536</v>
      </c>
      <c r="AB117" s="21">
        <v>1</v>
      </c>
      <c r="AC117" s="21"/>
      <c r="AD117" s="21">
        <v>3</v>
      </c>
      <c r="AE117" s="21">
        <f t="shared" si="4"/>
        <v>30</v>
      </c>
      <c r="AF117" s="21">
        <v>16</v>
      </c>
      <c r="AG117" s="21">
        <v>14</v>
      </c>
      <c r="AH117" s="21" t="s">
        <v>2845</v>
      </c>
      <c r="AI117" s="21" t="s">
        <v>2845</v>
      </c>
      <c r="AJ117" s="21">
        <v>37</v>
      </c>
      <c r="AK117" s="21">
        <v>12.446999999999999</v>
      </c>
      <c r="AL117" s="21">
        <v>31.141999999999999</v>
      </c>
      <c r="AM117" s="21">
        <v>9.5419999999999998</v>
      </c>
      <c r="AN117" s="21" t="s">
        <v>3107</v>
      </c>
      <c r="AO117" s="21" t="s">
        <v>1638</v>
      </c>
      <c r="AP117" s="21" t="s">
        <v>2846</v>
      </c>
      <c r="AQ117" s="21" t="s">
        <v>3039</v>
      </c>
      <c r="AR117" s="83" t="s">
        <v>3108</v>
      </c>
      <c r="AS117" s="21" t="s">
        <v>3544</v>
      </c>
      <c r="AT117" s="21" t="s">
        <v>1646</v>
      </c>
      <c r="AU117" s="21" t="s">
        <v>3550</v>
      </c>
      <c r="AV117" s="21" t="s">
        <v>2848</v>
      </c>
      <c r="AW117" s="21">
        <v>17</v>
      </c>
      <c r="AX117" s="21">
        <v>17</v>
      </c>
      <c r="AY117" s="21" t="s">
        <v>3556</v>
      </c>
      <c r="AZ117" s="21">
        <v>1435.595</v>
      </c>
      <c r="BA117" s="21">
        <v>172.77</v>
      </c>
      <c r="BB117" s="21"/>
      <c r="BC117" s="21" t="s">
        <v>3562</v>
      </c>
      <c r="BD117" s="21">
        <v>1453.271</v>
      </c>
      <c r="BE117" s="21">
        <v>181.48500000000001</v>
      </c>
      <c r="BF117" s="21"/>
    </row>
    <row r="118" spans="1:59" s="65" customFormat="1" x14ac:dyDescent="0.2">
      <c r="A118" s="20">
        <v>35</v>
      </c>
      <c r="B118" s="20" t="s">
        <v>264</v>
      </c>
      <c r="C118" s="20" t="s">
        <v>265</v>
      </c>
      <c r="D118" s="20" t="s">
        <v>266</v>
      </c>
      <c r="E118" s="20" t="s">
        <v>44</v>
      </c>
      <c r="F118" s="20" t="s">
        <v>267</v>
      </c>
      <c r="G118" s="20">
        <v>2015</v>
      </c>
      <c r="H118" s="64">
        <v>42355</v>
      </c>
      <c r="I118" s="20" t="s">
        <v>268</v>
      </c>
      <c r="J118" s="20" t="s">
        <v>32</v>
      </c>
      <c r="K118" s="20" t="s">
        <v>269</v>
      </c>
      <c r="L118" s="20">
        <v>1</v>
      </c>
      <c r="M118" s="20" t="s">
        <v>270</v>
      </c>
      <c r="N118" s="20" t="s">
        <v>34</v>
      </c>
      <c r="O118" s="20" t="s">
        <v>34</v>
      </c>
      <c r="P118" s="20" t="s">
        <v>34</v>
      </c>
      <c r="Q118" s="20" t="s">
        <v>34</v>
      </c>
      <c r="R118" s="20" t="s">
        <v>34</v>
      </c>
      <c r="S118" s="20" t="s">
        <v>34</v>
      </c>
      <c r="T118" s="20" t="s">
        <v>34</v>
      </c>
      <c r="U118" s="20" t="s">
        <v>32</v>
      </c>
      <c r="V118" s="20">
        <v>1</v>
      </c>
      <c r="W118" s="20" t="s">
        <v>32</v>
      </c>
      <c r="X118" s="20" t="s">
        <v>32</v>
      </c>
      <c r="Y118" s="20" t="s">
        <v>32</v>
      </c>
      <c r="Z118" s="20" t="s">
        <v>32</v>
      </c>
      <c r="AA118" s="20">
        <v>26670285</v>
      </c>
      <c r="AB118" s="20">
        <v>0</v>
      </c>
      <c r="AC118" s="20" t="s">
        <v>3110</v>
      </c>
      <c r="AD118" s="20"/>
      <c r="AE118" s="20">
        <f t="shared" si="3"/>
        <v>0</v>
      </c>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row>
    <row r="119" spans="1:59" s="65" customFormat="1" x14ac:dyDescent="0.2">
      <c r="A119" s="20">
        <v>36</v>
      </c>
      <c r="B119" s="20" t="s">
        <v>271</v>
      </c>
      <c r="C119" s="20" t="s">
        <v>272</v>
      </c>
      <c r="D119" s="20" t="s">
        <v>273</v>
      </c>
      <c r="E119" s="20" t="s">
        <v>274</v>
      </c>
      <c r="F119" s="20" t="s">
        <v>275</v>
      </c>
      <c r="G119" s="20">
        <v>2015</v>
      </c>
      <c r="H119" s="64">
        <v>42193</v>
      </c>
      <c r="I119" s="20" t="s">
        <v>32</v>
      </c>
      <c r="J119" s="20" t="s">
        <v>32</v>
      </c>
      <c r="K119" s="20" t="s">
        <v>276</v>
      </c>
      <c r="L119" s="20">
        <v>1</v>
      </c>
      <c r="M119" s="20" t="s">
        <v>277</v>
      </c>
      <c r="N119" s="20" t="s">
        <v>34</v>
      </c>
      <c r="O119" s="20" t="s">
        <v>34</v>
      </c>
      <c r="P119" s="20" t="s">
        <v>34</v>
      </c>
      <c r="Q119" s="20" t="s">
        <v>34</v>
      </c>
      <c r="R119" s="20" t="s">
        <v>34</v>
      </c>
      <c r="S119" s="20" t="s">
        <v>34</v>
      </c>
      <c r="T119" s="20" t="s">
        <v>34</v>
      </c>
      <c r="U119" s="20" t="s">
        <v>32</v>
      </c>
      <c r="V119" s="20">
        <v>1</v>
      </c>
      <c r="W119" s="20" t="s">
        <v>32</v>
      </c>
      <c r="X119" s="20" t="s">
        <v>32</v>
      </c>
      <c r="Y119" s="20" t="s">
        <v>32</v>
      </c>
      <c r="Z119" s="20" t="s">
        <v>32</v>
      </c>
      <c r="AA119" s="20">
        <v>26149734</v>
      </c>
      <c r="AB119" s="20">
        <v>0</v>
      </c>
      <c r="AC119" s="20" t="s">
        <v>3111</v>
      </c>
      <c r="AD119" s="20"/>
      <c r="AE119" s="20">
        <f t="shared" si="3"/>
        <v>0</v>
      </c>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row>
    <row r="120" spans="1:59" s="56" customFormat="1" x14ac:dyDescent="0.2">
      <c r="A120" s="21">
        <v>37</v>
      </c>
      <c r="B120" s="21" t="s">
        <v>278</v>
      </c>
      <c r="C120" s="21" t="s">
        <v>279</v>
      </c>
      <c r="D120" s="21" t="s">
        <v>280</v>
      </c>
      <c r="E120" s="21" t="s">
        <v>281</v>
      </c>
      <c r="F120" s="21" t="s">
        <v>282</v>
      </c>
      <c r="G120" s="21">
        <v>2015</v>
      </c>
      <c r="H120" s="70">
        <v>42102</v>
      </c>
      <c r="I120" s="21" t="s">
        <v>283</v>
      </c>
      <c r="J120" s="21" t="s">
        <v>32</v>
      </c>
      <c r="K120" s="21" t="s">
        <v>284</v>
      </c>
      <c r="L120" s="21">
        <v>1</v>
      </c>
      <c r="M120" s="21" t="s">
        <v>285</v>
      </c>
      <c r="N120" s="21" t="s">
        <v>34</v>
      </c>
      <c r="O120" s="21" t="s">
        <v>34</v>
      </c>
      <c r="P120" s="21" t="s">
        <v>34</v>
      </c>
      <c r="Q120" s="21" t="s">
        <v>34</v>
      </c>
      <c r="R120" s="21" t="s">
        <v>286</v>
      </c>
      <c r="S120" s="21" t="s">
        <v>34</v>
      </c>
      <c r="T120" s="21" t="s">
        <v>34</v>
      </c>
      <c r="U120" s="21" t="s">
        <v>34</v>
      </c>
      <c r="V120" s="21">
        <v>1</v>
      </c>
      <c r="W120" s="21" t="s">
        <v>32</v>
      </c>
      <c r="X120" s="21">
        <v>1</v>
      </c>
      <c r="Y120" s="21" t="s">
        <v>287</v>
      </c>
      <c r="Z120" s="21" t="s">
        <v>288</v>
      </c>
      <c r="AA120" s="21">
        <v>25847536</v>
      </c>
      <c r="AB120" s="21">
        <v>1</v>
      </c>
      <c r="AC120" s="21"/>
      <c r="AD120" s="21">
        <v>3</v>
      </c>
      <c r="AE120" s="21">
        <f t="shared" si="3"/>
        <v>36</v>
      </c>
      <c r="AF120" s="21">
        <v>18</v>
      </c>
      <c r="AG120" s="21">
        <v>18</v>
      </c>
      <c r="AH120" s="21" t="s">
        <v>2845</v>
      </c>
      <c r="AI120" s="21" t="s">
        <v>2845</v>
      </c>
      <c r="AJ120" s="21">
        <v>34.200000000000003</v>
      </c>
      <c r="AK120" s="21">
        <v>13.4</v>
      </c>
      <c r="AL120" s="21">
        <v>36.799999999999997</v>
      </c>
      <c r="AM120" s="21">
        <v>14.2</v>
      </c>
      <c r="AN120" s="21" t="s">
        <v>3224</v>
      </c>
      <c r="AO120" s="21" t="s">
        <v>1770</v>
      </c>
      <c r="AP120" s="21" t="s">
        <v>2846</v>
      </c>
      <c r="AQ120" s="21" t="s">
        <v>3140</v>
      </c>
      <c r="AR120" s="21" t="s">
        <v>1646</v>
      </c>
      <c r="AS120" s="21" t="s">
        <v>3531</v>
      </c>
      <c r="AT120" s="21" t="s">
        <v>1646</v>
      </c>
      <c r="AU120" s="21" t="s">
        <v>3802</v>
      </c>
      <c r="AV120" s="21" t="s">
        <v>2907</v>
      </c>
      <c r="AW120" s="21">
        <v>18</v>
      </c>
      <c r="AX120" s="21">
        <v>18</v>
      </c>
      <c r="AY120" s="21" t="s">
        <v>3803</v>
      </c>
      <c r="AZ120" s="21">
        <v>89.893500000000003</v>
      </c>
      <c r="BA120" s="21"/>
      <c r="BB120" s="21">
        <f>92.8459-AZ120</f>
        <v>2.9523999999999972</v>
      </c>
      <c r="BC120" s="21" t="s">
        <v>3804</v>
      </c>
      <c r="BD120" s="21">
        <v>92.410499999999999</v>
      </c>
      <c r="BE120" s="21"/>
      <c r="BF120" s="21">
        <f>94.2721-BD120</f>
        <v>1.8615999999999957</v>
      </c>
      <c r="BG120" s="56" t="s">
        <v>3805</v>
      </c>
    </row>
    <row r="121" spans="1:59" x14ac:dyDescent="0.2">
      <c r="A121" s="7">
        <v>38</v>
      </c>
      <c r="B121" s="7" t="s">
        <v>289</v>
      </c>
      <c r="C121" s="7" t="s">
        <v>290</v>
      </c>
      <c r="D121" s="7" t="s">
        <v>291</v>
      </c>
      <c r="E121" s="7" t="s">
        <v>292</v>
      </c>
      <c r="F121" s="7" t="s">
        <v>293</v>
      </c>
      <c r="G121" s="7">
        <v>2015</v>
      </c>
      <c r="H121" s="8">
        <v>41941</v>
      </c>
      <c r="I121" s="7" t="s">
        <v>294</v>
      </c>
      <c r="J121" s="7" t="s">
        <v>32</v>
      </c>
      <c r="K121" s="7" t="s">
        <v>295</v>
      </c>
      <c r="L121" s="7">
        <v>1</v>
      </c>
      <c r="M121" s="7" t="s">
        <v>32</v>
      </c>
      <c r="N121" s="7" t="s">
        <v>34</v>
      </c>
      <c r="O121" s="7" t="s">
        <v>34</v>
      </c>
      <c r="P121" s="7" t="s">
        <v>34</v>
      </c>
      <c r="Q121" s="7" t="s">
        <v>34</v>
      </c>
      <c r="R121" s="7" t="s">
        <v>34</v>
      </c>
      <c r="S121" s="7" t="s">
        <v>34</v>
      </c>
      <c r="T121" s="7" t="s">
        <v>34</v>
      </c>
      <c r="U121" s="7" t="s">
        <v>32</v>
      </c>
      <c r="V121" s="7">
        <v>1</v>
      </c>
      <c r="W121" s="7" t="s">
        <v>32</v>
      </c>
      <c r="X121" s="7" t="s">
        <v>32</v>
      </c>
      <c r="Y121" s="7" t="s">
        <v>32</v>
      </c>
      <c r="Z121" s="7" t="s">
        <v>32</v>
      </c>
      <c r="AA121" s="7">
        <v>25350012</v>
      </c>
      <c r="AB121" s="7">
        <v>1</v>
      </c>
      <c r="AC121" s="7"/>
      <c r="AD121" s="7">
        <v>2</v>
      </c>
      <c r="AE121" s="7">
        <f t="shared" si="3"/>
        <v>148</v>
      </c>
      <c r="AF121" s="7">
        <v>32</v>
      </c>
      <c r="AG121" s="7">
        <v>116</v>
      </c>
      <c r="AH121" s="7" t="s">
        <v>2845</v>
      </c>
      <c r="AI121" s="7" t="s">
        <v>2845</v>
      </c>
      <c r="AJ121" s="7">
        <v>31.53</v>
      </c>
      <c r="AK121" s="7">
        <v>7.24</v>
      </c>
      <c r="AL121" s="7">
        <v>31.64</v>
      </c>
      <c r="AM121" s="7">
        <v>8.2100000000000009</v>
      </c>
      <c r="AN121" s="7" t="s">
        <v>2902</v>
      </c>
      <c r="AO121" s="7" t="s">
        <v>1770</v>
      </c>
      <c r="AP121" s="7" t="s">
        <v>3112</v>
      </c>
      <c r="AQ121" s="7" t="s">
        <v>3039</v>
      </c>
      <c r="AR121" s="7" t="s">
        <v>1646</v>
      </c>
      <c r="AS121" s="7" t="s">
        <v>3113</v>
      </c>
      <c r="AT121" s="7" t="s">
        <v>1646</v>
      </c>
      <c r="AU121" s="7" t="s">
        <v>2952</v>
      </c>
      <c r="AV121" s="7" t="s">
        <v>2907</v>
      </c>
      <c r="AW121" s="7">
        <v>19</v>
      </c>
      <c r="AX121" s="7">
        <v>19</v>
      </c>
      <c r="AY121" s="7" t="s">
        <v>3114</v>
      </c>
      <c r="AZ121" s="7">
        <v>49.97</v>
      </c>
      <c r="BA121" s="7">
        <v>10.721</v>
      </c>
      <c r="BB121" s="7"/>
      <c r="BC121" s="7" t="s">
        <v>3120</v>
      </c>
      <c r="BD121" s="7">
        <v>54.17</v>
      </c>
      <c r="BE121" s="7">
        <v>8.9350000000000005</v>
      </c>
      <c r="BF121" s="7"/>
      <c r="BG121" s="76"/>
    </row>
    <row r="122" spans="1:59" x14ac:dyDescent="0.2">
      <c r="A122" s="7">
        <v>38</v>
      </c>
      <c r="B122" s="7" t="s">
        <v>289</v>
      </c>
      <c r="C122" s="7" t="s">
        <v>290</v>
      </c>
      <c r="D122" s="7" t="s">
        <v>291</v>
      </c>
      <c r="E122" s="7" t="s">
        <v>292</v>
      </c>
      <c r="F122" s="7" t="s">
        <v>293</v>
      </c>
      <c r="G122" s="7">
        <v>2015</v>
      </c>
      <c r="H122" s="8">
        <v>41941</v>
      </c>
      <c r="I122" s="7" t="s">
        <v>294</v>
      </c>
      <c r="J122" s="7" t="s">
        <v>32</v>
      </c>
      <c r="K122" s="7" t="s">
        <v>295</v>
      </c>
      <c r="L122" s="7">
        <v>1</v>
      </c>
      <c r="M122" s="7" t="s">
        <v>32</v>
      </c>
      <c r="N122" s="7" t="s">
        <v>34</v>
      </c>
      <c r="O122" s="7" t="s">
        <v>34</v>
      </c>
      <c r="P122" s="7" t="s">
        <v>34</v>
      </c>
      <c r="Q122" s="7" t="s">
        <v>34</v>
      </c>
      <c r="R122" s="7" t="s">
        <v>34</v>
      </c>
      <c r="S122" s="7" t="s">
        <v>34</v>
      </c>
      <c r="T122" s="7" t="s">
        <v>34</v>
      </c>
      <c r="U122" s="7" t="s">
        <v>32</v>
      </c>
      <c r="V122" s="7">
        <v>1</v>
      </c>
      <c r="W122" s="7" t="s">
        <v>32</v>
      </c>
      <c r="X122" s="7" t="s">
        <v>32</v>
      </c>
      <c r="Y122" s="7" t="s">
        <v>32</v>
      </c>
      <c r="Z122" s="7" t="s">
        <v>32</v>
      </c>
      <c r="AA122" s="7">
        <v>25350012</v>
      </c>
      <c r="AB122" s="7">
        <v>1</v>
      </c>
      <c r="AC122" s="7"/>
      <c r="AD122" s="7">
        <v>2</v>
      </c>
      <c r="AE122" s="7">
        <f>AF122+AG122</f>
        <v>148</v>
      </c>
      <c r="AF122" s="7">
        <v>32</v>
      </c>
      <c r="AG122" s="7">
        <v>116</v>
      </c>
      <c r="AH122" s="7" t="s">
        <v>2845</v>
      </c>
      <c r="AI122" s="7" t="s">
        <v>2845</v>
      </c>
      <c r="AJ122" s="7">
        <v>31.53</v>
      </c>
      <c r="AK122" s="7">
        <v>7.24</v>
      </c>
      <c r="AL122" s="7">
        <v>31.64</v>
      </c>
      <c r="AM122" s="7">
        <v>8.2100000000000009</v>
      </c>
      <c r="AN122" s="7" t="s">
        <v>2902</v>
      </c>
      <c r="AO122" s="7" t="s">
        <v>1770</v>
      </c>
      <c r="AP122" s="7" t="s">
        <v>3112</v>
      </c>
      <c r="AQ122" s="7" t="s">
        <v>3039</v>
      </c>
      <c r="AR122" s="7" t="s">
        <v>1646</v>
      </c>
      <c r="AS122" s="7" t="s">
        <v>3113</v>
      </c>
      <c r="AT122" s="7" t="s">
        <v>1646</v>
      </c>
      <c r="AU122" s="7" t="s">
        <v>3118</v>
      </c>
      <c r="AV122" s="7" t="s">
        <v>2907</v>
      </c>
      <c r="AW122" s="7">
        <v>19</v>
      </c>
      <c r="AX122" s="7">
        <v>19</v>
      </c>
      <c r="AY122" s="7" t="s">
        <v>3115</v>
      </c>
      <c r="AZ122" s="7">
        <v>-0.06</v>
      </c>
      <c r="BA122" s="7">
        <v>0.94799999999999995</v>
      </c>
      <c r="BB122" s="7"/>
      <c r="BC122" s="7" t="s">
        <v>3121</v>
      </c>
      <c r="BD122" s="7">
        <v>0.22</v>
      </c>
      <c r="BE122" s="7">
        <v>0.96699999999999997</v>
      </c>
      <c r="BF122" s="7"/>
      <c r="BG122" s="76"/>
    </row>
    <row r="123" spans="1:59" x14ac:dyDescent="0.2">
      <c r="A123" s="7">
        <v>38</v>
      </c>
      <c r="B123" s="7" t="s">
        <v>289</v>
      </c>
      <c r="C123" s="7" t="s">
        <v>290</v>
      </c>
      <c r="D123" s="7" t="s">
        <v>291</v>
      </c>
      <c r="E123" s="7" t="s">
        <v>292</v>
      </c>
      <c r="F123" s="7" t="s">
        <v>293</v>
      </c>
      <c r="G123" s="7">
        <v>2015</v>
      </c>
      <c r="H123" s="8">
        <v>41941</v>
      </c>
      <c r="I123" s="7" t="s">
        <v>294</v>
      </c>
      <c r="J123" s="7" t="s">
        <v>32</v>
      </c>
      <c r="K123" s="7" t="s">
        <v>295</v>
      </c>
      <c r="L123" s="7">
        <v>1</v>
      </c>
      <c r="M123" s="7" t="s">
        <v>32</v>
      </c>
      <c r="N123" s="7" t="s">
        <v>34</v>
      </c>
      <c r="O123" s="7" t="s">
        <v>34</v>
      </c>
      <c r="P123" s="7" t="s">
        <v>34</v>
      </c>
      <c r="Q123" s="7" t="s">
        <v>34</v>
      </c>
      <c r="R123" s="7" t="s">
        <v>34</v>
      </c>
      <c r="S123" s="7" t="s">
        <v>34</v>
      </c>
      <c r="T123" s="7" t="s">
        <v>34</v>
      </c>
      <c r="U123" s="7" t="s">
        <v>32</v>
      </c>
      <c r="V123" s="7">
        <v>1</v>
      </c>
      <c r="W123" s="7" t="s">
        <v>32</v>
      </c>
      <c r="X123" s="7" t="s">
        <v>32</v>
      </c>
      <c r="Y123" s="7" t="s">
        <v>32</v>
      </c>
      <c r="Z123" s="7" t="s">
        <v>32</v>
      </c>
      <c r="AA123" s="7">
        <v>25350012</v>
      </c>
      <c r="AB123" s="7">
        <v>1</v>
      </c>
      <c r="AC123" s="7"/>
      <c r="AD123" s="7">
        <v>2</v>
      </c>
      <c r="AE123" s="7">
        <f>AF123+AG123</f>
        <v>148</v>
      </c>
      <c r="AF123" s="7">
        <v>32</v>
      </c>
      <c r="AG123" s="7">
        <v>116</v>
      </c>
      <c r="AH123" s="7" t="s">
        <v>2845</v>
      </c>
      <c r="AI123" s="7" t="s">
        <v>2845</v>
      </c>
      <c r="AJ123" s="7">
        <v>31.53</v>
      </c>
      <c r="AK123" s="7">
        <v>7.24</v>
      </c>
      <c r="AL123" s="7">
        <v>31.64</v>
      </c>
      <c r="AM123" s="7">
        <v>8.2100000000000009</v>
      </c>
      <c r="AN123" s="7" t="s">
        <v>2902</v>
      </c>
      <c r="AO123" s="7" t="s">
        <v>1770</v>
      </c>
      <c r="AP123" s="7" t="s">
        <v>3112</v>
      </c>
      <c r="AQ123" s="7" t="s">
        <v>3039</v>
      </c>
      <c r="AR123" s="7" t="s">
        <v>1646</v>
      </c>
      <c r="AS123" s="7" t="s">
        <v>3113</v>
      </c>
      <c r="AT123" s="7" t="s">
        <v>1646</v>
      </c>
      <c r="AU123" s="7" t="s">
        <v>3029</v>
      </c>
      <c r="AV123" s="7" t="s">
        <v>2907</v>
      </c>
      <c r="AW123" s="7">
        <v>19</v>
      </c>
      <c r="AX123" s="7">
        <v>19</v>
      </c>
      <c r="AY123" s="7" t="s">
        <v>3116</v>
      </c>
      <c r="AZ123" s="7">
        <v>-0.23</v>
      </c>
      <c r="BA123" s="7">
        <v>1.0469999999999999</v>
      </c>
      <c r="BB123" s="7"/>
      <c r="BC123" s="7" t="s">
        <v>3122</v>
      </c>
      <c r="BD123" s="7">
        <v>7.0000000000000007E-2</v>
      </c>
      <c r="BE123" s="7">
        <v>0.97199999999999998</v>
      </c>
      <c r="BF123" s="7"/>
      <c r="BG123" s="76"/>
    </row>
    <row r="124" spans="1:59" x14ac:dyDescent="0.2">
      <c r="A124" s="7">
        <v>38</v>
      </c>
      <c r="B124" s="7" t="s">
        <v>289</v>
      </c>
      <c r="C124" s="7" t="s">
        <v>290</v>
      </c>
      <c r="D124" s="7" t="s">
        <v>291</v>
      </c>
      <c r="E124" s="7" t="s">
        <v>292</v>
      </c>
      <c r="F124" s="7" t="s">
        <v>293</v>
      </c>
      <c r="G124" s="7">
        <v>2015</v>
      </c>
      <c r="H124" s="8">
        <v>41941</v>
      </c>
      <c r="I124" s="7" t="s">
        <v>294</v>
      </c>
      <c r="J124" s="7" t="s">
        <v>32</v>
      </c>
      <c r="K124" s="7" t="s">
        <v>295</v>
      </c>
      <c r="L124" s="7">
        <v>1</v>
      </c>
      <c r="M124" s="7" t="s">
        <v>32</v>
      </c>
      <c r="N124" s="7" t="s">
        <v>34</v>
      </c>
      <c r="O124" s="7" t="s">
        <v>34</v>
      </c>
      <c r="P124" s="7" t="s">
        <v>34</v>
      </c>
      <c r="Q124" s="7" t="s">
        <v>34</v>
      </c>
      <c r="R124" s="7" t="s">
        <v>34</v>
      </c>
      <c r="S124" s="7" t="s">
        <v>34</v>
      </c>
      <c r="T124" s="7" t="s">
        <v>34</v>
      </c>
      <c r="U124" s="7" t="s">
        <v>32</v>
      </c>
      <c r="V124" s="7">
        <v>1</v>
      </c>
      <c r="W124" s="7" t="s">
        <v>32</v>
      </c>
      <c r="X124" s="7" t="s">
        <v>32</v>
      </c>
      <c r="Y124" s="7" t="s">
        <v>32</v>
      </c>
      <c r="Z124" s="7" t="s">
        <v>32</v>
      </c>
      <c r="AA124" s="7">
        <v>25350012</v>
      </c>
      <c r="AB124" s="7">
        <v>1</v>
      </c>
      <c r="AC124" s="7"/>
      <c r="AD124" s="7">
        <v>2</v>
      </c>
      <c r="AE124" s="7">
        <f>AF124+AG124</f>
        <v>148</v>
      </c>
      <c r="AF124" s="7">
        <v>32</v>
      </c>
      <c r="AG124" s="7">
        <v>116</v>
      </c>
      <c r="AH124" s="7" t="s">
        <v>2845</v>
      </c>
      <c r="AI124" s="7" t="s">
        <v>2845</v>
      </c>
      <c r="AJ124" s="7">
        <v>31.53</v>
      </c>
      <c r="AK124" s="7">
        <v>7.24</v>
      </c>
      <c r="AL124" s="7">
        <v>31.64</v>
      </c>
      <c r="AM124" s="7">
        <v>8.2100000000000009</v>
      </c>
      <c r="AN124" s="7" t="s">
        <v>2902</v>
      </c>
      <c r="AO124" s="7" t="s">
        <v>1770</v>
      </c>
      <c r="AP124" s="7" t="s">
        <v>3112</v>
      </c>
      <c r="AQ124" s="7" t="s">
        <v>3039</v>
      </c>
      <c r="AR124" s="7" t="s">
        <v>1646</v>
      </c>
      <c r="AS124" s="7" t="s">
        <v>3113</v>
      </c>
      <c r="AT124" s="7" t="s">
        <v>1646</v>
      </c>
      <c r="AU124" s="7" t="s">
        <v>3119</v>
      </c>
      <c r="AV124" s="7" t="s">
        <v>2907</v>
      </c>
      <c r="AW124" s="7">
        <v>19</v>
      </c>
      <c r="AX124" s="7">
        <v>19</v>
      </c>
      <c r="AY124" s="7" t="s">
        <v>3117</v>
      </c>
      <c r="AZ124" s="7">
        <v>-0.28000000000000003</v>
      </c>
      <c r="BA124" s="7">
        <v>1.016</v>
      </c>
      <c r="BB124" s="7"/>
      <c r="BC124" s="7" t="s">
        <v>3123</v>
      </c>
      <c r="BD124" s="7">
        <v>0.06</v>
      </c>
      <c r="BE124" s="7">
        <v>1.04</v>
      </c>
      <c r="BF124" s="7"/>
      <c r="BG124" s="76"/>
    </row>
    <row r="125" spans="1:59" x14ac:dyDescent="0.2">
      <c r="A125" s="7">
        <v>39</v>
      </c>
      <c r="B125" s="7" t="s">
        <v>296</v>
      </c>
      <c r="C125" s="7" t="s">
        <v>297</v>
      </c>
      <c r="D125" s="7" t="s">
        <v>298</v>
      </c>
      <c r="E125" s="7" t="s">
        <v>299</v>
      </c>
      <c r="F125" s="7" t="s">
        <v>300</v>
      </c>
      <c r="G125" s="7">
        <v>2014</v>
      </c>
      <c r="H125" s="8">
        <v>41915</v>
      </c>
      <c r="I125" s="7" t="s">
        <v>301</v>
      </c>
      <c r="J125" s="7" t="s">
        <v>32</v>
      </c>
      <c r="K125" s="7" t="s">
        <v>302</v>
      </c>
      <c r="L125" s="7">
        <v>1</v>
      </c>
      <c r="M125" s="7" t="s">
        <v>303</v>
      </c>
      <c r="N125" s="7" t="s">
        <v>34</v>
      </c>
      <c r="O125" s="7" t="s">
        <v>34</v>
      </c>
      <c r="P125" s="7" t="s">
        <v>34</v>
      </c>
      <c r="Q125" s="7" t="s">
        <v>34</v>
      </c>
      <c r="R125" s="7" t="s">
        <v>34</v>
      </c>
      <c r="S125" s="7" t="s">
        <v>34</v>
      </c>
      <c r="T125" s="7" t="s">
        <v>34</v>
      </c>
      <c r="U125" s="7" t="s">
        <v>32</v>
      </c>
      <c r="V125" s="7">
        <v>1</v>
      </c>
      <c r="W125" s="7" t="s">
        <v>32</v>
      </c>
      <c r="X125" s="7" t="s">
        <v>32</v>
      </c>
      <c r="Y125" s="7" t="s">
        <v>32</v>
      </c>
      <c r="Z125" s="7" t="s">
        <v>32</v>
      </c>
      <c r="AA125" s="7">
        <v>25274821</v>
      </c>
      <c r="AB125" s="7">
        <v>1</v>
      </c>
      <c r="AC125" s="7"/>
      <c r="AD125" s="7">
        <v>2</v>
      </c>
      <c r="AE125" s="7">
        <f t="shared" ref="AE125:AE138" si="5">AF125+AG125</f>
        <v>28</v>
      </c>
      <c r="AF125" s="7">
        <v>14</v>
      </c>
      <c r="AG125" s="7">
        <v>14</v>
      </c>
      <c r="AH125" s="7" t="s">
        <v>1642</v>
      </c>
      <c r="AI125" s="7" t="s">
        <v>1642</v>
      </c>
      <c r="AJ125" s="7" t="s">
        <v>1646</v>
      </c>
      <c r="AK125" s="7" t="s">
        <v>1646</v>
      </c>
      <c r="AL125" s="7" t="s">
        <v>1646</v>
      </c>
      <c r="AM125" s="7" t="s">
        <v>1646</v>
      </c>
      <c r="AN125" s="7" t="s">
        <v>2902</v>
      </c>
      <c r="AO125" s="7" t="s">
        <v>1770</v>
      </c>
      <c r="AP125" s="7" t="s">
        <v>3124</v>
      </c>
      <c r="AQ125" s="7" t="s">
        <v>3125</v>
      </c>
      <c r="AR125" s="7" t="s">
        <v>1646</v>
      </c>
      <c r="AS125" s="7" t="s">
        <v>1639</v>
      </c>
      <c r="AT125" s="7" t="s">
        <v>1646</v>
      </c>
      <c r="AU125" s="21" t="s">
        <v>2899</v>
      </c>
      <c r="AV125" s="21" t="s">
        <v>2907</v>
      </c>
      <c r="AW125" s="21">
        <v>20</v>
      </c>
      <c r="AX125" s="21">
        <v>20</v>
      </c>
      <c r="AY125" s="21" t="s">
        <v>3126</v>
      </c>
      <c r="AZ125" s="21">
        <v>0.11350300000000001</v>
      </c>
      <c r="BA125" s="21">
        <f>0.192528-AZ125</f>
        <v>7.9024999999999998E-2</v>
      </c>
      <c r="BB125" s="21"/>
      <c r="BC125" s="21" t="s">
        <v>3162</v>
      </c>
      <c r="BD125" s="21">
        <v>9.7743700000000003E-2</v>
      </c>
      <c r="BE125" s="21">
        <f>0.125061-BD125</f>
        <v>2.7317300000000003E-2</v>
      </c>
      <c r="BF125" s="21"/>
      <c r="BG125" s="56"/>
    </row>
    <row r="126" spans="1:59" x14ac:dyDescent="0.2">
      <c r="A126" s="7">
        <v>39</v>
      </c>
      <c r="B126" s="7" t="s">
        <v>296</v>
      </c>
      <c r="C126" s="7" t="s">
        <v>297</v>
      </c>
      <c r="D126" s="7" t="s">
        <v>298</v>
      </c>
      <c r="E126" s="7" t="s">
        <v>299</v>
      </c>
      <c r="F126" s="7" t="s">
        <v>300</v>
      </c>
      <c r="G126" s="7">
        <v>2014</v>
      </c>
      <c r="H126" s="8">
        <v>41915</v>
      </c>
      <c r="I126" s="7" t="s">
        <v>301</v>
      </c>
      <c r="J126" s="7" t="s">
        <v>32</v>
      </c>
      <c r="K126" s="7" t="s">
        <v>302</v>
      </c>
      <c r="L126" s="7">
        <v>1</v>
      </c>
      <c r="M126" s="7" t="s">
        <v>303</v>
      </c>
      <c r="N126" s="7" t="s">
        <v>34</v>
      </c>
      <c r="O126" s="7" t="s">
        <v>34</v>
      </c>
      <c r="P126" s="7" t="s">
        <v>34</v>
      </c>
      <c r="Q126" s="7" t="s">
        <v>34</v>
      </c>
      <c r="R126" s="7" t="s">
        <v>34</v>
      </c>
      <c r="S126" s="7" t="s">
        <v>34</v>
      </c>
      <c r="T126" s="7" t="s">
        <v>34</v>
      </c>
      <c r="U126" s="7" t="s">
        <v>32</v>
      </c>
      <c r="V126" s="7">
        <v>1</v>
      </c>
      <c r="W126" s="7" t="s">
        <v>32</v>
      </c>
      <c r="X126" s="7" t="s">
        <v>32</v>
      </c>
      <c r="Y126" s="7" t="s">
        <v>32</v>
      </c>
      <c r="Z126" s="7" t="s">
        <v>32</v>
      </c>
      <c r="AA126" s="7">
        <v>25274821</v>
      </c>
      <c r="AB126" s="7">
        <v>1</v>
      </c>
      <c r="AC126" s="7"/>
      <c r="AD126" s="7">
        <v>2</v>
      </c>
      <c r="AE126" s="7">
        <f t="shared" si="5"/>
        <v>28</v>
      </c>
      <c r="AF126" s="7">
        <v>14</v>
      </c>
      <c r="AG126" s="7">
        <v>14</v>
      </c>
      <c r="AH126" s="7" t="s">
        <v>1642</v>
      </c>
      <c r="AI126" s="7" t="s">
        <v>1642</v>
      </c>
      <c r="AJ126" s="7" t="s">
        <v>1646</v>
      </c>
      <c r="AK126" s="7" t="s">
        <v>1646</v>
      </c>
      <c r="AL126" s="7" t="s">
        <v>1646</v>
      </c>
      <c r="AM126" s="7" t="s">
        <v>1646</v>
      </c>
      <c r="AN126" s="7" t="s">
        <v>2902</v>
      </c>
      <c r="AO126" s="7" t="s">
        <v>1770</v>
      </c>
      <c r="AP126" s="7" t="s">
        <v>3124</v>
      </c>
      <c r="AQ126" s="7" t="s">
        <v>3125</v>
      </c>
      <c r="AR126" s="7" t="s">
        <v>1646</v>
      </c>
      <c r="AS126" s="7" t="s">
        <v>1639</v>
      </c>
      <c r="AT126" s="7" t="s">
        <v>1646</v>
      </c>
      <c r="AU126" s="21" t="s">
        <v>2898</v>
      </c>
      <c r="AV126" s="21" t="s">
        <v>2907</v>
      </c>
      <c r="AW126" s="21">
        <v>20</v>
      </c>
      <c r="AX126" s="21">
        <v>20</v>
      </c>
      <c r="AY126" s="21" t="s">
        <v>3127</v>
      </c>
      <c r="AZ126" s="21">
        <v>0.247668</v>
      </c>
      <c r="BA126" s="21">
        <f>0.319862-AZ126</f>
        <v>7.219399999999998E-2</v>
      </c>
      <c r="BB126" s="21"/>
      <c r="BC126" s="21" t="s">
        <v>3163</v>
      </c>
      <c r="BD126" s="21">
        <v>0.22020400000000001</v>
      </c>
      <c r="BE126" s="21">
        <f>0.255326-BD126</f>
        <v>3.5121999999999987E-2</v>
      </c>
      <c r="BF126" s="21"/>
      <c r="BG126" s="56"/>
    </row>
    <row r="127" spans="1:59" x14ac:dyDescent="0.2">
      <c r="A127" s="7">
        <v>39</v>
      </c>
      <c r="B127" s="7" t="s">
        <v>296</v>
      </c>
      <c r="C127" s="7" t="s">
        <v>297</v>
      </c>
      <c r="D127" s="7" t="s">
        <v>298</v>
      </c>
      <c r="E127" s="7" t="s">
        <v>299</v>
      </c>
      <c r="F127" s="7" t="s">
        <v>300</v>
      </c>
      <c r="G127" s="7">
        <v>2014</v>
      </c>
      <c r="H127" s="8">
        <v>41915</v>
      </c>
      <c r="I127" s="7" t="s">
        <v>301</v>
      </c>
      <c r="J127" s="7" t="s">
        <v>32</v>
      </c>
      <c r="K127" s="7" t="s">
        <v>302</v>
      </c>
      <c r="L127" s="7">
        <v>1</v>
      </c>
      <c r="M127" s="7" t="s">
        <v>303</v>
      </c>
      <c r="N127" s="7" t="s">
        <v>34</v>
      </c>
      <c r="O127" s="7" t="s">
        <v>34</v>
      </c>
      <c r="P127" s="7" t="s">
        <v>34</v>
      </c>
      <c r="Q127" s="7" t="s">
        <v>34</v>
      </c>
      <c r="R127" s="7" t="s">
        <v>34</v>
      </c>
      <c r="S127" s="7" t="s">
        <v>34</v>
      </c>
      <c r="T127" s="7" t="s">
        <v>34</v>
      </c>
      <c r="U127" s="7" t="s">
        <v>32</v>
      </c>
      <c r="V127" s="7">
        <v>1</v>
      </c>
      <c r="W127" s="7" t="s">
        <v>32</v>
      </c>
      <c r="X127" s="7" t="s">
        <v>32</v>
      </c>
      <c r="Y127" s="7" t="s">
        <v>32</v>
      </c>
      <c r="Z127" s="7" t="s">
        <v>32</v>
      </c>
      <c r="AA127" s="7">
        <v>25274821</v>
      </c>
      <c r="AB127" s="7">
        <v>1</v>
      </c>
      <c r="AC127" s="7"/>
      <c r="AD127" s="7">
        <v>2</v>
      </c>
      <c r="AE127" s="7">
        <f t="shared" si="5"/>
        <v>28</v>
      </c>
      <c r="AF127" s="7">
        <v>14</v>
      </c>
      <c r="AG127" s="7">
        <v>14</v>
      </c>
      <c r="AH127" s="7" t="s">
        <v>1642</v>
      </c>
      <c r="AI127" s="7" t="s">
        <v>1642</v>
      </c>
      <c r="AJ127" s="7" t="s">
        <v>1646</v>
      </c>
      <c r="AK127" s="7" t="s">
        <v>1646</v>
      </c>
      <c r="AL127" s="7" t="s">
        <v>1646</v>
      </c>
      <c r="AM127" s="7" t="s">
        <v>1646</v>
      </c>
      <c r="AN127" s="7" t="s">
        <v>2902</v>
      </c>
      <c r="AO127" s="7" t="s">
        <v>1770</v>
      </c>
      <c r="AP127" s="7" t="s">
        <v>3124</v>
      </c>
      <c r="AQ127" s="7" t="s">
        <v>3125</v>
      </c>
      <c r="AR127" s="7" t="s">
        <v>1646</v>
      </c>
      <c r="AS127" s="7" t="s">
        <v>1639</v>
      </c>
      <c r="AT127" s="7" t="s">
        <v>1646</v>
      </c>
      <c r="AU127" s="21" t="s">
        <v>3042</v>
      </c>
      <c r="AV127" s="21" t="s">
        <v>2907</v>
      </c>
      <c r="AW127" s="21">
        <v>20</v>
      </c>
      <c r="AX127" s="21">
        <v>20</v>
      </c>
      <c r="AY127" s="21" t="s">
        <v>3128</v>
      </c>
      <c r="AZ127" s="21">
        <v>8.4187100000000001E-2</v>
      </c>
      <c r="BA127" s="21">
        <f>0.108241-AZ127</f>
        <v>2.4053900000000003E-2</v>
      </c>
      <c r="BB127" s="21"/>
      <c r="BC127" s="21" t="s">
        <v>3164</v>
      </c>
      <c r="BD127" s="21">
        <v>6.9487800000000002E-2</v>
      </c>
      <c r="BE127" s="21">
        <f>0.101559-BD127</f>
        <v>3.2071199999999994E-2</v>
      </c>
      <c r="BF127" s="21"/>
      <c r="BG127" s="56"/>
    </row>
    <row r="128" spans="1:59" x14ac:dyDescent="0.2">
      <c r="A128" s="7">
        <v>39</v>
      </c>
      <c r="B128" s="7" t="s">
        <v>296</v>
      </c>
      <c r="C128" s="7" t="s">
        <v>297</v>
      </c>
      <c r="D128" s="7" t="s">
        <v>298</v>
      </c>
      <c r="E128" s="7" t="s">
        <v>299</v>
      </c>
      <c r="F128" s="7" t="s">
        <v>300</v>
      </c>
      <c r="G128" s="7">
        <v>2014</v>
      </c>
      <c r="H128" s="8">
        <v>41915</v>
      </c>
      <c r="I128" s="7" t="s">
        <v>301</v>
      </c>
      <c r="J128" s="7" t="s">
        <v>32</v>
      </c>
      <c r="K128" s="7" t="s">
        <v>302</v>
      </c>
      <c r="L128" s="7">
        <v>1</v>
      </c>
      <c r="M128" s="7" t="s">
        <v>303</v>
      </c>
      <c r="N128" s="7" t="s">
        <v>34</v>
      </c>
      <c r="O128" s="7" t="s">
        <v>34</v>
      </c>
      <c r="P128" s="7" t="s">
        <v>34</v>
      </c>
      <c r="Q128" s="7" t="s">
        <v>34</v>
      </c>
      <c r="R128" s="7" t="s">
        <v>34</v>
      </c>
      <c r="S128" s="7" t="s">
        <v>34</v>
      </c>
      <c r="T128" s="7" t="s">
        <v>34</v>
      </c>
      <c r="U128" s="7" t="s">
        <v>32</v>
      </c>
      <c r="V128" s="7">
        <v>1</v>
      </c>
      <c r="W128" s="7" t="s">
        <v>32</v>
      </c>
      <c r="X128" s="7" t="s">
        <v>32</v>
      </c>
      <c r="Y128" s="7" t="s">
        <v>32</v>
      </c>
      <c r="Z128" s="7" t="s">
        <v>32</v>
      </c>
      <c r="AA128" s="7">
        <v>25274821</v>
      </c>
      <c r="AB128" s="7">
        <v>1</v>
      </c>
      <c r="AC128" s="7"/>
      <c r="AD128" s="7">
        <v>2</v>
      </c>
      <c r="AE128" s="7">
        <f t="shared" si="5"/>
        <v>28</v>
      </c>
      <c r="AF128" s="7">
        <v>14</v>
      </c>
      <c r="AG128" s="7">
        <v>14</v>
      </c>
      <c r="AH128" s="7" t="s">
        <v>1642</v>
      </c>
      <c r="AI128" s="7" t="s">
        <v>1642</v>
      </c>
      <c r="AJ128" s="7" t="s">
        <v>1646</v>
      </c>
      <c r="AK128" s="7" t="s">
        <v>1646</v>
      </c>
      <c r="AL128" s="7" t="s">
        <v>1646</v>
      </c>
      <c r="AM128" s="7" t="s">
        <v>1646</v>
      </c>
      <c r="AN128" s="7" t="s">
        <v>2902</v>
      </c>
      <c r="AO128" s="7" t="s">
        <v>1770</v>
      </c>
      <c r="AP128" s="7" t="s">
        <v>3124</v>
      </c>
      <c r="AQ128" s="7" t="s">
        <v>3125</v>
      </c>
      <c r="AR128" s="7" t="s">
        <v>1646</v>
      </c>
      <c r="AS128" s="7" t="s">
        <v>1639</v>
      </c>
      <c r="AT128" s="7" t="s">
        <v>1646</v>
      </c>
      <c r="AU128" s="21" t="s">
        <v>3041</v>
      </c>
      <c r="AV128" s="21" t="s">
        <v>2907</v>
      </c>
      <c r="AW128" s="21">
        <v>20</v>
      </c>
      <c r="AX128" s="21">
        <v>20</v>
      </c>
      <c r="AY128" s="21" t="s">
        <v>3129</v>
      </c>
      <c r="AZ128" s="21">
        <v>0.105568</v>
      </c>
      <c r="BA128" s="21">
        <f>0.145212-AZ128</f>
        <v>3.9644000000000013E-2</v>
      </c>
      <c r="BB128" s="21"/>
      <c r="BC128" s="21" t="s">
        <v>3165</v>
      </c>
      <c r="BD128" s="21">
        <v>0.12249400000000001</v>
      </c>
      <c r="BE128" s="21">
        <f>0.171492-BD128</f>
        <v>4.8998E-2</v>
      </c>
      <c r="BF128" s="21"/>
      <c r="BG128" s="56"/>
    </row>
    <row r="129" spans="1:59" x14ac:dyDescent="0.2">
      <c r="A129" s="7">
        <v>39</v>
      </c>
      <c r="B129" s="7" t="s">
        <v>296</v>
      </c>
      <c r="C129" s="7" t="s">
        <v>297</v>
      </c>
      <c r="D129" s="7" t="s">
        <v>298</v>
      </c>
      <c r="E129" s="7" t="s">
        <v>299</v>
      </c>
      <c r="F129" s="7" t="s">
        <v>300</v>
      </c>
      <c r="G129" s="7">
        <v>2014</v>
      </c>
      <c r="H129" s="8">
        <v>41915</v>
      </c>
      <c r="I129" s="7" t="s">
        <v>301</v>
      </c>
      <c r="J129" s="7" t="s">
        <v>32</v>
      </c>
      <c r="K129" s="7" t="s">
        <v>302</v>
      </c>
      <c r="L129" s="7">
        <v>1</v>
      </c>
      <c r="M129" s="7" t="s">
        <v>303</v>
      </c>
      <c r="N129" s="7" t="s">
        <v>34</v>
      </c>
      <c r="O129" s="7" t="s">
        <v>34</v>
      </c>
      <c r="P129" s="7" t="s">
        <v>34</v>
      </c>
      <c r="Q129" s="7" t="s">
        <v>34</v>
      </c>
      <c r="R129" s="7" t="s">
        <v>34</v>
      </c>
      <c r="S129" s="7" t="s">
        <v>34</v>
      </c>
      <c r="T129" s="7" t="s">
        <v>34</v>
      </c>
      <c r="U129" s="7" t="s">
        <v>32</v>
      </c>
      <c r="V129" s="7">
        <v>1</v>
      </c>
      <c r="W129" s="7" t="s">
        <v>32</v>
      </c>
      <c r="X129" s="7" t="s">
        <v>32</v>
      </c>
      <c r="Y129" s="7" t="s">
        <v>32</v>
      </c>
      <c r="Z129" s="7" t="s">
        <v>32</v>
      </c>
      <c r="AA129" s="7">
        <v>25274821</v>
      </c>
      <c r="AB129" s="7">
        <v>1</v>
      </c>
      <c r="AC129" s="7"/>
      <c r="AD129" s="7">
        <v>2</v>
      </c>
      <c r="AE129" s="7">
        <f t="shared" si="5"/>
        <v>28</v>
      </c>
      <c r="AF129" s="7">
        <v>14</v>
      </c>
      <c r="AG129" s="7">
        <v>14</v>
      </c>
      <c r="AH129" s="7" t="s">
        <v>1642</v>
      </c>
      <c r="AI129" s="7" t="s">
        <v>1642</v>
      </c>
      <c r="AJ129" s="7" t="s">
        <v>1646</v>
      </c>
      <c r="AK129" s="7" t="s">
        <v>1646</v>
      </c>
      <c r="AL129" s="7" t="s">
        <v>1646</v>
      </c>
      <c r="AM129" s="7" t="s">
        <v>1646</v>
      </c>
      <c r="AN129" s="7" t="s">
        <v>2902</v>
      </c>
      <c r="AO129" s="7" t="s">
        <v>1770</v>
      </c>
      <c r="AP129" s="7" t="s">
        <v>3124</v>
      </c>
      <c r="AQ129" s="7" t="s">
        <v>3125</v>
      </c>
      <c r="AR129" s="7" t="s">
        <v>1646</v>
      </c>
      <c r="AS129" s="7" t="s">
        <v>1639</v>
      </c>
      <c r="AT129" s="7" t="s">
        <v>1646</v>
      </c>
      <c r="AU129" s="21" t="s">
        <v>3042</v>
      </c>
      <c r="AV129" s="21" t="s">
        <v>2907</v>
      </c>
      <c r="AW129" s="21">
        <v>20</v>
      </c>
      <c r="AX129" s="21">
        <v>20</v>
      </c>
      <c r="AY129" s="21" t="s">
        <v>3130</v>
      </c>
      <c r="AZ129" s="21">
        <v>6.1024500000000002E-2</v>
      </c>
      <c r="BA129" s="21">
        <f>0.0841871-AZ129</f>
        <v>2.3162599999999998E-2</v>
      </c>
      <c r="BB129" s="21"/>
      <c r="BC129" s="21" t="s">
        <v>3166</v>
      </c>
      <c r="BD129" s="21">
        <v>7.0824100000000001E-2</v>
      </c>
      <c r="BE129" s="21">
        <f>0.118486-BD129</f>
        <v>4.7661899999999993E-2</v>
      </c>
      <c r="BF129" s="21"/>
      <c r="BG129" s="56"/>
    </row>
    <row r="130" spans="1:59" x14ac:dyDescent="0.2">
      <c r="A130" s="7">
        <v>39</v>
      </c>
      <c r="B130" s="7" t="s">
        <v>296</v>
      </c>
      <c r="C130" s="7" t="s">
        <v>297</v>
      </c>
      <c r="D130" s="7" t="s">
        <v>298</v>
      </c>
      <c r="E130" s="7" t="s">
        <v>299</v>
      </c>
      <c r="F130" s="7" t="s">
        <v>300</v>
      </c>
      <c r="G130" s="7">
        <v>2014</v>
      </c>
      <c r="H130" s="8">
        <v>41915</v>
      </c>
      <c r="I130" s="7" t="s">
        <v>301</v>
      </c>
      <c r="J130" s="7" t="s">
        <v>32</v>
      </c>
      <c r="K130" s="7" t="s">
        <v>302</v>
      </c>
      <c r="L130" s="7">
        <v>1</v>
      </c>
      <c r="M130" s="7" t="s">
        <v>303</v>
      </c>
      <c r="N130" s="7" t="s">
        <v>34</v>
      </c>
      <c r="O130" s="7" t="s">
        <v>34</v>
      </c>
      <c r="P130" s="7" t="s">
        <v>34</v>
      </c>
      <c r="Q130" s="7" t="s">
        <v>34</v>
      </c>
      <c r="R130" s="7" t="s">
        <v>34</v>
      </c>
      <c r="S130" s="7" t="s">
        <v>34</v>
      </c>
      <c r="T130" s="7" t="s">
        <v>34</v>
      </c>
      <c r="U130" s="7" t="s">
        <v>32</v>
      </c>
      <c r="V130" s="7">
        <v>1</v>
      </c>
      <c r="W130" s="7" t="s">
        <v>32</v>
      </c>
      <c r="X130" s="7" t="s">
        <v>32</v>
      </c>
      <c r="Y130" s="7" t="s">
        <v>32</v>
      </c>
      <c r="Z130" s="7" t="s">
        <v>32</v>
      </c>
      <c r="AA130" s="7">
        <v>25274821</v>
      </c>
      <c r="AB130" s="7">
        <v>1</v>
      </c>
      <c r="AC130" s="7"/>
      <c r="AD130" s="7">
        <v>2</v>
      </c>
      <c r="AE130" s="7">
        <f t="shared" si="5"/>
        <v>28</v>
      </c>
      <c r="AF130" s="7">
        <v>14</v>
      </c>
      <c r="AG130" s="7">
        <v>14</v>
      </c>
      <c r="AH130" s="7" t="s">
        <v>1642</v>
      </c>
      <c r="AI130" s="7" t="s">
        <v>1642</v>
      </c>
      <c r="AJ130" s="7" t="s">
        <v>1646</v>
      </c>
      <c r="AK130" s="7" t="s">
        <v>1646</v>
      </c>
      <c r="AL130" s="7" t="s">
        <v>1646</v>
      </c>
      <c r="AM130" s="7" t="s">
        <v>1646</v>
      </c>
      <c r="AN130" s="7" t="s">
        <v>2902</v>
      </c>
      <c r="AO130" s="7" t="s">
        <v>1770</v>
      </c>
      <c r="AP130" s="7" t="s">
        <v>3124</v>
      </c>
      <c r="AQ130" s="7" t="s">
        <v>3125</v>
      </c>
      <c r="AR130" s="7" t="s">
        <v>1646</v>
      </c>
      <c r="AS130" s="7" t="s">
        <v>1639</v>
      </c>
      <c r="AT130" s="7" t="s">
        <v>1646</v>
      </c>
      <c r="AU130" s="21" t="s">
        <v>3041</v>
      </c>
      <c r="AV130" s="21" t="s">
        <v>2907</v>
      </c>
      <c r="AW130" s="21">
        <v>20</v>
      </c>
      <c r="AX130" s="21">
        <v>20</v>
      </c>
      <c r="AY130" s="21" t="s">
        <v>3131</v>
      </c>
      <c r="AZ130" s="21">
        <v>6.5033400000000005E-2</v>
      </c>
      <c r="BA130" s="21">
        <f>0.100223-AZ130</f>
        <v>3.5189600000000001E-2</v>
      </c>
      <c r="BB130" s="21"/>
      <c r="BC130" s="21" t="s">
        <v>3167</v>
      </c>
      <c r="BD130" s="21">
        <v>7.6614699999999994E-2</v>
      </c>
      <c r="BE130" s="21">
        <f>0.130067-BD130</f>
        <v>5.3452299999999994E-2</v>
      </c>
      <c r="BF130" s="21"/>
      <c r="BG130" s="56"/>
    </row>
    <row r="131" spans="1:59" s="56" customFormat="1" x14ac:dyDescent="0.2">
      <c r="A131" s="21">
        <v>39</v>
      </c>
      <c r="B131" s="21" t="s">
        <v>296</v>
      </c>
      <c r="C131" s="21" t="s">
        <v>297</v>
      </c>
      <c r="D131" s="21" t="s">
        <v>298</v>
      </c>
      <c r="E131" s="21" t="s">
        <v>299</v>
      </c>
      <c r="F131" s="21" t="s">
        <v>300</v>
      </c>
      <c r="G131" s="21">
        <v>2014</v>
      </c>
      <c r="H131" s="70">
        <v>41915</v>
      </c>
      <c r="I131" s="21" t="s">
        <v>301</v>
      </c>
      <c r="J131" s="21" t="s">
        <v>32</v>
      </c>
      <c r="K131" s="21" t="s">
        <v>302</v>
      </c>
      <c r="L131" s="21">
        <v>1</v>
      </c>
      <c r="M131" s="21" t="s">
        <v>303</v>
      </c>
      <c r="N131" s="21" t="s">
        <v>34</v>
      </c>
      <c r="O131" s="21" t="s">
        <v>34</v>
      </c>
      <c r="P131" s="21" t="s">
        <v>34</v>
      </c>
      <c r="Q131" s="21" t="s">
        <v>34</v>
      </c>
      <c r="R131" s="21" t="s">
        <v>34</v>
      </c>
      <c r="S131" s="21" t="s">
        <v>34</v>
      </c>
      <c r="T131" s="21" t="s">
        <v>34</v>
      </c>
      <c r="U131" s="21" t="s">
        <v>32</v>
      </c>
      <c r="V131" s="21">
        <v>1</v>
      </c>
      <c r="W131" s="21" t="s">
        <v>32</v>
      </c>
      <c r="X131" s="21" t="s">
        <v>32</v>
      </c>
      <c r="Y131" s="21" t="s">
        <v>32</v>
      </c>
      <c r="Z131" s="21" t="s">
        <v>32</v>
      </c>
      <c r="AA131" s="21">
        <v>25274821</v>
      </c>
      <c r="AB131" s="21">
        <v>1</v>
      </c>
      <c r="AC131" s="21"/>
      <c r="AD131" s="21">
        <v>2</v>
      </c>
      <c r="AE131" s="21">
        <f t="shared" si="5"/>
        <v>28</v>
      </c>
      <c r="AF131" s="21">
        <v>14</v>
      </c>
      <c r="AG131" s="21">
        <v>14</v>
      </c>
      <c r="AH131" s="21" t="s">
        <v>1642</v>
      </c>
      <c r="AI131" s="21" t="s">
        <v>1642</v>
      </c>
      <c r="AJ131" s="21" t="s">
        <v>1646</v>
      </c>
      <c r="AK131" s="21" t="s">
        <v>1646</v>
      </c>
      <c r="AL131" s="21" t="s">
        <v>1646</v>
      </c>
      <c r="AM131" s="21" t="s">
        <v>1646</v>
      </c>
      <c r="AN131" s="21" t="s">
        <v>2902</v>
      </c>
      <c r="AO131" s="21" t="s">
        <v>1770</v>
      </c>
      <c r="AP131" s="21" t="s">
        <v>3124</v>
      </c>
      <c r="AQ131" s="21" t="s">
        <v>3125</v>
      </c>
      <c r="AR131" s="21" t="s">
        <v>1646</v>
      </c>
      <c r="AS131" s="21" t="s">
        <v>1639</v>
      </c>
      <c r="AT131" s="21" t="s">
        <v>1646</v>
      </c>
      <c r="AU131" s="21" t="s">
        <v>3884</v>
      </c>
      <c r="AV131" s="21" t="s">
        <v>2907</v>
      </c>
      <c r="AW131" s="21">
        <v>20</v>
      </c>
      <c r="AX131" s="21">
        <v>20</v>
      </c>
      <c r="AY131" s="21" t="s">
        <v>3133</v>
      </c>
      <c r="AZ131" s="21">
        <v>6.5183500000000005E-2</v>
      </c>
      <c r="BA131" s="21">
        <f>0.140235-AZ131</f>
        <v>7.5051499999999993E-2</v>
      </c>
      <c r="BB131" s="21"/>
      <c r="BC131" s="21" t="s">
        <v>3168</v>
      </c>
      <c r="BD131" s="21">
        <v>0.16681799999999999</v>
      </c>
      <c r="BE131" s="21">
        <f>0.246098-BD131</f>
        <v>7.9280000000000017E-2</v>
      </c>
      <c r="BF131" s="21"/>
    </row>
    <row r="132" spans="1:59" x14ac:dyDescent="0.2">
      <c r="A132" s="7">
        <v>39</v>
      </c>
      <c r="B132" s="7" t="s">
        <v>296</v>
      </c>
      <c r="C132" s="7" t="s">
        <v>297</v>
      </c>
      <c r="D132" s="7" t="s">
        <v>298</v>
      </c>
      <c r="E132" s="7" t="s">
        <v>299</v>
      </c>
      <c r="F132" s="7" t="s">
        <v>300</v>
      </c>
      <c r="G132" s="7">
        <v>2014</v>
      </c>
      <c r="H132" s="8">
        <v>41915</v>
      </c>
      <c r="I132" s="7" t="s">
        <v>301</v>
      </c>
      <c r="J132" s="7" t="s">
        <v>32</v>
      </c>
      <c r="K132" s="7" t="s">
        <v>302</v>
      </c>
      <c r="L132" s="7">
        <v>1</v>
      </c>
      <c r="M132" s="7" t="s">
        <v>303</v>
      </c>
      <c r="N132" s="7" t="s">
        <v>34</v>
      </c>
      <c r="O132" s="7" t="s">
        <v>34</v>
      </c>
      <c r="P132" s="7" t="s">
        <v>34</v>
      </c>
      <c r="Q132" s="7" t="s">
        <v>34</v>
      </c>
      <c r="R132" s="7" t="s">
        <v>34</v>
      </c>
      <c r="S132" s="7" t="s">
        <v>34</v>
      </c>
      <c r="T132" s="7" t="s">
        <v>34</v>
      </c>
      <c r="U132" s="7" t="s">
        <v>32</v>
      </c>
      <c r="V132" s="7">
        <v>1</v>
      </c>
      <c r="W132" s="7" t="s">
        <v>32</v>
      </c>
      <c r="X132" s="7" t="s">
        <v>32</v>
      </c>
      <c r="Y132" s="7" t="s">
        <v>32</v>
      </c>
      <c r="Z132" s="7" t="s">
        <v>32</v>
      </c>
      <c r="AA132" s="7">
        <v>25274821</v>
      </c>
      <c r="AB132" s="7">
        <v>1</v>
      </c>
      <c r="AC132" s="7"/>
      <c r="AD132" s="7">
        <v>2</v>
      </c>
      <c r="AE132" s="7">
        <f t="shared" si="5"/>
        <v>28</v>
      </c>
      <c r="AF132" s="7">
        <v>14</v>
      </c>
      <c r="AG132" s="7">
        <v>14</v>
      </c>
      <c r="AH132" s="7" t="s">
        <v>1642</v>
      </c>
      <c r="AI132" s="7" t="s">
        <v>1642</v>
      </c>
      <c r="AJ132" s="7" t="s">
        <v>1646</v>
      </c>
      <c r="AK132" s="7" t="s">
        <v>1646</v>
      </c>
      <c r="AL132" s="7" t="s">
        <v>1646</v>
      </c>
      <c r="AM132" s="7" t="s">
        <v>1646</v>
      </c>
      <c r="AN132" s="7" t="s">
        <v>2902</v>
      </c>
      <c r="AO132" s="7" t="s">
        <v>1770</v>
      </c>
      <c r="AP132" s="7" t="s">
        <v>3124</v>
      </c>
      <c r="AQ132" s="7" t="s">
        <v>3125</v>
      </c>
      <c r="AR132" s="7" t="s">
        <v>1646</v>
      </c>
      <c r="AS132" s="7" t="s">
        <v>1639</v>
      </c>
      <c r="AT132" s="7" t="s">
        <v>1646</v>
      </c>
      <c r="AU132" s="21" t="s">
        <v>3883</v>
      </c>
      <c r="AV132" s="21" t="s">
        <v>2907</v>
      </c>
      <c r="AW132" s="21">
        <v>20</v>
      </c>
      <c r="AX132" s="21">
        <v>20</v>
      </c>
      <c r="AY132" s="21" t="s">
        <v>3134</v>
      </c>
      <c r="AZ132" s="21">
        <v>0.30883500000000003</v>
      </c>
      <c r="BA132" s="21">
        <f>0.412427-AZ132</f>
        <v>0.10359199999999996</v>
      </c>
      <c r="BB132" s="21"/>
      <c r="BC132" s="21" t="s">
        <v>3169</v>
      </c>
      <c r="BD132" s="21">
        <v>0.10814699999999999</v>
      </c>
      <c r="BE132" s="56">
        <f>0.162057-BD132</f>
        <v>5.3910000000000013E-2</v>
      </c>
      <c r="BF132" s="21"/>
      <c r="BG132" s="56"/>
    </row>
    <row r="133" spans="1:59" x14ac:dyDescent="0.2">
      <c r="A133" s="7">
        <v>39</v>
      </c>
      <c r="B133" s="7" t="s">
        <v>296</v>
      </c>
      <c r="C133" s="7" t="s">
        <v>297</v>
      </c>
      <c r="D133" s="7" t="s">
        <v>298</v>
      </c>
      <c r="E133" s="7" t="s">
        <v>299</v>
      </c>
      <c r="F133" s="7" t="s">
        <v>300</v>
      </c>
      <c r="G133" s="7">
        <v>2014</v>
      </c>
      <c r="H133" s="8">
        <v>41915</v>
      </c>
      <c r="I133" s="7" t="s">
        <v>301</v>
      </c>
      <c r="J133" s="7" t="s">
        <v>32</v>
      </c>
      <c r="K133" s="7" t="s">
        <v>302</v>
      </c>
      <c r="L133" s="7">
        <v>1</v>
      </c>
      <c r="M133" s="7" t="s">
        <v>303</v>
      </c>
      <c r="N133" s="7" t="s">
        <v>34</v>
      </c>
      <c r="O133" s="7" t="s">
        <v>34</v>
      </c>
      <c r="P133" s="7" t="s">
        <v>34</v>
      </c>
      <c r="Q133" s="7" t="s">
        <v>34</v>
      </c>
      <c r="R133" s="7" t="s">
        <v>34</v>
      </c>
      <c r="S133" s="7" t="s">
        <v>34</v>
      </c>
      <c r="T133" s="7" t="s">
        <v>34</v>
      </c>
      <c r="U133" s="7" t="s">
        <v>32</v>
      </c>
      <c r="V133" s="7">
        <v>1</v>
      </c>
      <c r="W133" s="7" t="s">
        <v>32</v>
      </c>
      <c r="X133" s="7" t="s">
        <v>32</v>
      </c>
      <c r="Y133" s="7" t="s">
        <v>32</v>
      </c>
      <c r="Z133" s="7" t="s">
        <v>32</v>
      </c>
      <c r="AA133" s="7">
        <v>25274821</v>
      </c>
      <c r="AB133" s="7">
        <v>1</v>
      </c>
      <c r="AC133" s="7"/>
      <c r="AD133" s="7">
        <v>2</v>
      </c>
      <c r="AE133" s="7">
        <f t="shared" si="5"/>
        <v>28</v>
      </c>
      <c r="AF133" s="7">
        <v>14</v>
      </c>
      <c r="AG133" s="7">
        <v>14</v>
      </c>
      <c r="AH133" s="7" t="s">
        <v>1642</v>
      </c>
      <c r="AI133" s="7" t="s">
        <v>1642</v>
      </c>
      <c r="AJ133" s="7" t="s">
        <v>1646</v>
      </c>
      <c r="AK133" s="7" t="s">
        <v>1646</v>
      </c>
      <c r="AL133" s="7" t="s">
        <v>1646</v>
      </c>
      <c r="AM133" s="7" t="s">
        <v>1646</v>
      </c>
      <c r="AN133" s="7" t="s">
        <v>2902</v>
      </c>
      <c r="AO133" s="7" t="s">
        <v>1770</v>
      </c>
      <c r="AP133" s="7" t="s">
        <v>3124</v>
      </c>
      <c r="AQ133" s="7" t="s">
        <v>3125</v>
      </c>
      <c r="AR133" s="7" t="s">
        <v>1646</v>
      </c>
      <c r="AS133" s="7" t="s">
        <v>1639</v>
      </c>
      <c r="AT133" s="7" t="s">
        <v>1646</v>
      </c>
      <c r="AU133" s="21" t="s">
        <v>3884</v>
      </c>
      <c r="AV133" s="21" t="s">
        <v>2907</v>
      </c>
      <c r="AW133" s="21">
        <v>20</v>
      </c>
      <c r="AX133" s="21">
        <v>20</v>
      </c>
      <c r="AY133" s="21" t="s">
        <v>3135</v>
      </c>
      <c r="AZ133" s="21">
        <v>3.8762499999999998E-2</v>
      </c>
      <c r="BA133" s="21">
        <f>0.0525006-AZ133</f>
        <v>1.3738100000000003E-2</v>
      </c>
      <c r="BB133" s="21"/>
      <c r="BC133" s="21" t="s">
        <v>3170</v>
      </c>
      <c r="BD133" s="21">
        <v>6.11031E-2</v>
      </c>
      <c r="BE133" s="21">
        <f>0.104439-BD133</f>
        <v>4.3335900000000004E-2</v>
      </c>
      <c r="BF133" s="21"/>
      <c r="BG133" s="56"/>
    </row>
    <row r="134" spans="1:59" x14ac:dyDescent="0.2">
      <c r="A134" s="7">
        <v>39</v>
      </c>
      <c r="B134" s="7" t="s">
        <v>296</v>
      </c>
      <c r="C134" s="7" t="s">
        <v>297</v>
      </c>
      <c r="D134" s="7" t="s">
        <v>298</v>
      </c>
      <c r="E134" s="7" t="s">
        <v>299</v>
      </c>
      <c r="F134" s="7" t="s">
        <v>300</v>
      </c>
      <c r="G134" s="7">
        <v>2014</v>
      </c>
      <c r="H134" s="8">
        <v>41915</v>
      </c>
      <c r="I134" s="7" t="s">
        <v>301</v>
      </c>
      <c r="J134" s="7" t="s">
        <v>32</v>
      </c>
      <c r="K134" s="7" t="s">
        <v>302</v>
      </c>
      <c r="L134" s="7">
        <v>1</v>
      </c>
      <c r="M134" s="7" t="s">
        <v>303</v>
      </c>
      <c r="N134" s="7" t="s">
        <v>34</v>
      </c>
      <c r="O134" s="7" t="s">
        <v>34</v>
      </c>
      <c r="P134" s="7" t="s">
        <v>34</v>
      </c>
      <c r="Q134" s="7" t="s">
        <v>34</v>
      </c>
      <c r="R134" s="7" t="s">
        <v>34</v>
      </c>
      <c r="S134" s="7" t="s">
        <v>34</v>
      </c>
      <c r="T134" s="7" t="s">
        <v>34</v>
      </c>
      <c r="U134" s="7" t="s">
        <v>32</v>
      </c>
      <c r="V134" s="7">
        <v>1</v>
      </c>
      <c r="W134" s="7" t="s">
        <v>32</v>
      </c>
      <c r="X134" s="7" t="s">
        <v>32</v>
      </c>
      <c r="Y134" s="7" t="s">
        <v>32</v>
      </c>
      <c r="Z134" s="7" t="s">
        <v>32</v>
      </c>
      <c r="AA134" s="7">
        <v>25274821</v>
      </c>
      <c r="AB134" s="7">
        <v>1</v>
      </c>
      <c r="AC134" s="7"/>
      <c r="AD134" s="7">
        <v>2</v>
      </c>
      <c r="AE134" s="7">
        <f t="shared" si="5"/>
        <v>28</v>
      </c>
      <c r="AF134" s="7">
        <v>14</v>
      </c>
      <c r="AG134" s="7">
        <v>14</v>
      </c>
      <c r="AH134" s="7" t="s">
        <v>1642</v>
      </c>
      <c r="AI134" s="7" t="s">
        <v>1642</v>
      </c>
      <c r="AJ134" s="7" t="s">
        <v>1646</v>
      </c>
      <c r="AK134" s="7" t="s">
        <v>1646</v>
      </c>
      <c r="AL134" s="7" t="s">
        <v>1646</v>
      </c>
      <c r="AM134" s="7" t="s">
        <v>1646</v>
      </c>
      <c r="AN134" s="7" t="s">
        <v>2902</v>
      </c>
      <c r="AO134" s="7" t="s">
        <v>1770</v>
      </c>
      <c r="AP134" s="7" t="s">
        <v>3124</v>
      </c>
      <c r="AQ134" s="7" t="s">
        <v>3125</v>
      </c>
      <c r="AR134" s="7" t="s">
        <v>1646</v>
      </c>
      <c r="AS134" s="7" t="s">
        <v>1639</v>
      </c>
      <c r="AT134" s="7" t="s">
        <v>1646</v>
      </c>
      <c r="AU134" s="21" t="s">
        <v>3883</v>
      </c>
      <c r="AV134" s="21" t="s">
        <v>2907</v>
      </c>
      <c r="AW134" s="21">
        <v>20</v>
      </c>
      <c r="AX134" s="21">
        <v>20</v>
      </c>
      <c r="AY134" s="21" t="s">
        <v>3132</v>
      </c>
      <c r="AZ134" s="21">
        <v>5.4088900000000002E-2</v>
      </c>
      <c r="BA134" s="21">
        <f>0.0921431-AZ134</f>
        <v>3.8054200000000003E-2</v>
      </c>
      <c r="BB134" s="21"/>
      <c r="BC134" s="21" t="s">
        <v>3171</v>
      </c>
      <c r="BD134" s="21">
        <v>7.9608100000000001E-2</v>
      </c>
      <c r="BE134" s="21">
        <f>0.116609-BD134</f>
        <v>3.7000900000000003E-2</v>
      </c>
      <c r="BF134" s="21"/>
      <c r="BG134" s="56"/>
    </row>
    <row r="135" spans="1:59" x14ac:dyDescent="0.2">
      <c r="A135" s="7">
        <v>39</v>
      </c>
      <c r="B135" s="7" t="s">
        <v>296</v>
      </c>
      <c r="C135" s="7" t="s">
        <v>297</v>
      </c>
      <c r="D135" s="7" t="s">
        <v>298</v>
      </c>
      <c r="E135" s="7" t="s">
        <v>299</v>
      </c>
      <c r="F135" s="7" t="s">
        <v>300</v>
      </c>
      <c r="G135" s="7">
        <v>2014</v>
      </c>
      <c r="H135" s="8">
        <v>41915</v>
      </c>
      <c r="I135" s="7" t="s">
        <v>301</v>
      </c>
      <c r="J135" s="7" t="s">
        <v>32</v>
      </c>
      <c r="K135" s="7" t="s">
        <v>302</v>
      </c>
      <c r="L135" s="7">
        <v>1</v>
      </c>
      <c r="M135" s="7" t="s">
        <v>303</v>
      </c>
      <c r="N135" s="7" t="s">
        <v>34</v>
      </c>
      <c r="O135" s="7" t="s">
        <v>34</v>
      </c>
      <c r="P135" s="7" t="s">
        <v>34</v>
      </c>
      <c r="Q135" s="7" t="s">
        <v>34</v>
      </c>
      <c r="R135" s="7" t="s">
        <v>34</v>
      </c>
      <c r="S135" s="7" t="s">
        <v>34</v>
      </c>
      <c r="T135" s="7" t="s">
        <v>34</v>
      </c>
      <c r="U135" s="7" t="s">
        <v>32</v>
      </c>
      <c r="V135" s="7">
        <v>1</v>
      </c>
      <c r="W135" s="7" t="s">
        <v>32</v>
      </c>
      <c r="X135" s="7" t="s">
        <v>32</v>
      </c>
      <c r="Y135" s="7" t="s">
        <v>32</v>
      </c>
      <c r="Z135" s="7" t="s">
        <v>32</v>
      </c>
      <c r="AA135" s="7">
        <v>25274821</v>
      </c>
      <c r="AB135" s="7">
        <v>1</v>
      </c>
      <c r="AC135" s="7"/>
      <c r="AD135" s="7">
        <v>2</v>
      </c>
      <c r="AE135" s="7">
        <f t="shared" si="5"/>
        <v>28</v>
      </c>
      <c r="AF135" s="7">
        <v>14</v>
      </c>
      <c r="AG135" s="7">
        <v>14</v>
      </c>
      <c r="AH135" s="7" t="s">
        <v>1642</v>
      </c>
      <c r="AI135" s="7" t="s">
        <v>1642</v>
      </c>
      <c r="AJ135" s="7" t="s">
        <v>1646</v>
      </c>
      <c r="AK135" s="7" t="s">
        <v>1646</v>
      </c>
      <c r="AL135" s="7" t="s">
        <v>1646</v>
      </c>
      <c r="AM135" s="7" t="s">
        <v>1646</v>
      </c>
      <c r="AN135" s="7" t="s">
        <v>2902</v>
      </c>
      <c r="AO135" s="7" t="s">
        <v>1770</v>
      </c>
      <c r="AP135" s="7" t="s">
        <v>3124</v>
      </c>
      <c r="AQ135" s="7" t="s">
        <v>3125</v>
      </c>
      <c r="AR135" s="7" t="s">
        <v>1646</v>
      </c>
      <c r="AS135" s="7" t="s">
        <v>1639</v>
      </c>
      <c r="AT135" s="7" t="s">
        <v>1646</v>
      </c>
      <c r="AU135" s="86" t="s">
        <v>3885</v>
      </c>
      <c r="AV135" s="7" t="s">
        <v>2907</v>
      </c>
      <c r="AW135" s="7">
        <v>20</v>
      </c>
      <c r="AX135" s="7">
        <v>20</v>
      </c>
      <c r="AY135" s="7" t="s">
        <v>3136</v>
      </c>
      <c r="AZ135" s="7">
        <v>5.1629000000000001E-2</v>
      </c>
      <c r="BA135" s="7">
        <f>0.0782353-AZ135</f>
        <v>2.6606299999999992E-2</v>
      </c>
      <c r="BB135" s="7"/>
      <c r="BC135" s="7" t="s">
        <v>3172</v>
      </c>
      <c r="BD135" s="7">
        <v>2.59729E-2</v>
      </c>
      <c r="BE135">
        <f>0.0430769-BD135</f>
        <v>1.7104000000000001E-2</v>
      </c>
      <c r="BF135" s="7"/>
    </row>
    <row r="136" spans="1:59" x14ac:dyDescent="0.2">
      <c r="A136" s="7">
        <v>39</v>
      </c>
      <c r="B136" s="7" t="s">
        <v>296</v>
      </c>
      <c r="C136" s="7" t="s">
        <v>297</v>
      </c>
      <c r="D136" s="7" t="s">
        <v>298</v>
      </c>
      <c r="E136" s="7" t="s">
        <v>299</v>
      </c>
      <c r="F136" s="7" t="s">
        <v>300</v>
      </c>
      <c r="G136" s="7">
        <v>2014</v>
      </c>
      <c r="H136" s="8">
        <v>41915</v>
      </c>
      <c r="I136" s="7" t="s">
        <v>301</v>
      </c>
      <c r="J136" s="7" t="s">
        <v>32</v>
      </c>
      <c r="K136" s="7" t="s">
        <v>302</v>
      </c>
      <c r="L136" s="7">
        <v>1</v>
      </c>
      <c r="M136" s="7" t="s">
        <v>303</v>
      </c>
      <c r="N136" s="7" t="s">
        <v>34</v>
      </c>
      <c r="O136" s="7" t="s">
        <v>34</v>
      </c>
      <c r="P136" s="7" t="s">
        <v>34</v>
      </c>
      <c r="Q136" s="7" t="s">
        <v>34</v>
      </c>
      <c r="R136" s="7" t="s">
        <v>34</v>
      </c>
      <c r="S136" s="7" t="s">
        <v>34</v>
      </c>
      <c r="T136" s="7" t="s">
        <v>34</v>
      </c>
      <c r="U136" s="7" t="s">
        <v>32</v>
      </c>
      <c r="V136" s="7">
        <v>1</v>
      </c>
      <c r="W136" s="7" t="s">
        <v>32</v>
      </c>
      <c r="X136" s="7" t="s">
        <v>32</v>
      </c>
      <c r="Y136" s="7" t="s">
        <v>32</v>
      </c>
      <c r="Z136" s="7" t="s">
        <v>32</v>
      </c>
      <c r="AA136" s="7">
        <v>25274821</v>
      </c>
      <c r="AB136" s="7">
        <v>1</v>
      </c>
      <c r="AC136" s="7"/>
      <c r="AD136" s="7">
        <v>2</v>
      </c>
      <c r="AE136" s="7">
        <f t="shared" si="5"/>
        <v>28</v>
      </c>
      <c r="AF136" s="7">
        <v>14</v>
      </c>
      <c r="AG136" s="7">
        <v>14</v>
      </c>
      <c r="AH136" s="7" t="s">
        <v>1642</v>
      </c>
      <c r="AI136" s="7" t="s">
        <v>1642</v>
      </c>
      <c r="AJ136" s="7" t="s">
        <v>1646</v>
      </c>
      <c r="AK136" s="7" t="s">
        <v>1646</v>
      </c>
      <c r="AL136" s="7" t="s">
        <v>1646</v>
      </c>
      <c r="AM136" s="7" t="s">
        <v>1646</v>
      </c>
      <c r="AN136" s="7" t="s">
        <v>2902</v>
      </c>
      <c r="AO136" s="7" t="s">
        <v>1770</v>
      </c>
      <c r="AP136" s="7" t="s">
        <v>3124</v>
      </c>
      <c r="AQ136" s="7" t="s">
        <v>3125</v>
      </c>
      <c r="AR136" s="7" t="s">
        <v>1646</v>
      </c>
      <c r="AS136" s="7" t="s">
        <v>1639</v>
      </c>
      <c r="AT136" s="7" t="s">
        <v>1646</v>
      </c>
      <c r="AU136" s="86" t="s">
        <v>3886</v>
      </c>
      <c r="AV136" s="7" t="s">
        <v>2907</v>
      </c>
      <c r="AW136" s="7">
        <v>20</v>
      </c>
      <c r="AX136" s="7">
        <v>20</v>
      </c>
      <c r="AY136" s="7" t="s">
        <v>3137</v>
      </c>
      <c r="AZ136" s="7">
        <v>0.165656</v>
      </c>
      <c r="BA136" s="7">
        <f>0.230271-AZ136</f>
        <v>6.4615000000000006E-2</v>
      </c>
      <c r="BB136" s="7"/>
      <c r="BC136" s="7" t="s">
        <v>3173</v>
      </c>
      <c r="BD136" s="7">
        <v>0.51629000000000003</v>
      </c>
      <c r="BE136" s="7">
        <f>0.655023-BD136</f>
        <v>0.138733</v>
      </c>
      <c r="BF136" s="7"/>
    </row>
    <row r="137" spans="1:59" x14ac:dyDescent="0.2">
      <c r="A137" s="7">
        <v>39</v>
      </c>
      <c r="B137" s="7" t="s">
        <v>296</v>
      </c>
      <c r="C137" s="7" t="s">
        <v>297</v>
      </c>
      <c r="D137" s="7" t="s">
        <v>298</v>
      </c>
      <c r="E137" s="7" t="s">
        <v>299</v>
      </c>
      <c r="F137" s="7" t="s">
        <v>300</v>
      </c>
      <c r="G137" s="7">
        <v>2014</v>
      </c>
      <c r="H137" s="8">
        <v>41915</v>
      </c>
      <c r="I137" s="7" t="s">
        <v>301</v>
      </c>
      <c r="J137" s="7" t="s">
        <v>32</v>
      </c>
      <c r="K137" s="7" t="s">
        <v>302</v>
      </c>
      <c r="L137" s="7">
        <v>1</v>
      </c>
      <c r="M137" s="7" t="s">
        <v>303</v>
      </c>
      <c r="N137" s="7" t="s">
        <v>34</v>
      </c>
      <c r="O137" s="7" t="s">
        <v>34</v>
      </c>
      <c r="P137" s="7" t="s">
        <v>34</v>
      </c>
      <c r="Q137" s="7" t="s">
        <v>34</v>
      </c>
      <c r="R137" s="7" t="s">
        <v>34</v>
      </c>
      <c r="S137" s="7" t="s">
        <v>34</v>
      </c>
      <c r="T137" s="7" t="s">
        <v>34</v>
      </c>
      <c r="U137" s="7" t="s">
        <v>32</v>
      </c>
      <c r="V137" s="7">
        <v>1</v>
      </c>
      <c r="W137" s="7" t="s">
        <v>32</v>
      </c>
      <c r="X137" s="7" t="s">
        <v>32</v>
      </c>
      <c r="Y137" s="7" t="s">
        <v>32</v>
      </c>
      <c r="Z137" s="7" t="s">
        <v>32</v>
      </c>
      <c r="AA137" s="7">
        <v>25274821</v>
      </c>
      <c r="AB137" s="7">
        <v>1</v>
      </c>
      <c r="AC137" s="7"/>
      <c r="AD137" s="7">
        <v>2</v>
      </c>
      <c r="AE137" s="7">
        <f t="shared" si="5"/>
        <v>28</v>
      </c>
      <c r="AF137" s="7">
        <v>14</v>
      </c>
      <c r="AG137" s="7">
        <v>14</v>
      </c>
      <c r="AH137" s="7" t="s">
        <v>1642</v>
      </c>
      <c r="AI137" s="7" t="s">
        <v>1642</v>
      </c>
      <c r="AJ137" s="7" t="s">
        <v>1646</v>
      </c>
      <c r="AK137" s="7" t="s">
        <v>1646</v>
      </c>
      <c r="AL137" s="7" t="s">
        <v>1646</v>
      </c>
      <c r="AM137" s="7" t="s">
        <v>1646</v>
      </c>
      <c r="AN137" s="7" t="s">
        <v>2902</v>
      </c>
      <c r="AO137" s="7" t="s">
        <v>1770</v>
      </c>
      <c r="AP137" s="7" t="s">
        <v>3124</v>
      </c>
      <c r="AQ137" s="7" t="s">
        <v>3125</v>
      </c>
      <c r="AR137" s="7" t="s">
        <v>1646</v>
      </c>
      <c r="AS137" s="7" t="s">
        <v>1639</v>
      </c>
      <c r="AT137" s="7" t="s">
        <v>1646</v>
      </c>
      <c r="AU137" s="86" t="s">
        <v>3885</v>
      </c>
      <c r="AV137" s="7" t="s">
        <v>2907</v>
      </c>
      <c r="AW137" s="7">
        <v>20</v>
      </c>
      <c r="AX137" s="7">
        <v>20</v>
      </c>
      <c r="AY137" s="7" t="s">
        <v>3138</v>
      </c>
      <c r="AZ137" s="7">
        <v>3.0724000000000001E-2</v>
      </c>
      <c r="BA137" s="7">
        <f>0.051629-AZ137</f>
        <v>2.0905E-2</v>
      </c>
      <c r="BB137" s="7"/>
      <c r="BC137" s="7" t="s">
        <v>3174</v>
      </c>
      <c r="BD137" s="7">
        <v>8.4886900000000001E-2</v>
      </c>
      <c r="BE137" s="7">
        <f>0.13905-BD137</f>
        <v>5.4163100000000006E-2</v>
      </c>
      <c r="BF137" s="7"/>
    </row>
    <row r="138" spans="1:59" x14ac:dyDescent="0.2">
      <c r="A138" s="7">
        <v>39</v>
      </c>
      <c r="B138" s="7" t="s">
        <v>296</v>
      </c>
      <c r="C138" s="7" t="s">
        <v>297</v>
      </c>
      <c r="D138" s="7" t="s">
        <v>298</v>
      </c>
      <c r="E138" s="7" t="s">
        <v>299</v>
      </c>
      <c r="F138" s="7" t="s">
        <v>300</v>
      </c>
      <c r="G138" s="7">
        <v>2014</v>
      </c>
      <c r="H138" s="8">
        <v>41915</v>
      </c>
      <c r="I138" s="7" t="s">
        <v>301</v>
      </c>
      <c r="J138" s="7" t="s">
        <v>32</v>
      </c>
      <c r="K138" s="7" t="s">
        <v>302</v>
      </c>
      <c r="L138" s="7">
        <v>1</v>
      </c>
      <c r="M138" s="7" t="s">
        <v>303</v>
      </c>
      <c r="N138" s="7" t="s">
        <v>34</v>
      </c>
      <c r="O138" s="7" t="s">
        <v>34</v>
      </c>
      <c r="P138" s="7" t="s">
        <v>34</v>
      </c>
      <c r="Q138" s="7" t="s">
        <v>34</v>
      </c>
      <c r="R138" s="7" t="s">
        <v>34</v>
      </c>
      <c r="S138" s="7" t="s">
        <v>34</v>
      </c>
      <c r="T138" s="7" t="s">
        <v>34</v>
      </c>
      <c r="U138" s="7" t="s">
        <v>32</v>
      </c>
      <c r="V138" s="7">
        <v>1</v>
      </c>
      <c r="W138" s="7" t="s">
        <v>32</v>
      </c>
      <c r="X138" s="7" t="s">
        <v>32</v>
      </c>
      <c r="Y138" s="7" t="s">
        <v>32</v>
      </c>
      <c r="Z138" s="7" t="s">
        <v>32</v>
      </c>
      <c r="AA138" s="7">
        <v>25274821</v>
      </c>
      <c r="AB138" s="7">
        <v>1</v>
      </c>
      <c r="AC138" s="7"/>
      <c r="AD138" s="7">
        <v>2</v>
      </c>
      <c r="AE138" s="7">
        <f t="shared" si="5"/>
        <v>28</v>
      </c>
      <c r="AF138" s="7">
        <v>14</v>
      </c>
      <c r="AG138" s="7">
        <v>14</v>
      </c>
      <c r="AH138" s="7" t="s">
        <v>1642</v>
      </c>
      <c r="AI138" s="7" t="s">
        <v>1642</v>
      </c>
      <c r="AJ138" s="7" t="s">
        <v>1646</v>
      </c>
      <c r="AK138" s="7" t="s">
        <v>1646</v>
      </c>
      <c r="AL138" s="7" t="s">
        <v>1646</v>
      </c>
      <c r="AM138" s="7" t="s">
        <v>1646</v>
      </c>
      <c r="AN138" s="7" t="s">
        <v>2902</v>
      </c>
      <c r="AO138" s="7" t="s">
        <v>1770</v>
      </c>
      <c r="AP138" s="7" t="s">
        <v>3124</v>
      </c>
      <c r="AQ138" s="7" t="s">
        <v>3125</v>
      </c>
      <c r="AR138" s="7" t="s">
        <v>1646</v>
      </c>
      <c r="AS138" s="7" t="s">
        <v>1639</v>
      </c>
      <c r="AT138" s="7" t="s">
        <v>1646</v>
      </c>
      <c r="AU138" s="86" t="s">
        <v>3886</v>
      </c>
      <c r="AV138" s="7" t="s">
        <v>2907</v>
      </c>
      <c r="AW138" s="7">
        <v>20</v>
      </c>
      <c r="AX138" s="7">
        <v>20</v>
      </c>
      <c r="AY138" s="7" t="s">
        <v>3139</v>
      </c>
      <c r="AZ138" s="7">
        <v>0.12289600000000001</v>
      </c>
      <c r="BA138" s="7">
        <f>0.176109-AZ138</f>
        <v>5.3212999999999983E-2</v>
      </c>
      <c r="BB138" s="7"/>
      <c r="BC138" s="7" t="s">
        <v>3175</v>
      </c>
      <c r="BD138" s="7">
        <v>7.7285099999999995E-2</v>
      </c>
      <c r="BE138" s="7">
        <f>0.111493-BD138</f>
        <v>3.4207899999999999E-2</v>
      </c>
      <c r="BF138" s="7"/>
    </row>
    <row r="139" spans="1:59" x14ac:dyDescent="0.2">
      <c r="A139" s="7">
        <v>40</v>
      </c>
      <c r="B139" s="7" t="s">
        <v>304</v>
      </c>
      <c r="C139" s="7" t="s">
        <v>305</v>
      </c>
      <c r="D139" s="7" t="s">
        <v>306</v>
      </c>
      <c r="E139" s="7" t="s">
        <v>307</v>
      </c>
      <c r="F139" s="7" t="s">
        <v>308</v>
      </c>
      <c r="G139" s="7">
        <v>2014</v>
      </c>
      <c r="H139" s="8">
        <v>41836</v>
      </c>
      <c r="I139" s="7" t="s">
        <v>309</v>
      </c>
      <c r="J139" s="7" t="s">
        <v>310</v>
      </c>
      <c r="K139" s="7" t="s">
        <v>311</v>
      </c>
      <c r="L139" s="7">
        <v>1</v>
      </c>
      <c r="M139" s="7" t="s">
        <v>32</v>
      </c>
      <c r="N139" s="7" t="s">
        <v>34</v>
      </c>
      <c r="O139" s="7" t="s">
        <v>34</v>
      </c>
      <c r="P139" s="7" t="s">
        <v>34</v>
      </c>
      <c r="Q139" s="7" t="s">
        <v>34</v>
      </c>
      <c r="R139" s="7" t="s">
        <v>34</v>
      </c>
      <c r="S139" s="7" t="s">
        <v>34</v>
      </c>
      <c r="T139" s="7" t="s">
        <v>34</v>
      </c>
      <c r="U139" s="7" t="s">
        <v>34</v>
      </c>
      <c r="V139" s="7">
        <v>1</v>
      </c>
      <c r="W139" s="7" t="s">
        <v>32</v>
      </c>
      <c r="X139" s="7">
        <v>1</v>
      </c>
      <c r="Y139" s="7" t="s">
        <v>169</v>
      </c>
      <c r="Z139" s="7" t="s">
        <v>312</v>
      </c>
      <c r="AA139" s="7">
        <v>25022773</v>
      </c>
      <c r="AB139" s="7">
        <v>1</v>
      </c>
      <c r="AC139" s="7"/>
      <c r="AD139" s="7">
        <v>3</v>
      </c>
      <c r="AE139" s="7">
        <f t="shared" si="3"/>
        <v>112</v>
      </c>
      <c r="AF139" s="7">
        <v>16</v>
      </c>
      <c r="AG139" s="7">
        <v>96</v>
      </c>
      <c r="AH139" s="7" t="s">
        <v>2845</v>
      </c>
      <c r="AI139" s="7" t="s">
        <v>2845</v>
      </c>
      <c r="AJ139" s="7">
        <v>39.5</v>
      </c>
      <c r="AK139" s="7">
        <v>11.4</v>
      </c>
      <c r="AL139" s="7">
        <v>29.6</v>
      </c>
      <c r="AM139" s="7">
        <v>10.3</v>
      </c>
      <c r="AN139" s="7" t="s">
        <v>2947</v>
      </c>
      <c r="AO139" s="7" t="s">
        <v>1638</v>
      </c>
      <c r="AP139" s="7" t="s">
        <v>2846</v>
      </c>
      <c r="AQ139" s="7" t="s">
        <v>3140</v>
      </c>
      <c r="AR139" s="7" t="s">
        <v>1646</v>
      </c>
      <c r="AS139" s="7" t="s">
        <v>1639</v>
      </c>
      <c r="AT139" s="7" t="s">
        <v>1646</v>
      </c>
      <c r="AU139" s="7" t="s">
        <v>2898</v>
      </c>
      <c r="AV139" s="7" t="s">
        <v>2848</v>
      </c>
      <c r="AW139" s="7">
        <v>21</v>
      </c>
      <c r="AX139" s="7">
        <v>21</v>
      </c>
      <c r="AY139" s="7" t="s">
        <v>2903</v>
      </c>
      <c r="AZ139" s="7">
        <v>0.39834000000000003</v>
      </c>
      <c r="BA139" s="7">
        <f>0.53527-AZ139</f>
        <v>0.13693</v>
      </c>
      <c r="BB139" s="7"/>
      <c r="BC139" s="7" t="s">
        <v>2905</v>
      </c>
      <c r="BD139" s="7">
        <v>0.90124499999999996</v>
      </c>
      <c r="BE139" s="7">
        <f>1.03817-BD139</f>
        <v>0.13692500000000007</v>
      </c>
      <c r="BF139" s="7"/>
    </row>
    <row r="140" spans="1:59" s="56" customFormat="1" x14ac:dyDescent="0.2">
      <c r="A140" s="21">
        <v>41</v>
      </c>
      <c r="B140" s="21" t="s">
        <v>313</v>
      </c>
      <c r="C140" s="21" t="s">
        <v>314</v>
      </c>
      <c r="D140" s="21" t="s">
        <v>315</v>
      </c>
      <c r="E140" s="21" t="s">
        <v>316</v>
      </c>
      <c r="F140" s="21" t="s">
        <v>256</v>
      </c>
      <c r="G140" s="21">
        <v>2014</v>
      </c>
      <c r="H140" s="70">
        <v>41793</v>
      </c>
      <c r="I140" s="21" t="s">
        <v>32</v>
      </c>
      <c r="J140" s="21" t="s">
        <v>32</v>
      </c>
      <c r="K140" s="21" t="s">
        <v>317</v>
      </c>
      <c r="L140" s="21">
        <v>1</v>
      </c>
      <c r="M140" s="21" t="s">
        <v>32</v>
      </c>
      <c r="N140" s="21" t="s">
        <v>34</v>
      </c>
      <c r="O140" s="21" t="s">
        <v>34</v>
      </c>
      <c r="P140" s="21" t="s">
        <v>34</v>
      </c>
      <c r="Q140" s="21" t="s">
        <v>34</v>
      </c>
      <c r="R140" s="21" t="s">
        <v>34</v>
      </c>
      <c r="S140" s="21" t="s">
        <v>318</v>
      </c>
      <c r="T140" s="21" t="s">
        <v>34</v>
      </c>
      <c r="U140" s="21" t="s">
        <v>32</v>
      </c>
      <c r="V140" s="21">
        <v>1</v>
      </c>
      <c r="W140" s="21" t="s">
        <v>32</v>
      </c>
      <c r="X140" s="21" t="s">
        <v>32</v>
      </c>
      <c r="Y140" s="21" t="s">
        <v>319</v>
      </c>
      <c r="Z140" s="21" t="s">
        <v>32</v>
      </c>
      <c r="AA140" s="21">
        <v>24886016</v>
      </c>
      <c r="AB140" s="21">
        <v>1</v>
      </c>
      <c r="AC140" s="21"/>
      <c r="AD140" s="21">
        <v>3</v>
      </c>
      <c r="AE140" s="21">
        <f t="shared" si="3"/>
        <v>56</v>
      </c>
      <c r="AF140" s="21">
        <v>27</v>
      </c>
      <c r="AG140" s="21">
        <v>29</v>
      </c>
      <c r="AH140" s="21" t="s">
        <v>1769</v>
      </c>
      <c r="AI140" s="21" t="s">
        <v>1769</v>
      </c>
      <c r="AJ140" s="21">
        <v>41</v>
      </c>
      <c r="AK140" s="21" t="s">
        <v>3141</v>
      </c>
      <c r="AL140" s="21">
        <v>39</v>
      </c>
      <c r="AM140" s="21" t="s">
        <v>3142</v>
      </c>
      <c r="AN140" s="21" t="s">
        <v>2947</v>
      </c>
      <c r="AO140" s="21" t="s">
        <v>1638</v>
      </c>
      <c r="AP140" s="21" t="s">
        <v>2846</v>
      </c>
      <c r="AQ140" s="21" t="s">
        <v>3039</v>
      </c>
      <c r="AR140" s="21" t="s">
        <v>1646</v>
      </c>
      <c r="AS140" s="21" t="s">
        <v>3143</v>
      </c>
      <c r="AT140" s="21" t="s">
        <v>1646</v>
      </c>
      <c r="AU140" s="21" t="s">
        <v>2940</v>
      </c>
      <c r="AV140" s="21" t="s">
        <v>2848</v>
      </c>
      <c r="AW140" s="21">
        <v>22</v>
      </c>
      <c r="AX140" s="21">
        <v>22</v>
      </c>
      <c r="AY140" s="21" t="s">
        <v>3146</v>
      </c>
      <c r="AZ140" s="21">
        <v>4.93</v>
      </c>
      <c r="BA140" s="21">
        <v>2.27</v>
      </c>
      <c r="BB140" s="21"/>
      <c r="BC140" s="21" t="s">
        <v>3176</v>
      </c>
      <c r="BD140" s="21">
        <v>6.83</v>
      </c>
      <c r="BE140" s="21">
        <v>1.81</v>
      </c>
      <c r="BF140" s="21"/>
    </row>
    <row r="141" spans="1:59" x14ac:dyDescent="0.2">
      <c r="A141" s="7">
        <v>41</v>
      </c>
      <c r="B141" s="7" t="s">
        <v>313</v>
      </c>
      <c r="C141" s="7" t="s">
        <v>314</v>
      </c>
      <c r="D141" s="7" t="s">
        <v>315</v>
      </c>
      <c r="E141" s="7" t="s">
        <v>316</v>
      </c>
      <c r="F141" s="7" t="s">
        <v>256</v>
      </c>
      <c r="G141" s="7">
        <v>2014</v>
      </c>
      <c r="H141" s="8">
        <v>41793</v>
      </c>
      <c r="I141" s="7" t="s">
        <v>32</v>
      </c>
      <c r="J141" s="7" t="s">
        <v>32</v>
      </c>
      <c r="K141" s="7" t="s">
        <v>317</v>
      </c>
      <c r="L141" s="7">
        <v>1</v>
      </c>
      <c r="M141" s="7" t="s">
        <v>32</v>
      </c>
      <c r="N141" s="7" t="s">
        <v>34</v>
      </c>
      <c r="O141" s="7" t="s">
        <v>34</v>
      </c>
      <c r="P141" s="7" t="s">
        <v>34</v>
      </c>
      <c r="Q141" s="7" t="s">
        <v>34</v>
      </c>
      <c r="R141" s="7" t="s">
        <v>34</v>
      </c>
      <c r="S141" s="7" t="s">
        <v>318</v>
      </c>
      <c r="T141" s="7" t="s">
        <v>34</v>
      </c>
      <c r="U141" s="7" t="s">
        <v>32</v>
      </c>
      <c r="V141" s="7">
        <v>1</v>
      </c>
      <c r="W141" s="7" t="s">
        <v>32</v>
      </c>
      <c r="X141" s="7" t="s">
        <v>32</v>
      </c>
      <c r="Y141" s="7" t="s">
        <v>319</v>
      </c>
      <c r="Z141" s="7" t="s">
        <v>32</v>
      </c>
      <c r="AA141" s="7">
        <v>24886016</v>
      </c>
      <c r="AB141" s="7">
        <v>1</v>
      </c>
      <c r="AC141" s="7"/>
      <c r="AD141" s="7">
        <v>3</v>
      </c>
      <c r="AE141" s="7">
        <f>AF141+AG141</f>
        <v>56</v>
      </c>
      <c r="AF141" s="7">
        <v>27</v>
      </c>
      <c r="AG141" s="7">
        <v>29</v>
      </c>
      <c r="AH141" s="7" t="s">
        <v>1769</v>
      </c>
      <c r="AI141" s="7" t="s">
        <v>1769</v>
      </c>
      <c r="AJ141" s="7">
        <v>41</v>
      </c>
      <c r="AK141" s="7" t="s">
        <v>3141</v>
      </c>
      <c r="AL141" s="7">
        <v>39</v>
      </c>
      <c r="AM141" s="7" t="s">
        <v>3142</v>
      </c>
      <c r="AN141" s="7" t="s">
        <v>2947</v>
      </c>
      <c r="AO141" s="7" t="s">
        <v>1638</v>
      </c>
      <c r="AP141" s="7" t="s">
        <v>2846</v>
      </c>
      <c r="AQ141" s="7" t="s">
        <v>3039</v>
      </c>
      <c r="AR141" s="7" t="s">
        <v>1646</v>
      </c>
      <c r="AS141" s="7" t="s">
        <v>3143</v>
      </c>
      <c r="AT141" s="7" t="s">
        <v>1646</v>
      </c>
      <c r="AU141" s="7" t="s">
        <v>3144</v>
      </c>
      <c r="AV141" s="7" t="s">
        <v>2848</v>
      </c>
      <c r="AW141" s="7">
        <v>22</v>
      </c>
      <c r="AX141" s="7">
        <v>22</v>
      </c>
      <c r="AY141" s="7" t="s">
        <v>3145</v>
      </c>
      <c r="AZ141" s="7">
        <v>14.76</v>
      </c>
      <c r="BA141" s="7">
        <v>6.85</v>
      </c>
      <c r="BB141" s="7"/>
      <c r="BC141" s="7" t="s">
        <v>3177</v>
      </c>
      <c r="BD141" s="7">
        <v>12.29</v>
      </c>
      <c r="BE141" s="7">
        <v>6.16</v>
      </c>
      <c r="BF141" s="7"/>
    </row>
    <row r="142" spans="1:59" x14ac:dyDescent="0.2">
      <c r="A142" s="7">
        <v>42</v>
      </c>
      <c r="B142" s="7" t="s">
        <v>320</v>
      </c>
      <c r="C142" s="7" t="s">
        <v>321</v>
      </c>
      <c r="D142" s="7" t="s">
        <v>322</v>
      </c>
      <c r="E142" s="7" t="s">
        <v>323</v>
      </c>
      <c r="F142" s="7" t="s">
        <v>324</v>
      </c>
      <c r="G142" s="7">
        <v>2014</v>
      </c>
      <c r="H142" s="8">
        <v>41695</v>
      </c>
      <c r="I142" s="7" t="s">
        <v>32</v>
      </c>
      <c r="J142" s="7" t="s">
        <v>32</v>
      </c>
      <c r="K142" s="7" t="s">
        <v>325</v>
      </c>
      <c r="L142" s="7">
        <v>1</v>
      </c>
      <c r="M142" s="7" t="s">
        <v>32</v>
      </c>
      <c r="N142" s="7" t="s">
        <v>34</v>
      </c>
      <c r="O142" s="7" t="s">
        <v>34</v>
      </c>
      <c r="P142" s="7" t="s">
        <v>34</v>
      </c>
      <c r="Q142" s="7" t="s">
        <v>34</v>
      </c>
      <c r="R142" s="7" t="s">
        <v>34</v>
      </c>
      <c r="S142" s="7" t="s">
        <v>34</v>
      </c>
      <c r="T142" s="7" t="s">
        <v>34</v>
      </c>
      <c r="U142" s="7" t="s">
        <v>32</v>
      </c>
      <c r="V142" s="7">
        <v>1</v>
      </c>
      <c r="W142" s="7" t="s">
        <v>32</v>
      </c>
      <c r="X142" s="7" t="s">
        <v>32</v>
      </c>
      <c r="Y142" s="7" t="s">
        <v>32</v>
      </c>
      <c r="Z142" s="7" t="s">
        <v>32</v>
      </c>
      <c r="AA142" s="7">
        <v>24561216</v>
      </c>
      <c r="AB142" s="7">
        <v>1</v>
      </c>
      <c r="AC142" s="7"/>
      <c r="AD142" s="7">
        <v>3</v>
      </c>
      <c r="AE142" s="7">
        <f t="shared" si="3"/>
        <v>20</v>
      </c>
      <c r="AF142" s="7">
        <v>10</v>
      </c>
      <c r="AG142" s="7">
        <v>10</v>
      </c>
      <c r="AH142" s="7" t="s">
        <v>2845</v>
      </c>
      <c r="AI142" s="7" t="s">
        <v>2845</v>
      </c>
      <c r="AJ142" s="7">
        <v>39.700000000000003</v>
      </c>
      <c r="AK142" s="7">
        <v>6.34</v>
      </c>
      <c r="AL142" s="7">
        <v>36.799999999999997</v>
      </c>
      <c r="AM142" s="7">
        <v>12.1</v>
      </c>
      <c r="AN142" s="7" t="s">
        <v>3148</v>
      </c>
      <c r="AO142" s="7" t="s">
        <v>1770</v>
      </c>
      <c r="AP142" s="7" t="s">
        <v>3147</v>
      </c>
      <c r="AQ142" s="7" t="s">
        <v>3039</v>
      </c>
      <c r="AR142" s="7" t="s">
        <v>1646</v>
      </c>
      <c r="AS142" s="7" t="s">
        <v>1639</v>
      </c>
      <c r="AT142" s="7" t="s">
        <v>1646</v>
      </c>
      <c r="AU142" s="7" t="s">
        <v>2898</v>
      </c>
      <c r="AV142" s="7" t="s">
        <v>2907</v>
      </c>
      <c r="AW142" s="7">
        <v>23</v>
      </c>
      <c r="AX142" s="7">
        <v>23</v>
      </c>
      <c r="AY142" s="7" t="s">
        <v>3150</v>
      </c>
      <c r="AZ142" s="7">
        <v>10.5</v>
      </c>
      <c r="BA142" s="7">
        <v>5.8</v>
      </c>
      <c r="BB142" s="7"/>
      <c r="BC142" s="7" t="s">
        <v>3178</v>
      </c>
      <c r="BD142" s="7">
        <v>9.6999999999999993</v>
      </c>
      <c r="BE142" s="7">
        <v>5.8</v>
      </c>
      <c r="BF142" s="7"/>
      <c r="BG142" t="s">
        <v>3149</v>
      </c>
    </row>
    <row r="143" spans="1:59" x14ac:dyDescent="0.2">
      <c r="A143" s="7">
        <v>42</v>
      </c>
      <c r="B143" s="7" t="s">
        <v>320</v>
      </c>
      <c r="C143" s="7" t="s">
        <v>321</v>
      </c>
      <c r="D143" s="7" t="s">
        <v>322</v>
      </c>
      <c r="E143" s="7" t="s">
        <v>323</v>
      </c>
      <c r="F143" s="7" t="s">
        <v>324</v>
      </c>
      <c r="G143" s="7">
        <v>2014</v>
      </c>
      <c r="H143" s="8">
        <v>41695</v>
      </c>
      <c r="I143" s="7" t="s">
        <v>32</v>
      </c>
      <c r="J143" s="7" t="s">
        <v>32</v>
      </c>
      <c r="K143" s="7" t="s">
        <v>325</v>
      </c>
      <c r="L143" s="7">
        <v>1</v>
      </c>
      <c r="M143" s="7" t="s">
        <v>32</v>
      </c>
      <c r="N143" s="7" t="s">
        <v>34</v>
      </c>
      <c r="O143" s="7" t="s">
        <v>34</v>
      </c>
      <c r="P143" s="7" t="s">
        <v>34</v>
      </c>
      <c r="Q143" s="7" t="s">
        <v>34</v>
      </c>
      <c r="R143" s="7" t="s">
        <v>34</v>
      </c>
      <c r="S143" s="7" t="s">
        <v>34</v>
      </c>
      <c r="T143" s="7" t="s">
        <v>34</v>
      </c>
      <c r="U143" s="7" t="s">
        <v>32</v>
      </c>
      <c r="V143" s="7">
        <v>1</v>
      </c>
      <c r="W143" s="7" t="s">
        <v>32</v>
      </c>
      <c r="X143" s="7" t="s">
        <v>32</v>
      </c>
      <c r="Y143" s="7" t="s">
        <v>32</v>
      </c>
      <c r="Z143" s="7" t="s">
        <v>32</v>
      </c>
      <c r="AA143" s="7">
        <v>24561216</v>
      </c>
      <c r="AB143" s="7">
        <v>1</v>
      </c>
      <c r="AC143" s="7"/>
      <c r="AD143" s="7">
        <v>3</v>
      </c>
      <c r="AE143" s="7">
        <f>AF143+AG143</f>
        <v>20</v>
      </c>
      <c r="AF143" s="7">
        <v>10</v>
      </c>
      <c r="AG143" s="7">
        <v>10</v>
      </c>
      <c r="AH143" s="7" t="s">
        <v>2845</v>
      </c>
      <c r="AI143" s="7" t="s">
        <v>2845</v>
      </c>
      <c r="AJ143" s="7">
        <v>39.700000000000003</v>
      </c>
      <c r="AK143" s="7">
        <v>6.34</v>
      </c>
      <c r="AL143" s="7">
        <v>36.799999999999997</v>
      </c>
      <c r="AM143" s="7">
        <v>12.1</v>
      </c>
      <c r="AN143" s="7" t="s">
        <v>3148</v>
      </c>
      <c r="AO143" s="7" t="s">
        <v>1770</v>
      </c>
      <c r="AP143" s="7" t="s">
        <v>3147</v>
      </c>
      <c r="AQ143" s="7" t="s">
        <v>3039</v>
      </c>
      <c r="AR143" s="7" t="s">
        <v>1646</v>
      </c>
      <c r="AS143" s="7" t="s">
        <v>1639</v>
      </c>
      <c r="AT143" s="7" t="s">
        <v>1646</v>
      </c>
      <c r="AU143" s="21" t="s">
        <v>3041</v>
      </c>
      <c r="AV143" s="7" t="s">
        <v>2907</v>
      </c>
      <c r="AW143" s="7">
        <v>23</v>
      </c>
      <c r="AX143" s="7">
        <v>23</v>
      </c>
      <c r="AY143" s="7" t="s">
        <v>3151</v>
      </c>
      <c r="AZ143" s="7">
        <v>10.7</v>
      </c>
      <c r="BA143" s="7">
        <v>6.5</v>
      </c>
      <c r="BB143" s="7"/>
      <c r="BC143" s="7" t="s">
        <v>3179</v>
      </c>
      <c r="BD143" s="7">
        <v>9.9</v>
      </c>
      <c r="BE143" s="7">
        <v>6.3</v>
      </c>
      <c r="BF143" s="7"/>
      <c r="BG143" t="s">
        <v>3149</v>
      </c>
    </row>
    <row r="144" spans="1:59" s="56" customFormat="1" x14ac:dyDescent="0.2">
      <c r="A144" s="21">
        <v>43</v>
      </c>
      <c r="B144" s="21" t="s">
        <v>326</v>
      </c>
      <c r="C144" s="21" t="s">
        <v>327</v>
      </c>
      <c r="D144" s="21" t="s">
        <v>328</v>
      </c>
      <c r="E144" s="21" t="s">
        <v>261</v>
      </c>
      <c r="F144" s="21" t="s">
        <v>329</v>
      </c>
      <c r="G144" s="21">
        <v>2014</v>
      </c>
      <c r="H144" s="70">
        <v>41669</v>
      </c>
      <c r="I144" s="21" t="s">
        <v>32</v>
      </c>
      <c r="J144" s="21" t="s">
        <v>32</v>
      </c>
      <c r="K144" s="21" t="s">
        <v>330</v>
      </c>
      <c r="L144" s="21">
        <v>1</v>
      </c>
      <c r="M144" s="21" t="s">
        <v>331</v>
      </c>
      <c r="N144" s="21" t="s">
        <v>34</v>
      </c>
      <c r="O144" s="21" t="s">
        <v>34</v>
      </c>
      <c r="P144" s="21" t="s">
        <v>34</v>
      </c>
      <c r="Q144" s="21" t="s">
        <v>34</v>
      </c>
      <c r="R144" s="21" t="s">
        <v>34</v>
      </c>
      <c r="S144" s="21" t="s">
        <v>34</v>
      </c>
      <c r="T144" s="21" t="s">
        <v>34</v>
      </c>
      <c r="U144" s="21" t="s">
        <v>32</v>
      </c>
      <c r="V144" s="21">
        <v>1</v>
      </c>
      <c r="W144" s="21" t="s">
        <v>32</v>
      </c>
      <c r="X144" s="21" t="s">
        <v>32</v>
      </c>
      <c r="Y144" s="21" t="s">
        <v>32</v>
      </c>
      <c r="Z144" s="21" t="s">
        <v>32</v>
      </c>
      <c r="AA144" s="21">
        <v>24473965</v>
      </c>
      <c r="AB144" s="21">
        <v>1</v>
      </c>
      <c r="AC144" s="21"/>
      <c r="AD144" s="21">
        <v>3</v>
      </c>
      <c r="AE144" s="21">
        <f t="shared" si="3"/>
        <v>40</v>
      </c>
      <c r="AF144" s="21">
        <v>20</v>
      </c>
      <c r="AG144" s="21">
        <v>20</v>
      </c>
      <c r="AH144" s="21" t="s">
        <v>2845</v>
      </c>
      <c r="AI144" s="21" t="s">
        <v>2845</v>
      </c>
      <c r="AJ144" s="21">
        <v>37.4</v>
      </c>
      <c r="AK144" s="21">
        <v>11.96</v>
      </c>
      <c r="AL144" s="21">
        <v>33.35</v>
      </c>
      <c r="AM144" s="21">
        <v>10.76</v>
      </c>
      <c r="AN144" s="21" t="s">
        <v>3224</v>
      </c>
      <c r="AO144" s="21" t="s">
        <v>1638</v>
      </c>
      <c r="AP144" s="21" t="s">
        <v>2846</v>
      </c>
      <c r="AQ144" s="21" t="s">
        <v>3125</v>
      </c>
      <c r="AR144" s="21"/>
      <c r="AS144" s="21" t="s">
        <v>3544</v>
      </c>
      <c r="AT144" s="21" t="s">
        <v>1646</v>
      </c>
      <c r="AU144" s="21" t="s">
        <v>3571</v>
      </c>
      <c r="AV144" s="21"/>
      <c r="AW144" s="21">
        <v>24</v>
      </c>
      <c r="AX144" s="21">
        <v>24</v>
      </c>
      <c r="AY144" s="21" t="s">
        <v>3563</v>
      </c>
      <c r="AZ144" s="21">
        <v>39.1892</v>
      </c>
      <c r="BA144" s="21">
        <f>46.7568-AZ144</f>
        <v>7.5675999999999988</v>
      </c>
      <c r="BB144" s="21"/>
      <c r="BC144" s="21" t="s">
        <v>3567</v>
      </c>
      <c r="BD144" s="21">
        <v>53.378399999999999</v>
      </c>
      <c r="BE144" s="21">
        <f>58.5135-BD144</f>
        <v>5.1351000000000013</v>
      </c>
      <c r="BF144" s="21"/>
      <c r="BG144" s="56" t="s">
        <v>3152</v>
      </c>
    </row>
    <row r="145" spans="1:59" s="56" customFormat="1" x14ac:dyDescent="0.2">
      <c r="A145" s="21">
        <v>43</v>
      </c>
      <c r="B145" s="21" t="s">
        <v>326</v>
      </c>
      <c r="C145" s="21" t="s">
        <v>327</v>
      </c>
      <c r="D145" s="21" t="s">
        <v>328</v>
      </c>
      <c r="E145" s="21" t="s">
        <v>261</v>
      </c>
      <c r="F145" s="21" t="s">
        <v>329</v>
      </c>
      <c r="G145" s="21">
        <v>2014</v>
      </c>
      <c r="H145" s="70">
        <v>41669</v>
      </c>
      <c r="I145" s="21" t="s">
        <v>32</v>
      </c>
      <c r="J145" s="21" t="s">
        <v>32</v>
      </c>
      <c r="K145" s="21" t="s">
        <v>330</v>
      </c>
      <c r="L145" s="21">
        <v>1</v>
      </c>
      <c r="M145" s="21" t="s">
        <v>331</v>
      </c>
      <c r="N145" s="21" t="s">
        <v>34</v>
      </c>
      <c r="O145" s="21" t="s">
        <v>34</v>
      </c>
      <c r="P145" s="21" t="s">
        <v>34</v>
      </c>
      <c r="Q145" s="21" t="s">
        <v>34</v>
      </c>
      <c r="R145" s="21" t="s">
        <v>34</v>
      </c>
      <c r="S145" s="21" t="s">
        <v>34</v>
      </c>
      <c r="T145" s="21" t="s">
        <v>34</v>
      </c>
      <c r="U145" s="21" t="s">
        <v>32</v>
      </c>
      <c r="V145" s="21">
        <v>1</v>
      </c>
      <c r="W145" s="21" t="s">
        <v>32</v>
      </c>
      <c r="X145" s="21" t="s">
        <v>32</v>
      </c>
      <c r="Y145" s="21" t="s">
        <v>32</v>
      </c>
      <c r="Z145" s="21" t="s">
        <v>32</v>
      </c>
      <c r="AA145" s="21">
        <v>24473965</v>
      </c>
      <c r="AB145" s="21">
        <v>1</v>
      </c>
      <c r="AC145" s="21"/>
      <c r="AD145" s="21">
        <v>3</v>
      </c>
      <c r="AE145" s="21">
        <f t="shared" si="3"/>
        <v>40</v>
      </c>
      <c r="AF145" s="21">
        <v>20</v>
      </c>
      <c r="AG145" s="21">
        <v>20</v>
      </c>
      <c r="AH145" s="21" t="s">
        <v>2845</v>
      </c>
      <c r="AI145" s="21" t="s">
        <v>2845</v>
      </c>
      <c r="AJ145" s="21">
        <v>37.4</v>
      </c>
      <c r="AK145" s="21">
        <v>11.96</v>
      </c>
      <c r="AL145" s="21">
        <v>33.35</v>
      </c>
      <c r="AM145" s="21">
        <v>10.76</v>
      </c>
      <c r="AN145" s="21" t="s">
        <v>3224</v>
      </c>
      <c r="AO145" s="21" t="s">
        <v>1638</v>
      </c>
      <c r="AP145" s="21" t="s">
        <v>2846</v>
      </c>
      <c r="AQ145" s="21" t="s">
        <v>3125</v>
      </c>
      <c r="AR145" s="21"/>
      <c r="AS145" s="21" t="s">
        <v>3544</v>
      </c>
      <c r="AT145" s="21" t="s">
        <v>1646</v>
      </c>
      <c r="AU145" s="21" t="s">
        <v>3572</v>
      </c>
      <c r="AV145" s="21"/>
      <c r="AW145" s="21">
        <v>24</v>
      </c>
      <c r="AX145" s="21">
        <v>24</v>
      </c>
      <c r="AY145" s="21" t="s">
        <v>3564</v>
      </c>
      <c r="AZ145" s="21">
        <v>15.8108</v>
      </c>
      <c r="BA145" s="21">
        <f>23.1081-AZ145</f>
        <v>7.2972999999999999</v>
      </c>
      <c r="BB145" s="21"/>
      <c r="BC145" s="21" t="s">
        <v>3568</v>
      </c>
      <c r="BD145" s="21">
        <v>16.621600000000001</v>
      </c>
      <c r="BE145" s="21">
        <f>22.7027-BD145</f>
        <v>6.0810999999999993</v>
      </c>
      <c r="BF145" s="21"/>
    </row>
    <row r="146" spans="1:59" s="56" customFormat="1" x14ac:dyDescent="0.2">
      <c r="A146" s="21">
        <v>43</v>
      </c>
      <c r="B146" s="21" t="s">
        <v>326</v>
      </c>
      <c r="C146" s="21" t="s">
        <v>327</v>
      </c>
      <c r="D146" s="21" t="s">
        <v>328</v>
      </c>
      <c r="E146" s="21" t="s">
        <v>261</v>
      </c>
      <c r="F146" s="21" t="s">
        <v>329</v>
      </c>
      <c r="G146" s="21">
        <v>2014</v>
      </c>
      <c r="H146" s="70">
        <v>41669</v>
      </c>
      <c r="I146" s="21" t="s">
        <v>32</v>
      </c>
      <c r="J146" s="21" t="s">
        <v>32</v>
      </c>
      <c r="K146" s="21" t="s">
        <v>330</v>
      </c>
      <c r="L146" s="21">
        <v>1</v>
      </c>
      <c r="M146" s="21" t="s">
        <v>331</v>
      </c>
      <c r="N146" s="21" t="s">
        <v>34</v>
      </c>
      <c r="O146" s="21" t="s">
        <v>34</v>
      </c>
      <c r="P146" s="21" t="s">
        <v>34</v>
      </c>
      <c r="Q146" s="21" t="s">
        <v>34</v>
      </c>
      <c r="R146" s="21" t="s">
        <v>34</v>
      </c>
      <c r="S146" s="21" t="s">
        <v>34</v>
      </c>
      <c r="T146" s="21" t="s">
        <v>34</v>
      </c>
      <c r="U146" s="21" t="s">
        <v>32</v>
      </c>
      <c r="V146" s="21">
        <v>1</v>
      </c>
      <c r="W146" s="21" t="s">
        <v>32</v>
      </c>
      <c r="X146" s="21" t="s">
        <v>32</v>
      </c>
      <c r="Y146" s="21" t="s">
        <v>32</v>
      </c>
      <c r="Z146" s="21" t="s">
        <v>32</v>
      </c>
      <c r="AA146" s="21">
        <v>24473965</v>
      </c>
      <c r="AB146" s="21">
        <v>1</v>
      </c>
      <c r="AC146" s="21"/>
      <c r="AD146" s="21">
        <v>3</v>
      </c>
      <c r="AE146" s="21">
        <f t="shared" si="3"/>
        <v>42</v>
      </c>
      <c r="AF146" s="21">
        <v>21</v>
      </c>
      <c r="AG146" s="21">
        <v>21</v>
      </c>
      <c r="AH146" s="21" t="s">
        <v>2845</v>
      </c>
      <c r="AI146" s="21" t="s">
        <v>2845</v>
      </c>
      <c r="AJ146" s="21">
        <v>37.4</v>
      </c>
      <c r="AK146" s="21">
        <v>11.96</v>
      </c>
      <c r="AL146" s="21">
        <v>33.35</v>
      </c>
      <c r="AM146" s="21">
        <v>10.76</v>
      </c>
      <c r="AN146" s="21" t="s">
        <v>3224</v>
      </c>
      <c r="AO146" s="21" t="s">
        <v>1638</v>
      </c>
      <c r="AP146" s="21" t="s">
        <v>2846</v>
      </c>
      <c r="AQ146" s="21" t="s">
        <v>3125</v>
      </c>
      <c r="AR146" s="21"/>
      <c r="AS146" s="21" t="s">
        <v>3544</v>
      </c>
      <c r="AT146" s="21" t="s">
        <v>1646</v>
      </c>
      <c r="AU146" s="21" t="s">
        <v>3573</v>
      </c>
      <c r="AV146" s="21"/>
      <c r="AW146" s="21">
        <v>24</v>
      </c>
      <c r="AX146" s="21">
        <v>24</v>
      </c>
      <c r="AY146" s="21" t="s">
        <v>3565</v>
      </c>
      <c r="AZ146" s="21">
        <v>48.930900000000001</v>
      </c>
      <c r="BA146" s="21">
        <f>57.8703-AZ146</f>
        <v>8.9393999999999991</v>
      </c>
      <c r="BB146" s="21"/>
      <c r="BC146" s="21" t="s">
        <v>3569</v>
      </c>
      <c r="BD146" s="21">
        <v>76.113699999999994</v>
      </c>
      <c r="BE146" s="21">
        <f>80.7864-BD146</f>
        <v>4.6727000000000061</v>
      </c>
      <c r="BF146" s="21"/>
    </row>
    <row r="147" spans="1:59" s="56" customFormat="1" x14ac:dyDescent="0.2">
      <c r="A147" s="21">
        <v>43</v>
      </c>
      <c r="B147" s="21" t="s">
        <v>326</v>
      </c>
      <c r="C147" s="21" t="s">
        <v>327</v>
      </c>
      <c r="D147" s="21" t="s">
        <v>328</v>
      </c>
      <c r="E147" s="21" t="s">
        <v>261</v>
      </c>
      <c r="F147" s="21" t="s">
        <v>329</v>
      </c>
      <c r="G147" s="21">
        <v>2014</v>
      </c>
      <c r="H147" s="70">
        <v>41669</v>
      </c>
      <c r="I147" s="21" t="s">
        <v>32</v>
      </c>
      <c r="J147" s="21" t="s">
        <v>32</v>
      </c>
      <c r="K147" s="21" t="s">
        <v>330</v>
      </c>
      <c r="L147" s="21">
        <v>1</v>
      </c>
      <c r="M147" s="21" t="s">
        <v>331</v>
      </c>
      <c r="N147" s="21" t="s">
        <v>34</v>
      </c>
      <c r="O147" s="21" t="s">
        <v>34</v>
      </c>
      <c r="P147" s="21" t="s">
        <v>34</v>
      </c>
      <c r="Q147" s="21" t="s">
        <v>34</v>
      </c>
      <c r="R147" s="21" t="s">
        <v>34</v>
      </c>
      <c r="S147" s="21" t="s">
        <v>34</v>
      </c>
      <c r="T147" s="21" t="s">
        <v>34</v>
      </c>
      <c r="U147" s="21" t="s">
        <v>32</v>
      </c>
      <c r="V147" s="21">
        <v>1</v>
      </c>
      <c r="W147" s="21" t="s">
        <v>32</v>
      </c>
      <c r="X147" s="21" t="s">
        <v>32</v>
      </c>
      <c r="Y147" s="21" t="s">
        <v>32</v>
      </c>
      <c r="Z147" s="21" t="s">
        <v>32</v>
      </c>
      <c r="AA147" s="21">
        <v>24473965</v>
      </c>
      <c r="AB147" s="21">
        <v>1</v>
      </c>
      <c r="AC147" s="21"/>
      <c r="AD147" s="21">
        <v>3</v>
      </c>
      <c r="AE147" s="21">
        <f t="shared" si="3"/>
        <v>42</v>
      </c>
      <c r="AF147" s="21">
        <v>21</v>
      </c>
      <c r="AG147" s="21">
        <v>21</v>
      </c>
      <c r="AH147" s="21" t="s">
        <v>2845</v>
      </c>
      <c r="AI147" s="21" t="s">
        <v>2845</v>
      </c>
      <c r="AJ147" s="21">
        <v>37.4</v>
      </c>
      <c r="AK147" s="21">
        <v>11.96</v>
      </c>
      <c r="AL147" s="21">
        <v>33.35</v>
      </c>
      <c r="AM147" s="21">
        <v>10.76</v>
      </c>
      <c r="AN147" s="21" t="s">
        <v>3224</v>
      </c>
      <c r="AO147" s="21" t="s">
        <v>1638</v>
      </c>
      <c r="AP147" s="21" t="s">
        <v>2846</v>
      </c>
      <c r="AQ147" s="21" t="s">
        <v>3125</v>
      </c>
      <c r="AR147" s="21"/>
      <c r="AS147" s="21" t="s">
        <v>3544</v>
      </c>
      <c r="AT147" s="21" t="s">
        <v>1646</v>
      </c>
      <c r="AU147" s="21" t="s">
        <v>3574</v>
      </c>
      <c r="AV147" s="21"/>
      <c r="AW147" s="21">
        <v>24</v>
      </c>
      <c r="AX147" s="21">
        <v>24</v>
      </c>
      <c r="AY147" s="21" t="s">
        <v>3566</v>
      </c>
      <c r="AZ147" s="21">
        <v>20.386700000000001</v>
      </c>
      <c r="BA147" s="21">
        <f>26.2787-AZ147</f>
        <v>5.8919999999999995</v>
      </c>
      <c r="BB147" s="21"/>
      <c r="BC147" s="21" t="s">
        <v>3570</v>
      </c>
      <c r="BD147" s="21">
        <v>40.865200000000002</v>
      </c>
      <c r="BE147" s="21">
        <f>48.179-BD147</f>
        <v>7.3138000000000005</v>
      </c>
      <c r="BF147" s="21"/>
    </row>
    <row r="148" spans="1:59" s="65" customFormat="1" x14ac:dyDescent="0.2">
      <c r="A148" s="20">
        <v>44</v>
      </c>
      <c r="B148" s="20" t="s">
        <v>332</v>
      </c>
      <c r="C148" s="20" t="s">
        <v>333</v>
      </c>
      <c r="D148" s="20" t="s">
        <v>334</v>
      </c>
      <c r="E148" s="20" t="s">
        <v>335</v>
      </c>
      <c r="F148" s="20" t="s">
        <v>336</v>
      </c>
      <c r="G148" s="20">
        <v>2013</v>
      </c>
      <c r="H148" s="64">
        <v>41509</v>
      </c>
      <c r="I148" s="20" t="s">
        <v>337</v>
      </c>
      <c r="J148" s="20" t="s">
        <v>32</v>
      </c>
      <c r="K148" s="20" t="s">
        <v>338</v>
      </c>
      <c r="L148" s="20">
        <v>1</v>
      </c>
      <c r="M148" s="20" t="s">
        <v>32</v>
      </c>
      <c r="N148" s="20" t="s">
        <v>34</v>
      </c>
      <c r="O148" s="20" t="s">
        <v>34</v>
      </c>
      <c r="P148" s="20" t="s">
        <v>34</v>
      </c>
      <c r="Q148" s="20" t="s">
        <v>34</v>
      </c>
      <c r="R148" s="20" t="s">
        <v>34</v>
      </c>
      <c r="S148" s="20" t="s">
        <v>34</v>
      </c>
      <c r="T148" s="20" t="s">
        <v>34</v>
      </c>
      <c r="U148" s="20" t="s">
        <v>32</v>
      </c>
      <c r="V148" s="20">
        <v>1</v>
      </c>
      <c r="W148" s="20" t="s">
        <v>32</v>
      </c>
      <c r="X148" s="20" t="s">
        <v>32</v>
      </c>
      <c r="Y148" s="20" t="s">
        <v>32</v>
      </c>
      <c r="Z148" s="20" t="s">
        <v>32</v>
      </c>
      <c r="AA148" s="20">
        <v>23966914</v>
      </c>
      <c r="AB148" s="20">
        <v>0</v>
      </c>
      <c r="AC148" s="20" t="s">
        <v>2974</v>
      </c>
      <c r="AD148" s="20"/>
      <c r="AE148" s="20">
        <f t="shared" si="3"/>
        <v>0</v>
      </c>
      <c r="AF148" s="20"/>
      <c r="AG148" s="20"/>
      <c r="AH148" s="20"/>
      <c r="AI148" s="20"/>
      <c r="AJ148" s="20"/>
      <c r="AK148" s="20"/>
      <c r="AL148" s="20"/>
      <c r="AM148" s="20"/>
      <c r="AN148" s="20" t="s">
        <v>2964</v>
      </c>
      <c r="AO148" s="20" t="s">
        <v>1770</v>
      </c>
      <c r="AP148" s="20" t="s">
        <v>3153</v>
      </c>
      <c r="AQ148" s="20"/>
      <c r="AR148" s="20"/>
      <c r="AS148" s="20"/>
      <c r="AT148" s="20"/>
      <c r="AU148" s="20"/>
      <c r="AV148" s="20"/>
      <c r="AW148" s="20"/>
      <c r="AX148" s="20"/>
      <c r="AY148" s="20"/>
      <c r="AZ148" s="20"/>
      <c r="BA148" s="20"/>
      <c r="BB148" s="20"/>
      <c r="BC148" s="20"/>
      <c r="BD148" s="20"/>
      <c r="BE148" s="20"/>
      <c r="BF148" s="20"/>
    </row>
    <row r="149" spans="1:59" s="56" customFormat="1" x14ac:dyDescent="0.2">
      <c r="A149" s="21">
        <v>45</v>
      </c>
      <c r="B149" s="21" t="s">
        <v>339</v>
      </c>
      <c r="C149" s="21" t="s">
        <v>340</v>
      </c>
      <c r="D149" s="21" t="s">
        <v>341</v>
      </c>
      <c r="E149" s="21" t="s">
        <v>342</v>
      </c>
      <c r="F149" s="21" t="s">
        <v>343</v>
      </c>
      <c r="G149" s="21">
        <v>2013</v>
      </c>
      <c r="H149" s="70">
        <v>41383</v>
      </c>
      <c r="I149" s="21" t="s">
        <v>32</v>
      </c>
      <c r="J149" s="21" t="s">
        <v>32</v>
      </c>
      <c r="K149" s="21" t="s">
        <v>344</v>
      </c>
      <c r="L149" s="21">
        <v>1</v>
      </c>
      <c r="M149" s="21" t="s">
        <v>345</v>
      </c>
      <c r="N149" s="21" t="s">
        <v>34</v>
      </c>
      <c r="O149" s="21" t="s">
        <v>34</v>
      </c>
      <c r="P149" s="21" t="s">
        <v>34</v>
      </c>
      <c r="Q149" s="21" t="s">
        <v>34</v>
      </c>
      <c r="R149" s="21" t="s">
        <v>34</v>
      </c>
      <c r="S149" s="21" t="s">
        <v>318</v>
      </c>
      <c r="T149" s="21" t="s">
        <v>34</v>
      </c>
      <c r="U149" s="21" t="s">
        <v>32</v>
      </c>
      <c r="V149" s="21">
        <v>1</v>
      </c>
      <c r="W149" s="21" t="s">
        <v>32</v>
      </c>
      <c r="X149" s="21" t="s">
        <v>32</v>
      </c>
      <c r="Y149" s="21" t="s">
        <v>319</v>
      </c>
      <c r="Z149" s="21" t="s">
        <v>32</v>
      </c>
      <c r="AA149" s="21">
        <v>23594034</v>
      </c>
      <c r="AB149" s="21">
        <v>1</v>
      </c>
      <c r="AC149" s="21"/>
      <c r="AD149" s="21">
        <v>3</v>
      </c>
      <c r="AE149" s="21">
        <f t="shared" si="3"/>
        <v>86</v>
      </c>
      <c r="AF149" s="21">
        <v>43</v>
      </c>
      <c r="AG149" s="21">
        <v>43</v>
      </c>
      <c r="AH149" s="21" t="s">
        <v>2845</v>
      </c>
      <c r="AI149" s="21" t="s">
        <v>2845</v>
      </c>
      <c r="AJ149" s="21">
        <v>30.9</v>
      </c>
      <c r="AK149" s="21">
        <v>9.6</v>
      </c>
      <c r="AL149" s="21">
        <v>31.7</v>
      </c>
      <c r="AM149" s="21">
        <v>10.3</v>
      </c>
      <c r="AN149" s="21" t="s">
        <v>2947</v>
      </c>
      <c r="AO149" s="21" t="s">
        <v>1638</v>
      </c>
      <c r="AP149" s="21" t="s">
        <v>2846</v>
      </c>
      <c r="AQ149" s="21" t="s">
        <v>3154</v>
      </c>
      <c r="AR149" s="21" t="s">
        <v>1646</v>
      </c>
      <c r="AS149" s="21" t="s">
        <v>3158</v>
      </c>
      <c r="AT149" s="21" t="s">
        <v>1646</v>
      </c>
      <c r="AU149" s="21" t="s">
        <v>2940</v>
      </c>
      <c r="AV149" s="21" t="s">
        <v>2848</v>
      </c>
      <c r="AW149" s="21">
        <v>25</v>
      </c>
      <c r="AX149" s="21">
        <v>25</v>
      </c>
      <c r="AY149" s="21" t="s">
        <v>3155</v>
      </c>
      <c r="AZ149" s="21">
        <v>0.95612900000000001</v>
      </c>
      <c r="BA149" s="21"/>
      <c r="BB149" s="21">
        <f>1.07718-AZ149</f>
        <v>0.12105100000000002</v>
      </c>
      <c r="BC149" s="21" t="s">
        <v>3180</v>
      </c>
      <c r="BD149" s="21">
        <v>1.4671000000000001</v>
      </c>
      <c r="BE149" s="21"/>
      <c r="BF149" s="21">
        <f>1.56739-BD149</f>
        <v>0.10028999999999999</v>
      </c>
    </row>
    <row r="150" spans="1:59" x14ac:dyDescent="0.2">
      <c r="A150" s="7">
        <v>45</v>
      </c>
      <c r="B150" s="7" t="s">
        <v>339</v>
      </c>
      <c r="C150" s="7" t="s">
        <v>340</v>
      </c>
      <c r="D150" s="7" t="s">
        <v>341</v>
      </c>
      <c r="E150" s="7" t="s">
        <v>342</v>
      </c>
      <c r="F150" s="7" t="s">
        <v>343</v>
      </c>
      <c r="G150" s="7">
        <v>2013</v>
      </c>
      <c r="H150" s="8">
        <v>41383</v>
      </c>
      <c r="I150" s="7" t="s">
        <v>32</v>
      </c>
      <c r="J150" s="7" t="s">
        <v>32</v>
      </c>
      <c r="K150" s="7" t="s">
        <v>344</v>
      </c>
      <c r="L150" s="7">
        <v>1</v>
      </c>
      <c r="M150" s="7" t="s">
        <v>345</v>
      </c>
      <c r="N150" s="7" t="s">
        <v>34</v>
      </c>
      <c r="O150" s="7" t="s">
        <v>34</v>
      </c>
      <c r="P150" s="7" t="s">
        <v>34</v>
      </c>
      <c r="Q150" s="7" t="s">
        <v>34</v>
      </c>
      <c r="R150" s="7" t="s">
        <v>34</v>
      </c>
      <c r="S150" s="7" t="s">
        <v>318</v>
      </c>
      <c r="T150" s="7" t="s">
        <v>34</v>
      </c>
      <c r="U150" s="7" t="s">
        <v>32</v>
      </c>
      <c r="V150" s="7">
        <v>1</v>
      </c>
      <c r="W150" s="7" t="s">
        <v>32</v>
      </c>
      <c r="X150" s="7" t="s">
        <v>32</v>
      </c>
      <c r="Y150" s="7" t="s">
        <v>319</v>
      </c>
      <c r="Z150" s="7" t="s">
        <v>32</v>
      </c>
      <c r="AA150" s="7">
        <v>23594034</v>
      </c>
      <c r="AB150" s="7">
        <v>1</v>
      </c>
      <c r="AC150" s="7"/>
      <c r="AD150" s="7">
        <v>3</v>
      </c>
      <c r="AE150" s="7">
        <f>AF150+AG150</f>
        <v>86</v>
      </c>
      <c r="AF150" s="7">
        <v>43</v>
      </c>
      <c r="AG150" s="7">
        <v>43</v>
      </c>
      <c r="AH150" s="7" t="s">
        <v>2845</v>
      </c>
      <c r="AI150" s="7" t="s">
        <v>2845</v>
      </c>
      <c r="AJ150" s="7">
        <v>30.9</v>
      </c>
      <c r="AK150" s="7">
        <v>9.6</v>
      </c>
      <c r="AL150" s="7">
        <v>31.7</v>
      </c>
      <c r="AM150" s="7">
        <v>10.3</v>
      </c>
      <c r="AN150" s="7" t="s">
        <v>2947</v>
      </c>
      <c r="AO150" s="7" t="s">
        <v>1638</v>
      </c>
      <c r="AP150" s="7" t="s">
        <v>2846</v>
      </c>
      <c r="AQ150" s="7" t="s">
        <v>3154</v>
      </c>
      <c r="AR150" s="7" t="s">
        <v>1646</v>
      </c>
      <c r="AS150" s="7" t="s">
        <v>3143</v>
      </c>
      <c r="AT150" s="7" t="s">
        <v>1646</v>
      </c>
      <c r="AU150" s="7" t="s">
        <v>2940</v>
      </c>
      <c r="AV150" s="7" t="s">
        <v>2848</v>
      </c>
      <c r="AW150" s="7">
        <v>25</v>
      </c>
      <c r="AX150" s="7">
        <v>25</v>
      </c>
      <c r="AY150" s="7" t="s">
        <v>3156</v>
      </c>
      <c r="AZ150" s="7">
        <v>1.05044</v>
      </c>
      <c r="BA150" s="7"/>
      <c r="BB150" s="7">
        <f>1.16446-AZ150</f>
        <v>0.11402000000000001</v>
      </c>
      <c r="BC150" s="7" t="s">
        <v>3181</v>
      </c>
      <c r="BD150" s="7">
        <v>1.53783</v>
      </c>
      <c r="BE150" s="7"/>
      <c r="BF150" s="7">
        <f>1.62968-BD150</f>
        <v>9.1849999999999987E-2</v>
      </c>
    </row>
    <row r="151" spans="1:59" x14ac:dyDescent="0.2">
      <c r="A151" s="7">
        <v>45</v>
      </c>
      <c r="B151" s="7" t="s">
        <v>339</v>
      </c>
      <c r="C151" s="7" t="s">
        <v>340</v>
      </c>
      <c r="D151" s="7" t="s">
        <v>341</v>
      </c>
      <c r="E151" s="7" t="s">
        <v>342</v>
      </c>
      <c r="F151" s="7" t="s">
        <v>343</v>
      </c>
      <c r="G151" s="7">
        <v>2013</v>
      </c>
      <c r="H151" s="8">
        <v>41383</v>
      </c>
      <c r="I151" s="7" t="s">
        <v>32</v>
      </c>
      <c r="J151" s="7" t="s">
        <v>32</v>
      </c>
      <c r="K151" s="7" t="s">
        <v>344</v>
      </c>
      <c r="L151" s="7">
        <v>1</v>
      </c>
      <c r="M151" s="7" t="s">
        <v>345</v>
      </c>
      <c r="N151" s="7" t="s">
        <v>34</v>
      </c>
      <c r="O151" s="7" t="s">
        <v>34</v>
      </c>
      <c r="P151" s="7" t="s">
        <v>34</v>
      </c>
      <c r="Q151" s="7" t="s">
        <v>34</v>
      </c>
      <c r="R151" s="7" t="s">
        <v>34</v>
      </c>
      <c r="S151" s="7" t="s">
        <v>318</v>
      </c>
      <c r="T151" s="7" t="s">
        <v>34</v>
      </c>
      <c r="U151" s="7" t="s">
        <v>32</v>
      </c>
      <c r="V151" s="7">
        <v>1</v>
      </c>
      <c r="W151" s="7" t="s">
        <v>32</v>
      </c>
      <c r="X151" s="7" t="s">
        <v>32</v>
      </c>
      <c r="Y151" s="7" t="s">
        <v>319</v>
      </c>
      <c r="Z151" s="7" t="s">
        <v>32</v>
      </c>
      <c r="AA151" s="7">
        <v>23594034</v>
      </c>
      <c r="AB151" s="7">
        <v>1</v>
      </c>
      <c r="AC151" s="7"/>
      <c r="AD151" s="7">
        <v>3</v>
      </c>
      <c r="AE151" s="7">
        <f>AF151+AG151</f>
        <v>86</v>
      </c>
      <c r="AF151" s="7">
        <v>43</v>
      </c>
      <c r="AG151" s="7">
        <v>43</v>
      </c>
      <c r="AH151" s="7" t="s">
        <v>2845</v>
      </c>
      <c r="AI151" s="7" t="s">
        <v>2845</v>
      </c>
      <c r="AJ151" s="7">
        <v>30.9</v>
      </c>
      <c r="AK151" s="7">
        <v>9.6</v>
      </c>
      <c r="AL151" s="7">
        <v>31.7</v>
      </c>
      <c r="AM151" s="7">
        <v>10.3</v>
      </c>
      <c r="AN151" s="7" t="s">
        <v>2947</v>
      </c>
      <c r="AO151" s="7" t="s">
        <v>1638</v>
      </c>
      <c r="AP151" s="7" t="s">
        <v>2846</v>
      </c>
      <c r="AQ151" s="7" t="s">
        <v>3154</v>
      </c>
      <c r="AR151" s="7" t="s">
        <v>1646</v>
      </c>
      <c r="AS151" s="7" t="s">
        <v>3143</v>
      </c>
      <c r="AT151" s="7" t="s">
        <v>1646</v>
      </c>
      <c r="AU151" s="7" t="s">
        <v>2940</v>
      </c>
      <c r="AV151" s="7" t="s">
        <v>2848</v>
      </c>
      <c r="AW151" s="7">
        <v>25</v>
      </c>
      <c r="AX151" s="7">
        <v>25</v>
      </c>
      <c r="AY151" s="7" t="s">
        <v>3157</v>
      </c>
      <c r="AZ151" s="7">
        <v>1.0968899999999999</v>
      </c>
      <c r="BA151" s="7"/>
      <c r="BB151" s="7">
        <f>1.21091-AZ151</f>
        <v>0.11402000000000001</v>
      </c>
      <c r="BC151" s="7" t="s">
        <v>3182</v>
      </c>
      <c r="BD151" s="7">
        <v>1.3974200000000001</v>
      </c>
      <c r="BE151" s="7"/>
      <c r="BF151" s="7">
        <f>1.51038-BD151</f>
        <v>0.11295999999999995</v>
      </c>
    </row>
    <row r="152" spans="1:59" x14ac:dyDescent="0.2">
      <c r="A152" s="7">
        <v>45</v>
      </c>
      <c r="B152" s="7" t="s">
        <v>339</v>
      </c>
      <c r="C152" s="7" t="s">
        <v>340</v>
      </c>
      <c r="D152" s="7" t="s">
        <v>341</v>
      </c>
      <c r="E152" s="7" t="s">
        <v>342</v>
      </c>
      <c r="F152" s="7" t="s">
        <v>343</v>
      </c>
      <c r="G152" s="7">
        <v>2013</v>
      </c>
      <c r="H152" s="8">
        <v>41383</v>
      </c>
      <c r="I152" s="7" t="s">
        <v>32</v>
      </c>
      <c r="J152" s="7" t="s">
        <v>32</v>
      </c>
      <c r="K152" s="7" t="s">
        <v>344</v>
      </c>
      <c r="L152" s="7">
        <v>1</v>
      </c>
      <c r="M152" s="7" t="s">
        <v>345</v>
      </c>
      <c r="N152" s="7" t="s">
        <v>34</v>
      </c>
      <c r="O152" s="7" t="s">
        <v>34</v>
      </c>
      <c r="P152" s="7" t="s">
        <v>34</v>
      </c>
      <c r="Q152" s="7" t="s">
        <v>34</v>
      </c>
      <c r="R152" s="7" t="s">
        <v>34</v>
      </c>
      <c r="S152" s="7" t="s">
        <v>318</v>
      </c>
      <c r="T152" s="7" t="s">
        <v>34</v>
      </c>
      <c r="U152" s="7" t="s">
        <v>32</v>
      </c>
      <c r="V152" s="7">
        <v>1</v>
      </c>
      <c r="W152" s="7" t="s">
        <v>32</v>
      </c>
      <c r="X152" s="7" t="s">
        <v>32</v>
      </c>
      <c r="Y152" s="7" t="s">
        <v>319</v>
      </c>
      <c r="Z152" s="7" t="s">
        <v>32</v>
      </c>
      <c r="AA152" s="7">
        <v>23594034</v>
      </c>
      <c r="AB152" s="7">
        <v>1</v>
      </c>
      <c r="AC152" s="7"/>
      <c r="AD152" s="7">
        <v>3</v>
      </c>
      <c r="AE152" s="7">
        <f>AF152+AG152</f>
        <v>81</v>
      </c>
      <c r="AF152" s="7">
        <v>39</v>
      </c>
      <c r="AG152" s="7">
        <v>42</v>
      </c>
      <c r="AH152" s="7" t="s">
        <v>2845</v>
      </c>
      <c r="AI152" s="7" t="s">
        <v>2845</v>
      </c>
      <c r="AJ152" s="7">
        <v>30.9</v>
      </c>
      <c r="AK152" s="7">
        <v>9.6</v>
      </c>
      <c r="AL152" s="7">
        <v>31.7</v>
      </c>
      <c r="AM152" s="7">
        <v>10.3</v>
      </c>
      <c r="AN152" s="7" t="s">
        <v>2947</v>
      </c>
      <c r="AO152" s="7" t="s">
        <v>1638</v>
      </c>
      <c r="AP152" s="7" t="s">
        <v>2846</v>
      </c>
      <c r="AQ152" s="7" t="s">
        <v>3154</v>
      </c>
      <c r="AR152" s="7" t="s">
        <v>1646</v>
      </c>
      <c r="AS152" s="7" t="s">
        <v>3158</v>
      </c>
      <c r="AT152" s="7" t="s">
        <v>1646</v>
      </c>
      <c r="AU152" s="7" t="s">
        <v>3144</v>
      </c>
      <c r="AV152" s="7" t="s">
        <v>2848</v>
      </c>
      <c r="AW152" s="7">
        <v>25</v>
      </c>
      <c r="AX152" s="7">
        <v>25</v>
      </c>
      <c r="AY152" s="7" t="s">
        <v>3159</v>
      </c>
      <c r="AZ152" s="7">
        <v>15.7</v>
      </c>
      <c r="BA152" s="77">
        <v>14</v>
      </c>
      <c r="BB152" s="7"/>
      <c r="BC152" s="7" t="s">
        <v>3183</v>
      </c>
      <c r="BD152" s="77">
        <v>14</v>
      </c>
      <c r="BE152" s="77">
        <v>10.9</v>
      </c>
      <c r="BF152" s="7"/>
    </row>
    <row r="153" spans="1:59" x14ac:dyDescent="0.2">
      <c r="A153" s="7">
        <v>45</v>
      </c>
      <c r="B153" s="7" t="s">
        <v>339</v>
      </c>
      <c r="C153" s="7" t="s">
        <v>340</v>
      </c>
      <c r="D153" s="7" t="s">
        <v>341</v>
      </c>
      <c r="E153" s="7" t="s">
        <v>342</v>
      </c>
      <c r="F153" s="7" t="s">
        <v>343</v>
      </c>
      <c r="G153" s="7">
        <v>2013</v>
      </c>
      <c r="H153" s="8">
        <v>41383</v>
      </c>
      <c r="I153" s="7" t="s">
        <v>32</v>
      </c>
      <c r="J153" s="7" t="s">
        <v>32</v>
      </c>
      <c r="K153" s="7" t="s">
        <v>344</v>
      </c>
      <c r="L153" s="7">
        <v>1</v>
      </c>
      <c r="M153" s="7" t="s">
        <v>345</v>
      </c>
      <c r="N153" s="7" t="s">
        <v>34</v>
      </c>
      <c r="O153" s="7" t="s">
        <v>34</v>
      </c>
      <c r="P153" s="7" t="s">
        <v>34</v>
      </c>
      <c r="Q153" s="7" t="s">
        <v>34</v>
      </c>
      <c r="R153" s="7" t="s">
        <v>34</v>
      </c>
      <c r="S153" s="7" t="s">
        <v>318</v>
      </c>
      <c r="T153" s="7" t="s">
        <v>34</v>
      </c>
      <c r="U153" s="7" t="s">
        <v>32</v>
      </c>
      <c r="V153" s="7">
        <v>1</v>
      </c>
      <c r="W153" s="7" t="s">
        <v>32</v>
      </c>
      <c r="X153" s="7" t="s">
        <v>32</v>
      </c>
      <c r="Y153" s="7" t="s">
        <v>319</v>
      </c>
      <c r="Z153" s="7" t="s">
        <v>32</v>
      </c>
      <c r="AA153" s="7">
        <v>23594034</v>
      </c>
      <c r="AB153" s="7">
        <v>1</v>
      </c>
      <c r="AC153" s="7"/>
      <c r="AD153" s="7">
        <v>3</v>
      </c>
      <c r="AE153" s="7">
        <f>AF153+AG153</f>
        <v>81</v>
      </c>
      <c r="AF153" s="7">
        <v>39</v>
      </c>
      <c r="AG153" s="7">
        <v>42</v>
      </c>
      <c r="AH153" s="7" t="s">
        <v>2845</v>
      </c>
      <c r="AI153" s="7" t="s">
        <v>2845</v>
      </c>
      <c r="AJ153" s="7">
        <v>30.9</v>
      </c>
      <c r="AK153" s="7">
        <v>9.6</v>
      </c>
      <c r="AL153" s="7">
        <v>31.7</v>
      </c>
      <c r="AM153" s="7">
        <v>10.3</v>
      </c>
      <c r="AN153" s="7" t="s">
        <v>2947</v>
      </c>
      <c r="AO153" s="7" t="s">
        <v>1638</v>
      </c>
      <c r="AP153" s="7" t="s">
        <v>2846</v>
      </c>
      <c r="AQ153" s="7" t="s">
        <v>3154</v>
      </c>
      <c r="AR153" s="7" t="s">
        <v>1646</v>
      </c>
      <c r="AS153" s="7" t="s">
        <v>3143</v>
      </c>
      <c r="AT153" s="7" t="s">
        <v>1646</v>
      </c>
      <c r="AU153" s="7" t="s">
        <v>3144</v>
      </c>
      <c r="AV153" s="7" t="s">
        <v>2848</v>
      </c>
      <c r="AW153" s="7">
        <v>25</v>
      </c>
      <c r="AX153" s="7">
        <v>25</v>
      </c>
      <c r="AY153" s="7" t="s">
        <v>3160</v>
      </c>
      <c r="AZ153" s="7">
        <v>18.2</v>
      </c>
      <c r="BA153" s="77">
        <v>12.9</v>
      </c>
      <c r="BB153" s="7"/>
      <c r="BC153" s="7" t="s">
        <v>3184</v>
      </c>
      <c r="BD153" s="7">
        <v>16.2</v>
      </c>
      <c r="BE153" s="77">
        <v>11.6</v>
      </c>
      <c r="BF153" s="7"/>
    </row>
    <row r="154" spans="1:59" x14ac:dyDescent="0.2">
      <c r="A154" s="7">
        <v>45</v>
      </c>
      <c r="B154" s="7" t="s">
        <v>339</v>
      </c>
      <c r="C154" s="7" t="s">
        <v>340</v>
      </c>
      <c r="D154" s="7" t="s">
        <v>341</v>
      </c>
      <c r="E154" s="7" t="s">
        <v>342</v>
      </c>
      <c r="F154" s="7" t="s">
        <v>343</v>
      </c>
      <c r="G154" s="7">
        <v>2013</v>
      </c>
      <c r="H154" s="8">
        <v>41383</v>
      </c>
      <c r="I154" s="7" t="s">
        <v>32</v>
      </c>
      <c r="J154" s="7" t="s">
        <v>32</v>
      </c>
      <c r="K154" s="7" t="s">
        <v>344</v>
      </c>
      <c r="L154" s="7">
        <v>1</v>
      </c>
      <c r="M154" s="7" t="s">
        <v>345</v>
      </c>
      <c r="N154" s="7" t="s">
        <v>34</v>
      </c>
      <c r="O154" s="7" t="s">
        <v>34</v>
      </c>
      <c r="P154" s="7" t="s">
        <v>34</v>
      </c>
      <c r="Q154" s="7" t="s">
        <v>34</v>
      </c>
      <c r="R154" s="7" t="s">
        <v>34</v>
      </c>
      <c r="S154" s="7" t="s">
        <v>318</v>
      </c>
      <c r="T154" s="7" t="s">
        <v>34</v>
      </c>
      <c r="U154" s="7" t="s">
        <v>32</v>
      </c>
      <c r="V154" s="7">
        <v>1</v>
      </c>
      <c r="W154" s="7" t="s">
        <v>32</v>
      </c>
      <c r="X154" s="7" t="s">
        <v>32</v>
      </c>
      <c r="Y154" s="7" t="s">
        <v>319</v>
      </c>
      <c r="Z154" s="7" t="s">
        <v>32</v>
      </c>
      <c r="AA154" s="7">
        <v>23594034</v>
      </c>
      <c r="AB154" s="7">
        <v>1</v>
      </c>
      <c r="AC154" s="7"/>
      <c r="AD154" s="7">
        <v>3</v>
      </c>
      <c r="AE154" s="7">
        <f>AF154+AG154</f>
        <v>81</v>
      </c>
      <c r="AF154" s="7">
        <v>39</v>
      </c>
      <c r="AG154" s="7">
        <v>42</v>
      </c>
      <c r="AH154" s="7" t="s">
        <v>2845</v>
      </c>
      <c r="AI154" s="7" t="s">
        <v>2845</v>
      </c>
      <c r="AJ154" s="7">
        <v>30.9</v>
      </c>
      <c r="AK154" s="7">
        <v>9.6</v>
      </c>
      <c r="AL154" s="7">
        <v>31.7</v>
      </c>
      <c r="AM154" s="7">
        <v>10.3</v>
      </c>
      <c r="AN154" s="7" t="s">
        <v>2947</v>
      </c>
      <c r="AO154" s="7" t="s">
        <v>1638</v>
      </c>
      <c r="AP154" s="7" t="s">
        <v>2846</v>
      </c>
      <c r="AQ154" s="7" t="s">
        <v>3154</v>
      </c>
      <c r="AR154" s="7" t="s">
        <v>1646</v>
      </c>
      <c r="AS154" s="7" t="s">
        <v>3143</v>
      </c>
      <c r="AT154" s="7" t="s">
        <v>1646</v>
      </c>
      <c r="AU154" s="7" t="s">
        <v>3144</v>
      </c>
      <c r="AV154" s="7" t="s">
        <v>2848</v>
      </c>
      <c r="AW154" s="7">
        <v>25</v>
      </c>
      <c r="AX154" s="7">
        <v>25</v>
      </c>
      <c r="AY154" s="7" t="s">
        <v>3161</v>
      </c>
      <c r="AZ154" s="77">
        <v>18</v>
      </c>
      <c r="BA154" s="77">
        <v>13.3</v>
      </c>
      <c r="BB154" s="7"/>
      <c r="BC154" s="7" t="s">
        <v>3185</v>
      </c>
      <c r="BD154" s="7">
        <v>16.2</v>
      </c>
      <c r="BE154" s="77">
        <v>11.9</v>
      </c>
      <c r="BF154" s="7"/>
    </row>
    <row r="155" spans="1:59" x14ac:dyDescent="0.2">
      <c r="A155" s="7">
        <v>46</v>
      </c>
      <c r="B155" s="7" t="s">
        <v>346</v>
      </c>
      <c r="C155" s="7" t="s">
        <v>347</v>
      </c>
      <c r="D155" s="7" t="s">
        <v>348</v>
      </c>
      <c r="E155" s="7" t="s">
        <v>349</v>
      </c>
      <c r="F155" s="7" t="s">
        <v>350</v>
      </c>
      <c r="G155" s="7">
        <v>2013</v>
      </c>
      <c r="H155" s="8">
        <v>41321</v>
      </c>
      <c r="I155" s="7" t="s">
        <v>32</v>
      </c>
      <c r="J155" s="7" t="s">
        <v>32</v>
      </c>
      <c r="K155" s="7" t="s">
        <v>351</v>
      </c>
      <c r="L155" s="7">
        <v>1</v>
      </c>
      <c r="M155" s="7" t="s">
        <v>32</v>
      </c>
      <c r="N155" s="7" t="s">
        <v>34</v>
      </c>
      <c r="O155" s="7" t="s">
        <v>34</v>
      </c>
      <c r="P155" s="7" t="s">
        <v>34</v>
      </c>
      <c r="Q155" s="7" t="s">
        <v>34</v>
      </c>
      <c r="R155" s="7" t="s">
        <v>34</v>
      </c>
      <c r="S155" s="7" t="s">
        <v>34</v>
      </c>
      <c r="T155" s="7" t="s">
        <v>34</v>
      </c>
      <c r="U155" s="7" t="s">
        <v>32</v>
      </c>
      <c r="V155" s="7">
        <v>1</v>
      </c>
      <c r="W155" s="7" t="s">
        <v>32</v>
      </c>
      <c r="X155" s="7" t="s">
        <v>32</v>
      </c>
      <c r="Y155" s="7" t="s">
        <v>32</v>
      </c>
      <c r="Z155" s="7" t="s">
        <v>32</v>
      </c>
      <c r="AA155" s="7">
        <v>23412330</v>
      </c>
      <c r="AB155" s="7">
        <v>1</v>
      </c>
      <c r="AC155" s="7"/>
      <c r="AD155" s="7">
        <v>3</v>
      </c>
      <c r="AE155" s="7">
        <f t="shared" si="3"/>
        <v>18</v>
      </c>
      <c r="AF155" s="7">
        <v>11</v>
      </c>
      <c r="AG155" s="7">
        <v>7</v>
      </c>
      <c r="AH155" s="7" t="s">
        <v>2845</v>
      </c>
      <c r="AI155" s="7" t="s">
        <v>1642</v>
      </c>
      <c r="AJ155" s="7">
        <v>39</v>
      </c>
      <c r="AK155" s="7">
        <v>12.1</v>
      </c>
      <c r="AL155" s="7">
        <v>46.1</v>
      </c>
      <c r="AM155" s="7">
        <v>5.8</v>
      </c>
      <c r="AN155" s="7" t="s">
        <v>3188</v>
      </c>
      <c r="AO155" s="7" t="s">
        <v>1770</v>
      </c>
      <c r="AP155" s="7" t="s">
        <v>3187</v>
      </c>
      <c r="AQ155" s="7" t="s">
        <v>3186</v>
      </c>
      <c r="AR155" s="7" t="s">
        <v>1646</v>
      </c>
      <c r="AS155" s="7" t="s">
        <v>3113</v>
      </c>
      <c r="AT155" s="7" t="s">
        <v>1646</v>
      </c>
      <c r="AU155" s="7" t="s">
        <v>2952</v>
      </c>
      <c r="AV155" s="7" t="s">
        <v>2907</v>
      </c>
      <c r="AW155" s="7">
        <v>26</v>
      </c>
      <c r="AX155" s="7">
        <v>26</v>
      </c>
      <c r="AY155" s="7" t="s">
        <v>3114</v>
      </c>
      <c r="AZ155" s="7">
        <v>41.6</v>
      </c>
      <c r="BA155" s="77">
        <v>6.1</v>
      </c>
      <c r="BB155" s="7"/>
      <c r="BC155" s="7" t="s">
        <v>3114</v>
      </c>
      <c r="BD155" s="7">
        <v>52.3</v>
      </c>
      <c r="BE155" s="77">
        <v>9.4</v>
      </c>
      <c r="BF155" s="7"/>
    </row>
    <row r="156" spans="1:59" x14ac:dyDescent="0.2">
      <c r="A156" s="7">
        <v>46</v>
      </c>
      <c r="B156" s="7" t="s">
        <v>346</v>
      </c>
      <c r="C156" s="7" t="s">
        <v>347</v>
      </c>
      <c r="D156" s="7" t="s">
        <v>348</v>
      </c>
      <c r="E156" s="7" t="s">
        <v>349</v>
      </c>
      <c r="F156" s="7" t="s">
        <v>350</v>
      </c>
      <c r="G156" s="7">
        <v>2013</v>
      </c>
      <c r="H156" s="8">
        <v>41321</v>
      </c>
      <c r="I156" s="7" t="s">
        <v>32</v>
      </c>
      <c r="J156" s="7" t="s">
        <v>32</v>
      </c>
      <c r="K156" s="7" t="s">
        <v>351</v>
      </c>
      <c r="L156" s="7">
        <v>1</v>
      </c>
      <c r="M156" s="7" t="s">
        <v>32</v>
      </c>
      <c r="N156" s="7" t="s">
        <v>34</v>
      </c>
      <c r="O156" s="7" t="s">
        <v>34</v>
      </c>
      <c r="P156" s="7" t="s">
        <v>34</v>
      </c>
      <c r="Q156" s="7" t="s">
        <v>34</v>
      </c>
      <c r="R156" s="7" t="s">
        <v>34</v>
      </c>
      <c r="S156" s="7" t="s">
        <v>34</v>
      </c>
      <c r="T156" s="7" t="s">
        <v>34</v>
      </c>
      <c r="U156" s="7" t="s">
        <v>32</v>
      </c>
      <c r="V156" s="7">
        <v>1</v>
      </c>
      <c r="W156" s="7" t="s">
        <v>32</v>
      </c>
      <c r="X156" s="7" t="s">
        <v>32</v>
      </c>
      <c r="Y156" s="7" t="s">
        <v>32</v>
      </c>
      <c r="Z156" s="7" t="s">
        <v>32</v>
      </c>
      <c r="AA156" s="7">
        <v>23412330</v>
      </c>
      <c r="AB156" s="7">
        <v>1</v>
      </c>
      <c r="AC156" s="7"/>
      <c r="AD156" s="7">
        <v>3</v>
      </c>
      <c r="AE156" s="7">
        <f>AF156+AG156</f>
        <v>18</v>
      </c>
      <c r="AF156" s="7">
        <v>11</v>
      </c>
      <c r="AG156" s="7">
        <v>7</v>
      </c>
      <c r="AH156" s="7" t="s">
        <v>2845</v>
      </c>
      <c r="AI156" s="7" t="s">
        <v>1642</v>
      </c>
      <c r="AJ156" s="7">
        <v>39</v>
      </c>
      <c r="AK156" s="7">
        <v>12.1</v>
      </c>
      <c r="AL156" s="7">
        <v>46.1</v>
      </c>
      <c r="AM156" s="7">
        <v>5.8</v>
      </c>
      <c r="AN156" s="7" t="s">
        <v>3188</v>
      </c>
      <c r="AO156" s="7" t="s">
        <v>1770</v>
      </c>
      <c r="AP156" s="7" t="s">
        <v>3187</v>
      </c>
      <c r="AQ156" s="7" t="s">
        <v>3186</v>
      </c>
      <c r="AR156" s="7" t="s">
        <v>1646</v>
      </c>
      <c r="AS156" s="7" t="s">
        <v>3113</v>
      </c>
      <c r="AT156" s="7" t="s">
        <v>1646</v>
      </c>
      <c r="AU156" s="7" t="s">
        <v>3193</v>
      </c>
      <c r="AV156" s="7" t="s">
        <v>2907</v>
      </c>
      <c r="AW156" s="7">
        <v>26</v>
      </c>
      <c r="AX156" s="7">
        <v>26</v>
      </c>
      <c r="AY156" s="7" t="s">
        <v>3190</v>
      </c>
      <c r="AZ156" s="7">
        <v>-1.1000000000000001</v>
      </c>
      <c r="BA156" s="77">
        <v>1.02</v>
      </c>
      <c r="BB156" s="7"/>
      <c r="BC156" s="7" t="s">
        <v>3190</v>
      </c>
      <c r="BD156" s="7">
        <v>-0.2</v>
      </c>
      <c r="BE156" s="77">
        <v>1</v>
      </c>
      <c r="BF156" s="7"/>
    </row>
    <row r="157" spans="1:59" x14ac:dyDescent="0.2">
      <c r="A157" s="7">
        <v>46</v>
      </c>
      <c r="B157" s="7" t="s">
        <v>346</v>
      </c>
      <c r="C157" s="7" t="s">
        <v>347</v>
      </c>
      <c r="D157" s="7" t="s">
        <v>348</v>
      </c>
      <c r="E157" s="7" t="s">
        <v>349</v>
      </c>
      <c r="F157" s="7" t="s">
        <v>350</v>
      </c>
      <c r="G157" s="7">
        <v>2013</v>
      </c>
      <c r="H157" s="8">
        <v>41321</v>
      </c>
      <c r="I157" s="7" t="s">
        <v>32</v>
      </c>
      <c r="J157" s="7" t="s">
        <v>32</v>
      </c>
      <c r="K157" s="7" t="s">
        <v>351</v>
      </c>
      <c r="L157" s="7">
        <v>1</v>
      </c>
      <c r="M157" s="7" t="s">
        <v>32</v>
      </c>
      <c r="N157" s="7" t="s">
        <v>34</v>
      </c>
      <c r="O157" s="7" t="s">
        <v>34</v>
      </c>
      <c r="P157" s="7" t="s">
        <v>34</v>
      </c>
      <c r="Q157" s="7" t="s">
        <v>34</v>
      </c>
      <c r="R157" s="7" t="s">
        <v>34</v>
      </c>
      <c r="S157" s="7" t="s">
        <v>34</v>
      </c>
      <c r="T157" s="7" t="s">
        <v>34</v>
      </c>
      <c r="U157" s="7" t="s">
        <v>32</v>
      </c>
      <c r="V157" s="7">
        <v>1</v>
      </c>
      <c r="W157" s="7" t="s">
        <v>32</v>
      </c>
      <c r="X157" s="7" t="s">
        <v>32</v>
      </c>
      <c r="Y157" s="7" t="s">
        <v>32</v>
      </c>
      <c r="Z157" s="7" t="s">
        <v>32</v>
      </c>
      <c r="AA157" s="7">
        <v>23412330</v>
      </c>
      <c r="AB157" s="7">
        <v>1</v>
      </c>
      <c r="AC157" s="7"/>
      <c r="AD157" s="7">
        <v>3</v>
      </c>
      <c r="AE157" s="7">
        <f>AF157+AG157</f>
        <v>18</v>
      </c>
      <c r="AF157" s="7">
        <v>11</v>
      </c>
      <c r="AG157" s="7">
        <v>7</v>
      </c>
      <c r="AH157" s="7" t="s">
        <v>2845</v>
      </c>
      <c r="AI157" s="7" t="s">
        <v>1642</v>
      </c>
      <c r="AJ157" s="7">
        <v>39</v>
      </c>
      <c r="AK157" s="7">
        <v>12.1</v>
      </c>
      <c r="AL157" s="7">
        <v>46.1</v>
      </c>
      <c r="AM157" s="7">
        <v>5.8</v>
      </c>
      <c r="AN157" s="7" t="s">
        <v>3188</v>
      </c>
      <c r="AO157" s="7" t="s">
        <v>1770</v>
      </c>
      <c r="AP157" s="7" t="s">
        <v>3187</v>
      </c>
      <c r="AQ157" s="7" t="s">
        <v>3186</v>
      </c>
      <c r="AR157" s="7" t="s">
        <v>1646</v>
      </c>
      <c r="AS157" s="7" t="s">
        <v>3189</v>
      </c>
      <c r="AT157" s="7" t="s">
        <v>1646</v>
      </c>
      <c r="AU157" s="7" t="s">
        <v>3194</v>
      </c>
      <c r="AV157" s="7" t="s">
        <v>2907</v>
      </c>
      <c r="AW157" s="7">
        <v>26</v>
      </c>
      <c r="AX157" s="7">
        <v>26</v>
      </c>
      <c r="AY157" s="7" t="s">
        <v>3191</v>
      </c>
      <c r="AZ157" s="7">
        <v>37.700000000000003</v>
      </c>
      <c r="BA157" s="77">
        <v>12.6</v>
      </c>
      <c r="BB157" s="7"/>
      <c r="BC157" s="7" t="s">
        <v>3191</v>
      </c>
      <c r="BD157" s="7">
        <v>55.4</v>
      </c>
      <c r="BE157" s="77">
        <v>7.6</v>
      </c>
      <c r="BF157" s="7"/>
    </row>
    <row r="158" spans="1:59" x14ac:dyDescent="0.2">
      <c r="A158" s="7">
        <v>46</v>
      </c>
      <c r="B158" s="7" t="s">
        <v>346</v>
      </c>
      <c r="C158" s="7" t="s">
        <v>347</v>
      </c>
      <c r="D158" s="7" t="s">
        <v>348</v>
      </c>
      <c r="E158" s="7" t="s">
        <v>349</v>
      </c>
      <c r="F158" s="7" t="s">
        <v>350</v>
      </c>
      <c r="G158" s="7">
        <v>2013</v>
      </c>
      <c r="H158" s="8">
        <v>41321</v>
      </c>
      <c r="I158" s="7" t="s">
        <v>32</v>
      </c>
      <c r="J158" s="7" t="s">
        <v>32</v>
      </c>
      <c r="K158" s="7" t="s">
        <v>351</v>
      </c>
      <c r="L158" s="7">
        <v>1</v>
      </c>
      <c r="M158" s="7" t="s">
        <v>32</v>
      </c>
      <c r="N158" s="7" t="s">
        <v>34</v>
      </c>
      <c r="O158" s="7" t="s">
        <v>34</v>
      </c>
      <c r="P158" s="7" t="s">
        <v>34</v>
      </c>
      <c r="Q158" s="7" t="s">
        <v>34</v>
      </c>
      <c r="R158" s="7" t="s">
        <v>34</v>
      </c>
      <c r="S158" s="7" t="s">
        <v>34</v>
      </c>
      <c r="T158" s="7" t="s">
        <v>34</v>
      </c>
      <c r="U158" s="7" t="s">
        <v>32</v>
      </c>
      <c r="V158" s="7">
        <v>1</v>
      </c>
      <c r="W158" s="7" t="s">
        <v>32</v>
      </c>
      <c r="X158" s="7" t="s">
        <v>32</v>
      </c>
      <c r="Y158" s="7" t="s">
        <v>32</v>
      </c>
      <c r="Z158" s="7" t="s">
        <v>32</v>
      </c>
      <c r="AA158" s="7">
        <v>23412330</v>
      </c>
      <c r="AB158" s="7">
        <v>1</v>
      </c>
      <c r="AC158" s="7"/>
      <c r="AD158" s="7">
        <v>3</v>
      </c>
      <c r="AE158" s="7">
        <f>AF158+AG158</f>
        <v>18</v>
      </c>
      <c r="AF158" s="7">
        <v>11</v>
      </c>
      <c r="AG158" s="7">
        <v>7</v>
      </c>
      <c r="AH158" s="7" t="s">
        <v>2845</v>
      </c>
      <c r="AI158" s="7" t="s">
        <v>1642</v>
      </c>
      <c r="AJ158" s="7">
        <v>39</v>
      </c>
      <c r="AK158" s="7">
        <v>12.1</v>
      </c>
      <c r="AL158" s="7">
        <v>46.1</v>
      </c>
      <c r="AM158" s="7">
        <v>5.8</v>
      </c>
      <c r="AN158" s="7" t="s">
        <v>3188</v>
      </c>
      <c r="AO158" s="7" t="s">
        <v>1770</v>
      </c>
      <c r="AP158" s="7" t="s">
        <v>3187</v>
      </c>
      <c r="AQ158" s="7" t="s">
        <v>3186</v>
      </c>
      <c r="AR158" s="7" t="s">
        <v>1646</v>
      </c>
      <c r="AS158" s="7" t="s">
        <v>3189</v>
      </c>
      <c r="AT158" s="7" t="s">
        <v>1646</v>
      </c>
      <c r="AU158" s="7" t="s">
        <v>2969</v>
      </c>
      <c r="AV158" s="7" t="s">
        <v>2907</v>
      </c>
      <c r="AW158" s="7">
        <v>26</v>
      </c>
      <c r="AX158" s="7">
        <v>26</v>
      </c>
      <c r="AY158" s="7" t="s">
        <v>3192</v>
      </c>
      <c r="AZ158" s="7">
        <v>35.4</v>
      </c>
      <c r="BA158" s="77">
        <v>13</v>
      </c>
      <c r="BB158" s="7"/>
      <c r="BC158" s="7" t="s">
        <v>3192</v>
      </c>
      <c r="BD158" s="7">
        <v>55.3</v>
      </c>
      <c r="BE158" s="77">
        <v>4.5999999999999996</v>
      </c>
      <c r="BF158" s="7"/>
    </row>
    <row r="159" spans="1:59" s="65" customFormat="1" x14ac:dyDescent="0.2">
      <c r="A159" s="20">
        <v>47</v>
      </c>
      <c r="B159" s="20" t="s">
        <v>352</v>
      </c>
      <c r="C159" s="20" t="s">
        <v>353</v>
      </c>
      <c r="D159" s="20" t="s">
        <v>354</v>
      </c>
      <c r="E159" s="20" t="s">
        <v>355</v>
      </c>
      <c r="F159" s="20" t="s">
        <v>356</v>
      </c>
      <c r="G159" s="20">
        <v>2012</v>
      </c>
      <c r="H159" s="64">
        <v>41215</v>
      </c>
      <c r="I159" s="20" t="s">
        <v>32</v>
      </c>
      <c r="J159" s="20" t="s">
        <v>32</v>
      </c>
      <c r="K159" s="20" t="s">
        <v>32</v>
      </c>
      <c r="L159" s="20">
        <v>1</v>
      </c>
      <c r="M159" s="20" t="s">
        <v>32</v>
      </c>
      <c r="N159" s="20" t="s">
        <v>34</v>
      </c>
      <c r="O159" s="20" t="s">
        <v>34</v>
      </c>
      <c r="P159" s="20" t="s">
        <v>34</v>
      </c>
      <c r="Q159" s="20" t="s">
        <v>34</v>
      </c>
      <c r="R159" s="20" t="s">
        <v>34</v>
      </c>
      <c r="S159" s="20" t="s">
        <v>34</v>
      </c>
      <c r="T159" s="20" t="s">
        <v>34</v>
      </c>
      <c r="U159" s="20" t="s">
        <v>32</v>
      </c>
      <c r="V159" s="20">
        <v>1</v>
      </c>
      <c r="W159" s="20" t="s">
        <v>32</v>
      </c>
      <c r="X159" s="20" t="s">
        <v>32</v>
      </c>
      <c r="Y159" s="20" t="s">
        <v>32</v>
      </c>
      <c r="Z159" s="20" t="s">
        <v>32</v>
      </c>
      <c r="AA159" s="20">
        <v>23114820</v>
      </c>
      <c r="AB159" s="20">
        <v>0</v>
      </c>
      <c r="AC159" s="20" t="s">
        <v>3195</v>
      </c>
      <c r="AD159" s="20"/>
      <c r="AE159" s="20">
        <f t="shared" si="3"/>
        <v>0</v>
      </c>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row>
    <row r="160" spans="1:59" s="65" customFormat="1" x14ac:dyDescent="0.2">
      <c r="A160" s="20">
        <v>48</v>
      </c>
      <c r="B160" s="20" t="s">
        <v>357</v>
      </c>
      <c r="C160" s="20" t="s">
        <v>358</v>
      </c>
      <c r="D160" s="20" t="s">
        <v>359</v>
      </c>
      <c r="E160" s="20" t="s">
        <v>360</v>
      </c>
      <c r="F160" s="20" t="s">
        <v>361</v>
      </c>
      <c r="G160" s="20">
        <v>2012</v>
      </c>
      <c r="H160" s="64">
        <v>41193</v>
      </c>
      <c r="I160" s="20" t="s">
        <v>362</v>
      </c>
      <c r="J160" s="20" t="s">
        <v>32</v>
      </c>
      <c r="K160" s="20" t="s">
        <v>363</v>
      </c>
      <c r="L160" s="20">
        <v>1</v>
      </c>
      <c r="M160" s="20" t="s">
        <v>32</v>
      </c>
      <c r="N160" s="20" t="s">
        <v>34</v>
      </c>
      <c r="O160" s="20" t="s">
        <v>34</v>
      </c>
      <c r="P160" s="20" t="s">
        <v>34</v>
      </c>
      <c r="Q160" s="20" t="s">
        <v>34</v>
      </c>
      <c r="R160" s="20" t="s">
        <v>34</v>
      </c>
      <c r="S160" s="20" t="s">
        <v>34</v>
      </c>
      <c r="T160" s="20" t="s">
        <v>34</v>
      </c>
      <c r="U160" s="20" t="s">
        <v>32</v>
      </c>
      <c r="V160" s="20">
        <v>1</v>
      </c>
      <c r="W160" s="20" t="s">
        <v>32</v>
      </c>
      <c r="X160" s="20" t="s">
        <v>32</v>
      </c>
      <c r="Y160" s="20" t="s">
        <v>32</v>
      </c>
      <c r="Z160" s="20" t="s">
        <v>32</v>
      </c>
      <c r="AA160" s="20">
        <v>23050070</v>
      </c>
      <c r="AB160" s="20">
        <v>0</v>
      </c>
      <c r="AC160" s="20" t="s">
        <v>3196</v>
      </c>
      <c r="AD160" s="20"/>
      <c r="AE160" s="20">
        <f t="shared" si="3"/>
        <v>0</v>
      </c>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t="s">
        <v>3196</v>
      </c>
    </row>
    <row r="161" spans="1:60" x14ac:dyDescent="0.2">
      <c r="A161" s="7">
        <v>49</v>
      </c>
      <c r="B161" s="7" t="s">
        <v>364</v>
      </c>
      <c r="C161" s="7" t="s">
        <v>365</v>
      </c>
      <c r="D161" s="7" t="s">
        <v>366</v>
      </c>
      <c r="E161" s="7" t="s">
        <v>367</v>
      </c>
      <c r="F161" s="7" t="s">
        <v>39</v>
      </c>
      <c r="G161" s="7">
        <v>2012</v>
      </c>
      <c r="H161" s="8">
        <v>41030</v>
      </c>
      <c r="I161" s="7" t="s">
        <v>32</v>
      </c>
      <c r="J161" s="7" t="s">
        <v>32</v>
      </c>
      <c r="K161" s="7" t="s">
        <v>368</v>
      </c>
      <c r="L161" s="7">
        <v>1</v>
      </c>
      <c r="M161" s="7" t="s">
        <v>32</v>
      </c>
      <c r="N161" s="7" t="s">
        <v>34</v>
      </c>
      <c r="O161" s="7" t="s">
        <v>34</v>
      </c>
      <c r="P161" s="7" t="s">
        <v>34</v>
      </c>
      <c r="Q161" s="7" t="s">
        <v>34</v>
      </c>
      <c r="R161" s="7" t="s">
        <v>34</v>
      </c>
      <c r="S161" s="7" t="s">
        <v>34</v>
      </c>
      <c r="T161" s="7" t="s">
        <v>34</v>
      </c>
      <c r="U161" s="7" t="s">
        <v>32</v>
      </c>
      <c r="V161" s="7">
        <v>1</v>
      </c>
      <c r="W161" s="7" t="s">
        <v>32</v>
      </c>
      <c r="X161" s="7" t="s">
        <v>32</v>
      </c>
      <c r="Y161" s="7" t="s">
        <v>369</v>
      </c>
      <c r="Z161" s="7" t="s">
        <v>32</v>
      </c>
      <c r="AA161" s="7">
        <v>22542534</v>
      </c>
      <c r="AB161" s="7">
        <v>1</v>
      </c>
      <c r="AC161" s="7"/>
      <c r="AD161" s="7">
        <v>2</v>
      </c>
      <c r="AE161" s="7">
        <f t="shared" si="3"/>
        <v>50</v>
      </c>
      <c r="AF161" s="7">
        <v>25</v>
      </c>
      <c r="AG161" s="7">
        <v>25</v>
      </c>
      <c r="AH161" s="7" t="s">
        <v>1642</v>
      </c>
      <c r="AI161" s="7" t="s">
        <v>1642</v>
      </c>
      <c r="AJ161" s="7">
        <v>42</v>
      </c>
      <c r="AK161" s="7">
        <v>4.66</v>
      </c>
      <c r="AL161" s="7">
        <v>42.28</v>
      </c>
      <c r="AM161" s="7">
        <v>4.6100000000000003</v>
      </c>
      <c r="AN161" s="7" t="s">
        <v>2902</v>
      </c>
      <c r="AO161" s="7" t="s">
        <v>1770</v>
      </c>
      <c r="AP161" s="7" t="s">
        <v>3197</v>
      </c>
      <c r="AQ161" s="7" t="s">
        <v>3140</v>
      </c>
      <c r="AR161" s="7" t="s">
        <v>1646</v>
      </c>
      <c r="AS161" s="7" t="s">
        <v>3143</v>
      </c>
      <c r="AT161" s="7" t="s">
        <v>1646</v>
      </c>
      <c r="AU161" s="7" t="s">
        <v>2940</v>
      </c>
      <c r="AV161" s="7" t="s">
        <v>2907</v>
      </c>
      <c r="AW161" s="7">
        <v>27</v>
      </c>
      <c r="AX161" s="7">
        <v>27</v>
      </c>
      <c r="AY161" s="7" t="s">
        <v>2941</v>
      </c>
      <c r="AZ161" s="7">
        <v>1.64</v>
      </c>
      <c r="BA161" s="7">
        <v>0.99</v>
      </c>
      <c r="BB161" s="7"/>
      <c r="BC161" s="7" t="s">
        <v>3198</v>
      </c>
      <c r="BD161" s="7">
        <v>6.2</v>
      </c>
      <c r="BE161" s="74">
        <v>1</v>
      </c>
      <c r="BF161" s="7"/>
    </row>
    <row r="162" spans="1:60" x14ac:dyDescent="0.2">
      <c r="A162" s="7">
        <v>49</v>
      </c>
      <c r="B162" s="7" t="s">
        <v>364</v>
      </c>
      <c r="C162" s="7" t="s">
        <v>365</v>
      </c>
      <c r="D162" s="7" t="s">
        <v>366</v>
      </c>
      <c r="E162" s="7" t="s">
        <v>367</v>
      </c>
      <c r="F162" s="7" t="s">
        <v>39</v>
      </c>
      <c r="G162" s="7">
        <v>2012</v>
      </c>
      <c r="H162" s="8">
        <v>41030</v>
      </c>
      <c r="I162" s="7" t="s">
        <v>32</v>
      </c>
      <c r="J162" s="7" t="s">
        <v>32</v>
      </c>
      <c r="K162" s="7" t="s">
        <v>368</v>
      </c>
      <c r="L162" s="7">
        <v>1</v>
      </c>
      <c r="M162" s="7" t="s">
        <v>32</v>
      </c>
      <c r="N162" s="7" t="s">
        <v>34</v>
      </c>
      <c r="O162" s="7" t="s">
        <v>34</v>
      </c>
      <c r="P162" s="7" t="s">
        <v>34</v>
      </c>
      <c r="Q162" s="7" t="s">
        <v>34</v>
      </c>
      <c r="R162" s="7" t="s">
        <v>34</v>
      </c>
      <c r="S162" s="7" t="s">
        <v>34</v>
      </c>
      <c r="T162" s="7" t="s">
        <v>34</v>
      </c>
      <c r="U162" s="7" t="s">
        <v>32</v>
      </c>
      <c r="V162" s="7">
        <v>1</v>
      </c>
      <c r="W162" s="7" t="s">
        <v>32</v>
      </c>
      <c r="X162" s="7" t="s">
        <v>32</v>
      </c>
      <c r="Y162" s="7" t="s">
        <v>369</v>
      </c>
      <c r="Z162" s="7" t="s">
        <v>32</v>
      </c>
      <c r="AA162" s="7">
        <v>22542534</v>
      </c>
      <c r="AB162" s="7">
        <v>1</v>
      </c>
      <c r="AC162" s="7"/>
      <c r="AD162" s="7">
        <v>2</v>
      </c>
      <c r="AE162" s="7">
        <f t="shared" ref="AE162:AE174" si="6">AF162+AG162</f>
        <v>50</v>
      </c>
      <c r="AF162" s="7">
        <v>25</v>
      </c>
      <c r="AG162" s="7">
        <v>25</v>
      </c>
      <c r="AH162" s="7" t="s">
        <v>1642</v>
      </c>
      <c r="AI162" s="7" t="s">
        <v>1642</v>
      </c>
      <c r="AJ162" s="7">
        <v>42</v>
      </c>
      <c r="AK162" s="7">
        <v>4.66</v>
      </c>
      <c r="AL162" s="7">
        <v>43</v>
      </c>
      <c r="AM162" s="7">
        <v>4.4400000000000004</v>
      </c>
      <c r="AN162" s="7" t="s">
        <v>2902</v>
      </c>
      <c r="AO162" s="7" t="s">
        <v>1638</v>
      </c>
      <c r="AP162" s="7" t="s">
        <v>3197</v>
      </c>
      <c r="AQ162" s="7" t="s">
        <v>3140</v>
      </c>
      <c r="AR162" s="7" t="s">
        <v>1646</v>
      </c>
      <c r="AS162" s="7" t="s">
        <v>3143</v>
      </c>
      <c r="AT162" s="7" t="s">
        <v>1646</v>
      </c>
      <c r="AU162" s="7" t="s">
        <v>2940</v>
      </c>
      <c r="AV162" s="7" t="s">
        <v>2848</v>
      </c>
      <c r="AW162" s="7">
        <v>27</v>
      </c>
      <c r="AX162" s="7">
        <v>28</v>
      </c>
      <c r="AY162" s="7" t="s">
        <v>2941</v>
      </c>
      <c r="AZ162" s="7">
        <v>1.64</v>
      </c>
      <c r="BA162" s="7">
        <v>0.99</v>
      </c>
      <c r="BB162" s="7"/>
      <c r="BC162" s="7" t="s">
        <v>2942</v>
      </c>
      <c r="BD162" s="7">
        <v>8.24</v>
      </c>
      <c r="BE162" s="74">
        <v>1.2</v>
      </c>
      <c r="BF162" s="7"/>
    </row>
    <row r="163" spans="1:60" s="56" customFormat="1" x14ac:dyDescent="0.2">
      <c r="A163" s="21">
        <v>50</v>
      </c>
      <c r="B163" s="21" t="s">
        <v>370</v>
      </c>
      <c r="C163" s="21" t="s">
        <v>371</v>
      </c>
      <c r="D163" s="21" t="s">
        <v>372</v>
      </c>
      <c r="E163" s="21" t="s">
        <v>373</v>
      </c>
      <c r="F163" s="21" t="s">
        <v>329</v>
      </c>
      <c r="G163" s="21">
        <v>2012</v>
      </c>
      <c r="H163" s="70">
        <v>40935</v>
      </c>
      <c r="I163" s="21" t="s">
        <v>32</v>
      </c>
      <c r="J163" s="21" t="s">
        <v>32</v>
      </c>
      <c r="K163" s="21" t="s">
        <v>374</v>
      </c>
      <c r="L163" s="21">
        <v>1</v>
      </c>
      <c r="M163" s="21" t="s">
        <v>32</v>
      </c>
      <c r="N163" s="21" t="s">
        <v>34</v>
      </c>
      <c r="O163" s="21" t="s">
        <v>34</v>
      </c>
      <c r="P163" s="21" t="s">
        <v>34</v>
      </c>
      <c r="Q163" s="21" t="s">
        <v>34</v>
      </c>
      <c r="R163" s="21" t="s">
        <v>34</v>
      </c>
      <c r="S163" s="21" t="s">
        <v>34</v>
      </c>
      <c r="T163" s="21" t="s">
        <v>34</v>
      </c>
      <c r="U163" s="21" t="s">
        <v>32</v>
      </c>
      <c r="V163" s="21">
        <v>1</v>
      </c>
      <c r="W163" s="21" t="s">
        <v>32</v>
      </c>
      <c r="X163" s="21" t="s">
        <v>32</v>
      </c>
      <c r="Y163" s="21" t="s">
        <v>32</v>
      </c>
      <c r="Z163" s="21" t="s">
        <v>32</v>
      </c>
      <c r="AA163" s="21">
        <v>22278745</v>
      </c>
      <c r="AB163" s="21">
        <v>1</v>
      </c>
      <c r="AC163" s="21"/>
      <c r="AD163" s="21">
        <v>3</v>
      </c>
      <c r="AE163" s="21">
        <f t="shared" si="6"/>
        <v>30</v>
      </c>
      <c r="AF163" s="21">
        <v>15</v>
      </c>
      <c r="AG163" s="21">
        <v>15</v>
      </c>
      <c r="AH163" s="21" t="s">
        <v>2845</v>
      </c>
      <c r="AI163" s="21" t="s">
        <v>2845</v>
      </c>
      <c r="AJ163" s="21">
        <v>24.6</v>
      </c>
      <c r="AK163" s="21">
        <v>8.3000000000000007</v>
      </c>
      <c r="AL163" s="21">
        <v>26.9</v>
      </c>
      <c r="AM163" s="21">
        <v>9.5</v>
      </c>
      <c r="AN163" s="21" t="s">
        <v>3224</v>
      </c>
      <c r="AO163" s="21" t="s">
        <v>1638</v>
      </c>
      <c r="AP163" s="21" t="s">
        <v>2846</v>
      </c>
      <c r="AQ163" s="21" t="s">
        <v>3083</v>
      </c>
      <c r="AR163" s="21" t="s">
        <v>1646</v>
      </c>
      <c r="AS163" s="21" t="s">
        <v>3575</v>
      </c>
      <c r="AT163" s="21" t="s">
        <v>1646</v>
      </c>
      <c r="AU163" s="21" t="s">
        <v>3576</v>
      </c>
      <c r="AV163" s="21" t="s">
        <v>2848</v>
      </c>
      <c r="AW163" s="21">
        <v>28</v>
      </c>
      <c r="AX163" s="21">
        <v>29</v>
      </c>
      <c r="AY163" s="21" t="s">
        <v>3584</v>
      </c>
      <c r="AZ163" s="21">
        <v>0.76</v>
      </c>
      <c r="BA163" s="21">
        <v>0.21</v>
      </c>
      <c r="BB163" s="21"/>
      <c r="BC163" s="21" t="s">
        <v>3596</v>
      </c>
      <c r="BD163" s="56">
        <v>0.48</v>
      </c>
      <c r="BE163" s="56">
        <v>0.31</v>
      </c>
      <c r="BF163" s="21"/>
      <c r="BG163" s="56" t="s">
        <v>3608</v>
      </c>
      <c r="BH163" s="84"/>
    </row>
    <row r="164" spans="1:60" s="56" customFormat="1" x14ac:dyDescent="0.2">
      <c r="A164" s="21">
        <v>50</v>
      </c>
      <c r="B164" s="21" t="s">
        <v>370</v>
      </c>
      <c r="C164" s="21" t="s">
        <v>371</v>
      </c>
      <c r="D164" s="21" t="s">
        <v>372</v>
      </c>
      <c r="E164" s="21" t="s">
        <v>373</v>
      </c>
      <c r="F164" s="21" t="s">
        <v>329</v>
      </c>
      <c r="G164" s="21">
        <v>2012</v>
      </c>
      <c r="H164" s="70">
        <v>40935</v>
      </c>
      <c r="I164" s="21" t="s">
        <v>32</v>
      </c>
      <c r="J164" s="21" t="s">
        <v>32</v>
      </c>
      <c r="K164" s="21" t="s">
        <v>374</v>
      </c>
      <c r="L164" s="21">
        <v>1</v>
      </c>
      <c r="M164" s="21" t="s">
        <v>32</v>
      </c>
      <c r="N164" s="21" t="s">
        <v>34</v>
      </c>
      <c r="O164" s="21" t="s">
        <v>34</v>
      </c>
      <c r="P164" s="21" t="s">
        <v>34</v>
      </c>
      <c r="Q164" s="21" t="s">
        <v>34</v>
      </c>
      <c r="R164" s="21" t="s">
        <v>34</v>
      </c>
      <c r="S164" s="21" t="s">
        <v>34</v>
      </c>
      <c r="T164" s="21" t="s">
        <v>34</v>
      </c>
      <c r="U164" s="21" t="s">
        <v>32</v>
      </c>
      <c r="V164" s="21">
        <v>1</v>
      </c>
      <c r="W164" s="21" t="s">
        <v>32</v>
      </c>
      <c r="X164" s="21" t="s">
        <v>32</v>
      </c>
      <c r="Y164" s="21" t="s">
        <v>32</v>
      </c>
      <c r="Z164" s="21" t="s">
        <v>32</v>
      </c>
      <c r="AA164" s="21">
        <v>22278745</v>
      </c>
      <c r="AB164" s="21">
        <v>1</v>
      </c>
      <c r="AC164" s="21"/>
      <c r="AD164" s="21">
        <v>3</v>
      </c>
      <c r="AE164" s="21">
        <f t="shared" si="6"/>
        <v>30</v>
      </c>
      <c r="AF164" s="21">
        <v>15</v>
      </c>
      <c r="AG164" s="21">
        <v>15</v>
      </c>
      <c r="AH164" s="21" t="s">
        <v>2845</v>
      </c>
      <c r="AI164" s="21" t="s">
        <v>2845</v>
      </c>
      <c r="AJ164" s="21">
        <v>24.6</v>
      </c>
      <c r="AK164" s="21">
        <v>8.3000000000000007</v>
      </c>
      <c r="AL164" s="21">
        <v>26.9</v>
      </c>
      <c r="AM164" s="21">
        <v>9.5</v>
      </c>
      <c r="AN164" s="21" t="s">
        <v>3224</v>
      </c>
      <c r="AO164" s="21" t="s">
        <v>1638</v>
      </c>
      <c r="AP164" s="21" t="s">
        <v>2846</v>
      </c>
      <c r="AQ164" s="21" t="s">
        <v>3083</v>
      </c>
      <c r="AR164" s="21" t="s">
        <v>1646</v>
      </c>
      <c r="AS164" s="21" t="s">
        <v>3575</v>
      </c>
      <c r="AT164" s="21" t="s">
        <v>1646</v>
      </c>
      <c r="AU164" s="21" t="s">
        <v>3576</v>
      </c>
      <c r="AV164" s="21" t="s">
        <v>2848</v>
      </c>
      <c r="AW164" s="21">
        <v>28</v>
      </c>
      <c r="AX164" s="21">
        <v>29</v>
      </c>
      <c r="AY164" s="21" t="s">
        <v>3585</v>
      </c>
      <c r="AZ164" s="21">
        <v>0.64</v>
      </c>
      <c r="BA164" s="21">
        <v>0.24</v>
      </c>
      <c r="BB164" s="21"/>
      <c r="BC164" s="21" t="s">
        <v>3597</v>
      </c>
      <c r="BD164" s="56">
        <v>0.56999999999999995</v>
      </c>
      <c r="BE164" s="56">
        <v>0.32</v>
      </c>
      <c r="BF164" s="21"/>
      <c r="BH164" s="84"/>
    </row>
    <row r="165" spans="1:60" s="56" customFormat="1" x14ac:dyDescent="0.2">
      <c r="A165" s="21">
        <v>50</v>
      </c>
      <c r="B165" s="21" t="s">
        <v>370</v>
      </c>
      <c r="C165" s="21" t="s">
        <v>371</v>
      </c>
      <c r="D165" s="21" t="s">
        <v>372</v>
      </c>
      <c r="E165" s="21" t="s">
        <v>373</v>
      </c>
      <c r="F165" s="21" t="s">
        <v>329</v>
      </c>
      <c r="G165" s="21">
        <v>2012</v>
      </c>
      <c r="H165" s="70">
        <v>40935</v>
      </c>
      <c r="I165" s="21" t="s">
        <v>32</v>
      </c>
      <c r="J165" s="21" t="s">
        <v>32</v>
      </c>
      <c r="K165" s="21" t="s">
        <v>374</v>
      </c>
      <c r="L165" s="21">
        <v>1</v>
      </c>
      <c r="M165" s="21" t="s">
        <v>32</v>
      </c>
      <c r="N165" s="21" t="s">
        <v>34</v>
      </c>
      <c r="O165" s="21" t="s">
        <v>34</v>
      </c>
      <c r="P165" s="21" t="s">
        <v>34</v>
      </c>
      <c r="Q165" s="21" t="s">
        <v>34</v>
      </c>
      <c r="R165" s="21" t="s">
        <v>34</v>
      </c>
      <c r="S165" s="21" t="s">
        <v>34</v>
      </c>
      <c r="T165" s="21" t="s">
        <v>34</v>
      </c>
      <c r="U165" s="21" t="s">
        <v>32</v>
      </c>
      <c r="V165" s="21">
        <v>1</v>
      </c>
      <c r="W165" s="21" t="s">
        <v>32</v>
      </c>
      <c r="X165" s="21" t="s">
        <v>32</v>
      </c>
      <c r="Y165" s="21" t="s">
        <v>32</v>
      </c>
      <c r="Z165" s="21" t="s">
        <v>32</v>
      </c>
      <c r="AA165" s="21">
        <v>22278745</v>
      </c>
      <c r="AB165" s="21">
        <v>1</v>
      </c>
      <c r="AC165" s="21"/>
      <c r="AD165" s="21">
        <v>3</v>
      </c>
      <c r="AE165" s="21">
        <f t="shared" si="6"/>
        <v>30</v>
      </c>
      <c r="AF165" s="21">
        <v>15</v>
      </c>
      <c r="AG165" s="21">
        <v>15</v>
      </c>
      <c r="AH165" s="21" t="s">
        <v>2845</v>
      </c>
      <c r="AI165" s="21" t="s">
        <v>2845</v>
      </c>
      <c r="AJ165" s="21">
        <v>24.6</v>
      </c>
      <c r="AK165" s="21">
        <v>8.3000000000000007</v>
      </c>
      <c r="AL165" s="21">
        <v>26.9</v>
      </c>
      <c r="AM165" s="21">
        <v>9.5</v>
      </c>
      <c r="AN165" s="21" t="s">
        <v>3224</v>
      </c>
      <c r="AO165" s="21" t="s">
        <v>1638</v>
      </c>
      <c r="AP165" s="21" t="s">
        <v>2846</v>
      </c>
      <c r="AQ165" s="21" t="s">
        <v>3083</v>
      </c>
      <c r="AR165" s="21" t="s">
        <v>1646</v>
      </c>
      <c r="AS165" s="21" t="s">
        <v>3575</v>
      </c>
      <c r="AT165" s="21" t="s">
        <v>1646</v>
      </c>
      <c r="AU165" s="21" t="s">
        <v>3577</v>
      </c>
      <c r="AV165" s="21" t="s">
        <v>2848</v>
      </c>
      <c r="AW165" s="21">
        <v>28</v>
      </c>
      <c r="AX165" s="21">
        <v>29</v>
      </c>
      <c r="AY165" s="21" t="s">
        <v>3586</v>
      </c>
      <c r="AZ165" s="21">
        <v>0.31</v>
      </c>
      <c r="BA165" s="21">
        <v>13.1</v>
      </c>
      <c r="BB165" s="21"/>
      <c r="BC165" s="21" t="s">
        <v>3598</v>
      </c>
      <c r="BD165" s="56">
        <v>0.47</v>
      </c>
      <c r="BE165" s="56">
        <v>0.32</v>
      </c>
      <c r="BF165" s="21"/>
      <c r="BH165" s="84"/>
    </row>
    <row r="166" spans="1:60" s="56" customFormat="1" x14ac:dyDescent="0.2">
      <c r="A166" s="21">
        <v>50</v>
      </c>
      <c r="B166" s="21" t="s">
        <v>370</v>
      </c>
      <c r="C166" s="21" t="s">
        <v>371</v>
      </c>
      <c r="D166" s="21" t="s">
        <v>372</v>
      </c>
      <c r="E166" s="21" t="s">
        <v>373</v>
      </c>
      <c r="F166" s="21" t="s">
        <v>329</v>
      </c>
      <c r="G166" s="21">
        <v>2012</v>
      </c>
      <c r="H166" s="70">
        <v>40935</v>
      </c>
      <c r="I166" s="21" t="s">
        <v>32</v>
      </c>
      <c r="J166" s="21" t="s">
        <v>32</v>
      </c>
      <c r="K166" s="21" t="s">
        <v>374</v>
      </c>
      <c r="L166" s="21">
        <v>1</v>
      </c>
      <c r="M166" s="21" t="s">
        <v>32</v>
      </c>
      <c r="N166" s="21" t="s">
        <v>34</v>
      </c>
      <c r="O166" s="21" t="s">
        <v>34</v>
      </c>
      <c r="P166" s="21" t="s">
        <v>34</v>
      </c>
      <c r="Q166" s="21" t="s">
        <v>34</v>
      </c>
      <c r="R166" s="21" t="s">
        <v>34</v>
      </c>
      <c r="S166" s="21" t="s">
        <v>34</v>
      </c>
      <c r="T166" s="21" t="s">
        <v>34</v>
      </c>
      <c r="U166" s="21" t="s">
        <v>32</v>
      </c>
      <c r="V166" s="21">
        <v>1</v>
      </c>
      <c r="W166" s="21" t="s">
        <v>32</v>
      </c>
      <c r="X166" s="21" t="s">
        <v>32</v>
      </c>
      <c r="Y166" s="21" t="s">
        <v>32</v>
      </c>
      <c r="Z166" s="21" t="s">
        <v>32</v>
      </c>
      <c r="AA166" s="21">
        <v>22278745</v>
      </c>
      <c r="AB166" s="21">
        <v>1</v>
      </c>
      <c r="AC166" s="21"/>
      <c r="AD166" s="21">
        <v>3</v>
      </c>
      <c r="AE166" s="21">
        <f t="shared" si="6"/>
        <v>30</v>
      </c>
      <c r="AF166" s="21">
        <v>15</v>
      </c>
      <c r="AG166" s="21">
        <v>15</v>
      </c>
      <c r="AH166" s="21" t="s">
        <v>2845</v>
      </c>
      <c r="AI166" s="21" t="s">
        <v>2845</v>
      </c>
      <c r="AJ166" s="21">
        <v>24.6</v>
      </c>
      <c r="AK166" s="21">
        <v>8.3000000000000007</v>
      </c>
      <c r="AL166" s="21">
        <v>26.9</v>
      </c>
      <c r="AM166" s="21">
        <v>9.5</v>
      </c>
      <c r="AN166" s="21" t="s">
        <v>3224</v>
      </c>
      <c r="AO166" s="21" t="s">
        <v>1638</v>
      </c>
      <c r="AP166" s="21" t="s">
        <v>2846</v>
      </c>
      <c r="AQ166" s="21" t="s">
        <v>3083</v>
      </c>
      <c r="AR166" s="21" t="s">
        <v>1646</v>
      </c>
      <c r="AS166" s="21" t="s">
        <v>3575</v>
      </c>
      <c r="AT166" s="21" t="s">
        <v>1646</v>
      </c>
      <c r="AU166" s="21" t="s">
        <v>3580</v>
      </c>
      <c r="AV166" s="21" t="s">
        <v>2848</v>
      </c>
      <c r="AW166" s="21">
        <v>28</v>
      </c>
      <c r="AX166" s="21">
        <v>29</v>
      </c>
      <c r="AY166" s="21" t="s">
        <v>3587</v>
      </c>
      <c r="AZ166" s="21">
        <v>0.22</v>
      </c>
      <c r="BA166" s="21">
        <v>0.2</v>
      </c>
      <c r="BB166" s="21"/>
      <c r="BC166" s="21" t="s">
        <v>3599</v>
      </c>
      <c r="BD166" s="56">
        <v>0.47</v>
      </c>
      <c r="BE166" s="56">
        <v>0.28000000000000003</v>
      </c>
      <c r="BF166" s="21"/>
      <c r="BH166" s="84"/>
    </row>
    <row r="167" spans="1:60" s="56" customFormat="1" x14ac:dyDescent="0.2">
      <c r="A167" s="21">
        <v>50</v>
      </c>
      <c r="B167" s="21" t="s">
        <v>370</v>
      </c>
      <c r="C167" s="21" t="s">
        <v>371</v>
      </c>
      <c r="D167" s="21" t="s">
        <v>372</v>
      </c>
      <c r="E167" s="21" t="s">
        <v>373</v>
      </c>
      <c r="F167" s="21" t="s">
        <v>329</v>
      </c>
      <c r="G167" s="21">
        <v>2012</v>
      </c>
      <c r="H167" s="70">
        <v>40935</v>
      </c>
      <c r="I167" s="21" t="s">
        <v>32</v>
      </c>
      <c r="J167" s="21" t="s">
        <v>32</v>
      </c>
      <c r="K167" s="21" t="s">
        <v>374</v>
      </c>
      <c r="L167" s="21">
        <v>1</v>
      </c>
      <c r="M167" s="21" t="s">
        <v>32</v>
      </c>
      <c r="N167" s="21" t="s">
        <v>34</v>
      </c>
      <c r="O167" s="21" t="s">
        <v>34</v>
      </c>
      <c r="P167" s="21" t="s">
        <v>34</v>
      </c>
      <c r="Q167" s="21" t="s">
        <v>34</v>
      </c>
      <c r="R167" s="21" t="s">
        <v>34</v>
      </c>
      <c r="S167" s="21" t="s">
        <v>34</v>
      </c>
      <c r="T167" s="21" t="s">
        <v>34</v>
      </c>
      <c r="U167" s="21" t="s">
        <v>32</v>
      </c>
      <c r="V167" s="21">
        <v>1</v>
      </c>
      <c r="W167" s="21" t="s">
        <v>32</v>
      </c>
      <c r="X167" s="21" t="s">
        <v>32</v>
      </c>
      <c r="Y167" s="21" t="s">
        <v>32</v>
      </c>
      <c r="Z167" s="21" t="s">
        <v>32</v>
      </c>
      <c r="AA167" s="21">
        <v>22278745</v>
      </c>
      <c r="AB167" s="21">
        <v>1</v>
      </c>
      <c r="AC167" s="21"/>
      <c r="AD167" s="21">
        <v>3</v>
      </c>
      <c r="AE167" s="21">
        <f t="shared" si="6"/>
        <v>30</v>
      </c>
      <c r="AF167" s="21">
        <v>15</v>
      </c>
      <c r="AG167" s="21">
        <v>15</v>
      </c>
      <c r="AH167" s="21" t="s">
        <v>2845</v>
      </c>
      <c r="AI167" s="21" t="s">
        <v>2845</v>
      </c>
      <c r="AJ167" s="21">
        <v>24.6</v>
      </c>
      <c r="AK167" s="21">
        <v>8.3000000000000007</v>
      </c>
      <c r="AL167" s="21">
        <v>26.9</v>
      </c>
      <c r="AM167" s="21">
        <v>9.5</v>
      </c>
      <c r="AN167" s="21" t="s">
        <v>3224</v>
      </c>
      <c r="AO167" s="21" t="s">
        <v>1638</v>
      </c>
      <c r="AP167" s="21" t="s">
        <v>2846</v>
      </c>
      <c r="AQ167" s="21" t="s">
        <v>3083</v>
      </c>
      <c r="AR167" s="21" t="s">
        <v>1646</v>
      </c>
      <c r="AS167" s="21" t="s">
        <v>3575</v>
      </c>
      <c r="AT167" s="21" t="s">
        <v>1646</v>
      </c>
      <c r="AU167" s="21" t="s">
        <v>3580</v>
      </c>
      <c r="AV167" s="21" t="s">
        <v>2848</v>
      </c>
      <c r="AW167" s="21">
        <v>28</v>
      </c>
      <c r="AX167" s="21">
        <v>29</v>
      </c>
      <c r="AY167" s="21" t="s">
        <v>3588</v>
      </c>
      <c r="AZ167" s="21">
        <v>0.34</v>
      </c>
      <c r="BA167" s="21">
        <v>0.24</v>
      </c>
      <c r="BB167" s="21"/>
      <c r="BC167" s="21" t="s">
        <v>3600</v>
      </c>
      <c r="BD167" s="56">
        <v>0.41</v>
      </c>
      <c r="BE167" s="56">
        <v>0.31</v>
      </c>
      <c r="BF167" s="21"/>
      <c r="BH167" s="84"/>
    </row>
    <row r="168" spans="1:60" s="56" customFormat="1" x14ac:dyDescent="0.2">
      <c r="A168" s="21">
        <v>50</v>
      </c>
      <c r="B168" s="21" t="s">
        <v>370</v>
      </c>
      <c r="C168" s="21" t="s">
        <v>371</v>
      </c>
      <c r="D168" s="21" t="s">
        <v>372</v>
      </c>
      <c r="E168" s="21" t="s">
        <v>373</v>
      </c>
      <c r="F168" s="21" t="s">
        <v>329</v>
      </c>
      <c r="G168" s="21">
        <v>2012</v>
      </c>
      <c r="H168" s="70">
        <v>40935</v>
      </c>
      <c r="I168" s="21" t="s">
        <v>32</v>
      </c>
      <c r="J168" s="21" t="s">
        <v>32</v>
      </c>
      <c r="K168" s="21" t="s">
        <v>374</v>
      </c>
      <c r="L168" s="21">
        <v>1</v>
      </c>
      <c r="M168" s="21" t="s">
        <v>32</v>
      </c>
      <c r="N168" s="21" t="s">
        <v>34</v>
      </c>
      <c r="O168" s="21" t="s">
        <v>34</v>
      </c>
      <c r="P168" s="21" t="s">
        <v>34</v>
      </c>
      <c r="Q168" s="21" t="s">
        <v>34</v>
      </c>
      <c r="R168" s="21" t="s">
        <v>34</v>
      </c>
      <c r="S168" s="21" t="s">
        <v>34</v>
      </c>
      <c r="T168" s="21" t="s">
        <v>34</v>
      </c>
      <c r="U168" s="21" t="s">
        <v>32</v>
      </c>
      <c r="V168" s="21">
        <v>1</v>
      </c>
      <c r="W168" s="21" t="s">
        <v>32</v>
      </c>
      <c r="X168" s="21" t="s">
        <v>32</v>
      </c>
      <c r="Y168" s="21" t="s">
        <v>32</v>
      </c>
      <c r="Z168" s="21" t="s">
        <v>32</v>
      </c>
      <c r="AA168" s="21">
        <v>22278745</v>
      </c>
      <c r="AB168" s="21">
        <v>1</v>
      </c>
      <c r="AC168" s="21"/>
      <c r="AD168" s="21">
        <v>3</v>
      </c>
      <c r="AE168" s="21">
        <f t="shared" si="6"/>
        <v>30</v>
      </c>
      <c r="AF168" s="21">
        <v>15</v>
      </c>
      <c r="AG168" s="21">
        <v>15</v>
      </c>
      <c r="AH168" s="21" t="s">
        <v>2845</v>
      </c>
      <c r="AI168" s="21" t="s">
        <v>2845</v>
      </c>
      <c r="AJ168" s="21">
        <v>24.6</v>
      </c>
      <c r="AK168" s="21">
        <v>8.3000000000000007</v>
      </c>
      <c r="AL168" s="21">
        <v>26.9</v>
      </c>
      <c r="AM168" s="21">
        <v>9.5</v>
      </c>
      <c r="AN168" s="21" t="s">
        <v>3224</v>
      </c>
      <c r="AO168" s="21" t="s">
        <v>1638</v>
      </c>
      <c r="AP168" s="21" t="s">
        <v>2846</v>
      </c>
      <c r="AQ168" s="21" t="s">
        <v>3083</v>
      </c>
      <c r="AR168" s="21" t="s">
        <v>1646</v>
      </c>
      <c r="AS168" s="21" t="s">
        <v>3575</v>
      </c>
      <c r="AT168" s="21" t="s">
        <v>1646</v>
      </c>
      <c r="AU168" s="21" t="s">
        <v>3581</v>
      </c>
      <c r="AV168" s="21" t="s">
        <v>2848</v>
      </c>
      <c r="AW168" s="21">
        <v>28</v>
      </c>
      <c r="AX168" s="21">
        <v>29</v>
      </c>
      <c r="AY168" s="21" t="s">
        <v>3589</v>
      </c>
      <c r="AZ168" s="21">
        <v>0.62</v>
      </c>
      <c r="BA168" s="21">
        <v>0.16</v>
      </c>
      <c r="BB168" s="21"/>
      <c r="BC168" s="21" t="s">
        <v>3601</v>
      </c>
      <c r="BD168" s="56">
        <v>0.46</v>
      </c>
      <c r="BE168" s="56">
        <v>0.28999999999999998</v>
      </c>
      <c r="BF168" s="21"/>
      <c r="BH168" s="84"/>
    </row>
    <row r="169" spans="1:60" s="56" customFormat="1" x14ac:dyDescent="0.2">
      <c r="A169" s="21">
        <v>50</v>
      </c>
      <c r="B169" s="21" t="s">
        <v>370</v>
      </c>
      <c r="C169" s="21" t="s">
        <v>371</v>
      </c>
      <c r="D169" s="21" t="s">
        <v>372</v>
      </c>
      <c r="E169" s="21" t="s">
        <v>373</v>
      </c>
      <c r="F169" s="21" t="s">
        <v>329</v>
      </c>
      <c r="G169" s="21">
        <v>2012</v>
      </c>
      <c r="H169" s="70">
        <v>40935</v>
      </c>
      <c r="I169" s="21" t="s">
        <v>32</v>
      </c>
      <c r="J169" s="21" t="s">
        <v>32</v>
      </c>
      <c r="K169" s="21" t="s">
        <v>374</v>
      </c>
      <c r="L169" s="21">
        <v>1</v>
      </c>
      <c r="M169" s="21" t="s">
        <v>32</v>
      </c>
      <c r="N169" s="21" t="s">
        <v>34</v>
      </c>
      <c r="O169" s="21" t="s">
        <v>34</v>
      </c>
      <c r="P169" s="21" t="s">
        <v>34</v>
      </c>
      <c r="Q169" s="21" t="s">
        <v>34</v>
      </c>
      <c r="R169" s="21" t="s">
        <v>34</v>
      </c>
      <c r="S169" s="21" t="s">
        <v>34</v>
      </c>
      <c r="T169" s="21" t="s">
        <v>34</v>
      </c>
      <c r="U169" s="21" t="s">
        <v>32</v>
      </c>
      <c r="V169" s="21">
        <v>1</v>
      </c>
      <c r="W169" s="21" t="s">
        <v>32</v>
      </c>
      <c r="X169" s="21" t="s">
        <v>32</v>
      </c>
      <c r="Y169" s="21" t="s">
        <v>32</v>
      </c>
      <c r="Z169" s="21" t="s">
        <v>32</v>
      </c>
      <c r="AA169" s="21">
        <v>22278745</v>
      </c>
      <c r="AB169" s="21">
        <v>1</v>
      </c>
      <c r="AC169" s="21"/>
      <c r="AD169" s="21">
        <v>3</v>
      </c>
      <c r="AE169" s="21">
        <f t="shared" si="6"/>
        <v>30</v>
      </c>
      <c r="AF169" s="21">
        <v>15</v>
      </c>
      <c r="AG169" s="21">
        <v>15</v>
      </c>
      <c r="AH169" s="21" t="s">
        <v>2845</v>
      </c>
      <c r="AI169" s="21" t="s">
        <v>2845</v>
      </c>
      <c r="AJ169" s="21">
        <v>24.6</v>
      </c>
      <c r="AK169" s="21">
        <v>8.3000000000000007</v>
      </c>
      <c r="AL169" s="21">
        <v>26.9</v>
      </c>
      <c r="AM169" s="21">
        <v>9.5</v>
      </c>
      <c r="AN169" s="21" t="s">
        <v>3224</v>
      </c>
      <c r="AO169" s="21" t="s">
        <v>1638</v>
      </c>
      <c r="AP169" s="21" t="s">
        <v>2846</v>
      </c>
      <c r="AQ169" s="21" t="s">
        <v>3083</v>
      </c>
      <c r="AR169" s="21" t="s">
        <v>1646</v>
      </c>
      <c r="AS169" s="21" t="s">
        <v>3575</v>
      </c>
      <c r="AT169" s="21" t="s">
        <v>1646</v>
      </c>
      <c r="AU169" s="21" t="s">
        <v>3578</v>
      </c>
      <c r="AV169" s="21" t="s">
        <v>2848</v>
      </c>
      <c r="AW169" s="21">
        <v>28</v>
      </c>
      <c r="AX169" s="21">
        <v>29</v>
      </c>
      <c r="AY169" s="21" t="s">
        <v>3590</v>
      </c>
      <c r="AZ169" s="21">
        <v>0.04</v>
      </c>
      <c r="BA169" s="21">
        <v>0.06</v>
      </c>
      <c r="BB169" s="21"/>
      <c r="BC169" s="21" t="s">
        <v>3602</v>
      </c>
      <c r="BD169" s="56">
        <v>0.06</v>
      </c>
      <c r="BE169" s="56">
        <v>0.08</v>
      </c>
      <c r="BF169" s="21"/>
      <c r="BH169" s="84"/>
    </row>
    <row r="170" spans="1:60" s="56" customFormat="1" x14ac:dyDescent="0.2">
      <c r="A170" s="21">
        <v>50</v>
      </c>
      <c r="B170" s="21" t="s">
        <v>370</v>
      </c>
      <c r="C170" s="21" t="s">
        <v>371</v>
      </c>
      <c r="D170" s="21" t="s">
        <v>372</v>
      </c>
      <c r="E170" s="21" t="s">
        <v>373</v>
      </c>
      <c r="F170" s="21" t="s">
        <v>329</v>
      </c>
      <c r="G170" s="21">
        <v>2012</v>
      </c>
      <c r="H170" s="70">
        <v>40935</v>
      </c>
      <c r="I170" s="21" t="s">
        <v>32</v>
      </c>
      <c r="J170" s="21" t="s">
        <v>32</v>
      </c>
      <c r="K170" s="21" t="s">
        <v>374</v>
      </c>
      <c r="L170" s="21">
        <v>1</v>
      </c>
      <c r="M170" s="21" t="s">
        <v>32</v>
      </c>
      <c r="N170" s="21" t="s">
        <v>34</v>
      </c>
      <c r="O170" s="21" t="s">
        <v>34</v>
      </c>
      <c r="P170" s="21" t="s">
        <v>34</v>
      </c>
      <c r="Q170" s="21" t="s">
        <v>34</v>
      </c>
      <c r="R170" s="21" t="s">
        <v>34</v>
      </c>
      <c r="S170" s="21" t="s">
        <v>34</v>
      </c>
      <c r="T170" s="21" t="s">
        <v>34</v>
      </c>
      <c r="U170" s="21" t="s">
        <v>32</v>
      </c>
      <c r="V170" s="21">
        <v>1</v>
      </c>
      <c r="W170" s="21" t="s">
        <v>32</v>
      </c>
      <c r="X170" s="21" t="s">
        <v>32</v>
      </c>
      <c r="Y170" s="21" t="s">
        <v>32</v>
      </c>
      <c r="Z170" s="21" t="s">
        <v>32</v>
      </c>
      <c r="AA170" s="21">
        <v>22278745</v>
      </c>
      <c r="AB170" s="21">
        <v>1</v>
      </c>
      <c r="AC170" s="21"/>
      <c r="AD170" s="21">
        <v>3</v>
      </c>
      <c r="AE170" s="21">
        <f t="shared" si="6"/>
        <v>30</v>
      </c>
      <c r="AF170" s="21">
        <v>15</v>
      </c>
      <c r="AG170" s="21">
        <v>15</v>
      </c>
      <c r="AH170" s="21" t="s">
        <v>2845</v>
      </c>
      <c r="AI170" s="21" t="s">
        <v>2845</v>
      </c>
      <c r="AJ170" s="21">
        <v>24.6</v>
      </c>
      <c r="AK170" s="21">
        <v>8.3000000000000007</v>
      </c>
      <c r="AL170" s="21">
        <v>26.9</v>
      </c>
      <c r="AM170" s="21">
        <v>9.5</v>
      </c>
      <c r="AN170" s="21" t="s">
        <v>3224</v>
      </c>
      <c r="AO170" s="21" t="s">
        <v>1638</v>
      </c>
      <c r="AP170" s="21" t="s">
        <v>2846</v>
      </c>
      <c r="AQ170" s="21" t="s">
        <v>3083</v>
      </c>
      <c r="AR170" s="21" t="s">
        <v>1646</v>
      </c>
      <c r="AS170" s="21" t="s">
        <v>3575</v>
      </c>
      <c r="AT170" s="21" t="s">
        <v>1646</v>
      </c>
      <c r="AU170" s="21" t="s">
        <v>3578</v>
      </c>
      <c r="AV170" s="21" t="s">
        <v>2848</v>
      </c>
      <c r="AW170" s="21">
        <v>28</v>
      </c>
      <c r="AX170" s="21">
        <v>29</v>
      </c>
      <c r="AY170" s="21" t="s">
        <v>3591</v>
      </c>
      <c r="AZ170" s="21">
        <v>0.03</v>
      </c>
      <c r="BA170" s="21">
        <v>0.04</v>
      </c>
      <c r="BB170" s="21"/>
      <c r="BC170" s="21" t="s">
        <v>3603</v>
      </c>
      <c r="BD170" s="56">
        <v>0.03</v>
      </c>
      <c r="BE170" s="56">
        <v>0.06</v>
      </c>
      <c r="BF170" s="21"/>
      <c r="BH170" s="84"/>
    </row>
    <row r="171" spans="1:60" s="56" customFormat="1" x14ac:dyDescent="0.2">
      <c r="A171" s="21">
        <v>50</v>
      </c>
      <c r="B171" s="21" t="s">
        <v>370</v>
      </c>
      <c r="C171" s="21" t="s">
        <v>371</v>
      </c>
      <c r="D171" s="21" t="s">
        <v>372</v>
      </c>
      <c r="E171" s="21" t="s">
        <v>373</v>
      </c>
      <c r="F171" s="21" t="s">
        <v>329</v>
      </c>
      <c r="G171" s="21">
        <v>2012</v>
      </c>
      <c r="H171" s="70">
        <v>40935</v>
      </c>
      <c r="I171" s="21" t="s">
        <v>32</v>
      </c>
      <c r="J171" s="21" t="s">
        <v>32</v>
      </c>
      <c r="K171" s="21" t="s">
        <v>374</v>
      </c>
      <c r="L171" s="21">
        <v>1</v>
      </c>
      <c r="M171" s="21" t="s">
        <v>32</v>
      </c>
      <c r="N171" s="21" t="s">
        <v>34</v>
      </c>
      <c r="O171" s="21" t="s">
        <v>34</v>
      </c>
      <c r="P171" s="21" t="s">
        <v>34</v>
      </c>
      <c r="Q171" s="21" t="s">
        <v>34</v>
      </c>
      <c r="R171" s="21" t="s">
        <v>34</v>
      </c>
      <c r="S171" s="21" t="s">
        <v>34</v>
      </c>
      <c r="T171" s="21" t="s">
        <v>34</v>
      </c>
      <c r="U171" s="21" t="s">
        <v>32</v>
      </c>
      <c r="V171" s="21">
        <v>1</v>
      </c>
      <c r="W171" s="21" t="s">
        <v>32</v>
      </c>
      <c r="X171" s="21" t="s">
        <v>32</v>
      </c>
      <c r="Y171" s="21" t="s">
        <v>32</v>
      </c>
      <c r="Z171" s="21" t="s">
        <v>32</v>
      </c>
      <c r="AA171" s="21">
        <v>22278745</v>
      </c>
      <c r="AB171" s="21">
        <v>1</v>
      </c>
      <c r="AC171" s="21"/>
      <c r="AD171" s="21">
        <v>3</v>
      </c>
      <c r="AE171" s="21">
        <f t="shared" si="6"/>
        <v>30</v>
      </c>
      <c r="AF171" s="21">
        <v>15</v>
      </c>
      <c r="AG171" s="21">
        <v>15</v>
      </c>
      <c r="AH171" s="21" t="s">
        <v>2845</v>
      </c>
      <c r="AI171" s="21" t="s">
        <v>2845</v>
      </c>
      <c r="AJ171" s="21">
        <v>24.6</v>
      </c>
      <c r="AK171" s="21">
        <v>8.3000000000000007</v>
      </c>
      <c r="AL171" s="21">
        <v>26.9</v>
      </c>
      <c r="AM171" s="21">
        <v>9.5</v>
      </c>
      <c r="AN171" s="21" t="s">
        <v>3224</v>
      </c>
      <c r="AO171" s="21" t="s">
        <v>1638</v>
      </c>
      <c r="AP171" s="21" t="s">
        <v>2846</v>
      </c>
      <c r="AQ171" s="21" t="s">
        <v>3083</v>
      </c>
      <c r="AR171" s="21" t="s">
        <v>1646</v>
      </c>
      <c r="AS171" s="21" t="s">
        <v>3575</v>
      </c>
      <c r="AT171" s="21" t="s">
        <v>1646</v>
      </c>
      <c r="AU171" s="21" t="s">
        <v>3579</v>
      </c>
      <c r="AV171" s="21" t="s">
        <v>2848</v>
      </c>
      <c r="AW171" s="21">
        <v>28</v>
      </c>
      <c r="AX171" s="21">
        <v>29</v>
      </c>
      <c r="AY171" s="21" t="s">
        <v>3592</v>
      </c>
      <c r="AZ171" s="21">
        <v>0.05</v>
      </c>
      <c r="BA171" s="21">
        <v>7.0000000000000007E-2</v>
      </c>
      <c r="BB171" s="21"/>
      <c r="BC171" s="21" t="s">
        <v>3604</v>
      </c>
      <c r="BD171" s="56">
        <v>0.02</v>
      </c>
      <c r="BE171" s="56">
        <v>0.05</v>
      </c>
      <c r="BF171" s="21"/>
      <c r="BH171" s="84"/>
    </row>
    <row r="172" spans="1:60" s="56" customFormat="1" x14ac:dyDescent="0.2">
      <c r="A172" s="21">
        <v>50</v>
      </c>
      <c r="B172" s="21" t="s">
        <v>370</v>
      </c>
      <c r="C172" s="21" t="s">
        <v>371</v>
      </c>
      <c r="D172" s="21" t="s">
        <v>372</v>
      </c>
      <c r="E172" s="21" t="s">
        <v>373</v>
      </c>
      <c r="F172" s="21" t="s">
        <v>329</v>
      </c>
      <c r="G172" s="21">
        <v>2012</v>
      </c>
      <c r="H172" s="70">
        <v>40935</v>
      </c>
      <c r="I172" s="21" t="s">
        <v>32</v>
      </c>
      <c r="J172" s="21" t="s">
        <v>32</v>
      </c>
      <c r="K172" s="21" t="s">
        <v>374</v>
      </c>
      <c r="L172" s="21">
        <v>1</v>
      </c>
      <c r="M172" s="21" t="s">
        <v>32</v>
      </c>
      <c r="N172" s="21" t="s">
        <v>34</v>
      </c>
      <c r="O172" s="21" t="s">
        <v>34</v>
      </c>
      <c r="P172" s="21" t="s">
        <v>34</v>
      </c>
      <c r="Q172" s="21" t="s">
        <v>34</v>
      </c>
      <c r="R172" s="21" t="s">
        <v>34</v>
      </c>
      <c r="S172" s="21" t="s">
        <v>34</v>
      </c>
      <c r="T172" s="21" t="s">
        <v>34</v>
      </c>
      <c r="U172" s="21" t="s">
        <v>32</v>
      </c>
      <c r="V172" s="21">
        <v>1</v>
      </c>
      <c r="W172" s="21" t="s">
        <v>32</v>
      </c>
      <c r="X172" s="21" t="s">
        <v>32</v>
      </c>
      <c r="Y172" s="21" t="s">
        <v>32</v>
      </c>
      <c r="Z172" s="21" t="s">
        <v>32</v>
      </c>
      <c r="AA172" s="21">
        <v>22278745</v>
      </c>
      <c r="AB172" s="21">
        <v>1</v>
      </c>
      <c r="AC172" s="21"/>
      <c r="AD172" s="21">
        <v>3</v>
      </c>
      <c r="AE172" s="21">
        <f t="shared" si="6"/>
        <v>30</v>
      </c>
      <c r="AF172" s="21">
        <v>15</v>
      </c>
      <c r="AG172" s="21">
        <v>15</v>
      </c>
      <c r="AH172" s="21" t="s">
        <v>2845</v>
      </c>
      <c r="AI172" s="21" t="s">
        <v>2845</v>
      </c>
      <c r="AJ172" s="21">
        <v>24.6</v>
      </c>
      <c r="AK172" s="21">
        <v>8.3000000000000007</v>
      </c>
      <c r="AL172" s="21">
        <v>26.9</v>
      </c>
      <c r="AM172" s="21">
        <v>9.5</v>
      </c>
      <c r="AN172" s="21" t="s">
        <v>3224</v>
      </c>
      <c r="AO172" s="21" t="s">
        <v>1638</v>
      </c>
      <c r="AP172" s="21" t="s">
        <v>2846</v>
      </c>
      <c r="AQ172" s="21" t="s">
        <v>3083</v>
      </c>
      <c r="AR172" s="21" t="s">
        <v>1646</v>
      </c>
      <c r="AS172" s="21" t="s">
        <v>3575</v>
      </c>
      <c r="AT172" s="21" t="s">
        <v>1646</v>
      </c>
      <c r="AU172" s="21" t="s">
        <v>3582</v>
      </c>
      <c r="AV172" s="21" t="s">
        <v>2848</v>
      </c>
      <c r="AW172" s="21">
        <v>28</v>
      </c>
      <c r="AX172" s="21">
        <v>29</v>
      </c>
      <c r="AY172" s="21" t="s">
        <v>3593</v>
      </c>
      <c r="AZ172" s="21">
        <v>0.05</v>
      </c>
      <c r="BA172" s="21">
        <v>0.09</v>
      </c>
      <c r="BB172" s="21"/>
      <c r="BC172" s="21" t="s">
        <v>3605</v>
      </c>
      <c r="BD172" s="56">
        <v>0.08</v>
      </c>
      <c r="BE172" s="56">
        <v>0.09</v>
      </c>
      <c r="BF172" s="21"/>
      <c r="BH172" s="84"/>
    </row>
    <row r="173" spans="1:60" s="56" customFormat="1" x14ac:dyDescent="0.2">
      <c r="A173" s="21">
        <v>50</v>
      </c>
      <c r="B173" s="21" t="s">
        <v>370</v>
      </c>
      <c r="C173" s="21" t="s">
        <v>371</v>
      </c>
      <c r="D173" s="21" t="s">
        <v>372</v>
      </c>
      <c r="E173" s="21" t="s">
        <v>373</v>
      </c>
      <c r="F173" s="21" t="s">
        <v>329</v>
      </c>
      <c r="G173" s="21">
        <v>2012</v>
      </c>
      <c r="H173" s="70">
        <v>40935</v>
      </c>
      <c r="I173" s="21" t="s">
        <v>32</v>
      </c>
      <c r="J173" s="21" t="s">
        <v>32</v>
      </c>
      <c r="K173" s="21" t="s">
        <v>374</v>
      </c>
      <c r="L173" s="21">
        <v>1</v>
      </c>
      <c r="M173" s="21" t="s">
        <v>32</v>
      </c>
      <c r="N173" s="21" t="s">
        <v>34</v>
      </c>
      <c r="O173" s="21" t="s">
        <v>34</v>
      </c>
      <c r="P173" s="21" t="s">
        <v>34</v>
      </c>
      <c r="Q173" s="21" t="s">
        <v>34</v>
      </c>
      <c r="R173" s="21" t="s">
        <v>34</v>
      </c>
      <c r="S173" s="21" t="s">
        <v>34</v>
      </c>
      <c r="T173" s="21" t="s">
        <v>34</v>
      </c>
      <c r="U173" s="21" t="s">
        <v>32</v>
      </c>
      <c r="V173" s="21">
        <v>1</v>
      </c>
      <c r="W173" s="21" t="s">
        <v>32</v>
      </c>
      <c r="X173" s="21" t="s">
        <v>32</v>
      </c>
      <c r="Y173" s="21" t="s">
        <v>32</v>
      </c>
      <c r="Z173" s="21" t="s">
        <v>32</v>
      </c>
      <c r="AA173" s="21">
        <v>22278745</v>
      </c>
      <c r="AB173" s="21">
        <v>1</v>
      </c>
      <c r="AC173" s="21"/>
      <c r="AD173" s="21">
        <v>3</v>
      </c>
      <c r="AE173" s="21">
        <f t="shared" si="6"/>
        <v>30</v>
      </c>
      <c r="AF173" s="21">
        <v>15</v>
      </c>
      <c r="AG173" s="21">
        <v>15</v>
      </c>
      <c r="AH173" s="21" t="s">
        <v>2845</v>
      </c>
      <c r="AI173" s="21" t="s">
        <v>2845</v>
      </c>
      <c r="AJ173" s="21">
        <v>24.6</v>
      </c>
      <c r="AK173" s="21">
        <v>8.3000000000000007</v>
      </c>
      <c r="AL173" s="21">
        <v>26.9</v>
      </c>
      <c r="AM173" s="21">
        <v>9.5</v>
      </c>
      <c r="AN173" s="21" t="s">
        <v>3224</v>
      </c>
      <c r="AO173" s="21" t="s">
        <v>1638</v>
      </c>
      <c r="AP173" s="21" t="s">
        <v>2846</v>
      </c>
      <c r="AQ173" s="21" t="s">
        <v>3083</v>
      </c>
      <c r="AR173" s="21" t="s">
        <v>1646</v>
      </c>
      <c r="AS173" s="21" t="s">
        <v>3575</v>
      </c>
      <c r="AT173" s="21" t="s">
        <v>1646</v>
      </c>
      <c r="AU173" s="21" t="s">
        <v>3582</v>
      </c>
      <c r="AV173" s="21" t="s">
        <v>2848</v>
      </c>
      <c r="AW173" s="21">
        <v>28</v>
      </c>
      <c r="AX173" s="21">
        <v>29</v>
      </c>
      <c r="AY173" s="21" t="s">
        <v>3594</v>
      </c>
      <c r="AZ173" s="21">
        <v>7.0000000000000007E-2</v>
      </c>
      <c r="BA173" s="21">
        <v>0.09</v>
      </c>
      <c r="BB173" s="21"/>
      <c r="BC173" s="21" t="s">
        <v>3606</v>
      </c>
      <c r="BD173" s="56">
        <v>0.08</v>
      </c>
      <c r="BE173" s="56">
        <v>0.08</v>
      </c>
      <c r="BF173" s="21"/>
      <c r="BH173" s="84"/>
    </row>
    <row r="174" spans="1:60" s="56" customFormat="1" x14ac:dyDescent="0.2">
      <c r="A174" s="21">
        <v>50</v>
      </c>
      <c r="B174" s="21" t="s">
        <v>370</v>
      </c>
      <c r="C174" s="21" t="s">
        <v>371</v>
      </c>
      <c r="D174" s="21" t="s">
        <v>372</v>
      </c>
      <c r="E174" s="21" t="s">
        <v>373</v>
      </c>
      <c r="F174" s="21" t="s">
        <v>329</v>
      </c>
      <c r="G174" s="21">
        <v>2012</v>
      </c>
      <c r="H174" s="70">
        <v>40935</v>
      </c>
      <c r="I174" s="21" t="s">
        <v>32</v>
      </c>
      <c r="J174" s="21" t="s">
        <v>32</v>
      </c>
      <c r="K174" s="21" t="s">
        <v>374</v>
      </c>
      <c r="L174" s="21">
        <v>1</v>
      </c>
      <c r="M174" s="21" t="s">
        <v>32</v>
      </c>
      <c r="N174" s="21" t="s">
        <v>34</v>
      </c>
      <c r="O174" s="21" t="s">
        <v>34</v>
      </c>
      <c r="P174" s="21" t="s">
        <v>34</v>
      </c>
      <c r="Q174" s="21" t="s">
        <v>34</v>
      </c>
      <c r="R174" s="21" t="s">
        <v>34</v>
      </c>
      <c r="S174" s="21" t="s">
        <v>34</v>
      </c>
      <c r="T174" s="21" t="s">
        <v>34</v>
      </c>
      <c r="U174" s="21" t="s">
        <v>32</v>
      </c>
      <c r="V174" s="21">
        <v>1</v>
      </c>
      <c r="W174" s="21" t="s">
        <v>32</v>
      </c>
      <c r="X174" s="21" t="s">
        <v>32</v>
      </c>
      <c r="Y174" s="21" t="s">
        <v>32</v>
      </c>
      <c r="Z174" s="21" t="s">
        <v>32</v>
      </c>
      <c r="AA174" s="21">
        <v>22278745</v>
      </c>
      <c r="AB174" s="21">
        <v>1</v>
      </c>
      <c r="AC174" s="21"/>
      <c r="AD174" s="21">
        <v>3</v>
      </c>
      <c r="AE174" s="21">
        <f t="shared" si="6"/>
        <v>30</v>
      </c>
      <c r="AF174" s="21">
        <v>15</v>
      </c>
      <c r="AG174" s="21">
        <v>15</v>
      </c>
      <c r="AH174" s="21" t="s">
        <v>2845</v>
      </c>
      <c r="AI174" s="21" t="s">
        <v>2845</v>
      </c>
      <c r="AJ174" s="21">
        <v>24.6</v>
      </c>
      <c r="AK174" s="21">
        <v>8.3000000000000007</v>
      </c>
      <c r="AL174" s="21">
        <v>26.9</v>
      </c>
      <c r="AM174" s="21">
        <v>9.5</v>
      </c>
      <c r="AN174" s="21" t="s">
        <v>3224</v>
      </c>
      <c r="AO174" s="21" t="s">
        <v>1638</v>
      </c>
      <c r="AP174" s="21" t="s">
        <v>2846</v>
      </c>
      <c r="AQ174" s="21" t="s">
        <v>3083</v>
      </c>
      <c r="AR174" s="21" t="s">
        <v>1646</v>
      </c>
      <c r="AS174" s="21" t="s">
        <v>3575</v>
      </c>
      <c r="AT174" s="21" t="s">
        <v>1646</v>
      </c>
      <c r="AU174" s="21" t="s">
        <v>3583</v>
      </c>
      <c r="AV174" s="21" t="s">
        <v>2848</v>
      </c>
      <c r="AW174" s="21">
        <v>28</v>
      </c>
      <c r="AX174" s="21">
        <v>29</v>
      </c>
      <c r="AY174" s="21" t="s">
        <v>3595</v>
      </c>
      <c r="AZ174" s="21">
        <v>7.0000000000000007E-2</v>
      </c>
      <c r="BA174" s="21">
        <v>0.08</v>
      </c>
      <c r="BB174" s="21"/>
      <c r="BC174" s="21" t="s">
        <v>3607</v>
      </c>
      <c r="BD174" s="56">
        <v>0.04</v>
      </c>
      <c r="BE174" s="56">
        <v>0.05</v>
      </c>
      <c r="BF174" s="21"/>
      <c r="BH174" s="84"/>
    </row>
    <row r="175" spans="1:60" s="56" customFormat="1" ht="15" customHeight="1" x14ac:dyDescent="0.2">
      <c r="A175" s="21">
        <v>51</v>
      </c>
      <c r="B175" s="21" t="s">
        <v>375</v>
      </c>
      <c r="C175" s="21" t="s">
        <v>376</v>
      </c>
      <c r="D175" s="21" t="s">
        <v>377</v>
      </c>
      <c r="E175" s="21" t="s">
        <v>342</v>
      </c>
      <c r="F175" s="21" t="s">
        <v>137</v>
      </c>
      <c r="G175" s="21">
        <v>2012</v>
      </c>
      <c r="H175" s="70">
        <v>40904</v>
      </c>
      <c r="I175" s="21" t="s">
        <v>32</v>
      </c>
      <c r="J175" s="21" t="s">
        <v>32</v>
      </c>
      <c r="K175" s="21" t="s">
        <v>378</v>
      </c>
      <c r="L175" s="21">
        <v>1</v>
      </c>
      <c r="M175" s="21" t="s">
        <v>379</v>
      </c>
      <c r="N175" s="21" t="s">
        <v>34</v>
      </c>
      <c r="O175" s="21" t="s">
        <v>34</v>
      </c>
      <c r="P175" s="21" t="s">
        <v>34</v>
      </c>
      <c r="Q175" s="21" t="s">
        <v>34</v>
      </c>
      <c r="R175" s="21" t="s">
        <v>34</v>
      </c>
      <c r="S175" s="21" t="s">
        <v>34</v>
      </c>
      <c r="T175" s="21" t="s">
        <v>34</v>
      </c>
      <c r="U175" s="21" t="s">
        <v>32</v>
      </c>
      <c r="V175" s="21">
        <v>1</v>
      </c>
      <c r="W175" s="21" t="s">
        <v>32</v>
      </c>
      <c r="X175" s="21" t="s">
        <v>32</v>
      </c>
      <c r="Y175" s="21" t="s">
        <v>32</v>
      </c>
      <c r="Z175" s="21" t="s">
        <v>32</v>
      </c>
      <c r="AA175" s="21">
        <v>22197003</v>
      </c>
      <c r="AB175" s="21">
        <v>1</v>
      </c>
      <c r="AC175" s="21"/>
      <c r="AD175" s="21">
        <v>3</v>
      </c>
      <c r="AE175" s="21">
        <f t="shared" si="3"/>
        <v>109</v>
      </c>
      <c r="AF175" s="21">
        <v>44</v>
      </c>
      <c r="AG175" s="21">
        <v>65</v>
      </c>
      <c r="AH175" s="21" t="s">
        <v>2845</v>
      </c>
      <c r="AI175" s="21" t="s">
        <v>2845</v>
      </c>
      <c r="AJ175" s="21">
        <v>30.9</v>
      </c>
      <c r="AK175" s="21">
        <v>9.6</v>
      </c>
      <c r="AL175" s="21">
        <v>31.7</v>
      </c>
      <c r="AM175" s="21">
        <v>10.3</v>
      </c>
      <c r="AN175" s="21" t="s">
        <v>2947</v>
      </c>
      <c r="AO175" s="21" t="s">
        <v>1638</v>
      </c>
      <c r="AP175" s="21" t="s">
        <v>2846</v>
      </c>
      <c r="AQ175" s="21" t="s">
        <v>3154</v>
      </c>
      <c r="AR175" s="21" t="s">
        <v>1646</v>
      </c>
      <c r="AS175" s="21" t="s">
        <v>2967</v>
      </c>
      <c r="AT175" s="21" t="s">
        <v>1646</v>
      </c>
      <c r="AU175" s="21" t="s">
        <v>2968</v>
      </c>
      <c r="AV175" s="21" t="s">
        <v>2848</v>
      </c>
      <c r="AW175" s="21">
        <v>25</v>
      </c>
      <c r="AX175" s="21">
        <v>25</v>
      </c>
      <c r="AY175" s="21" t="s">
        <v>3199</v>
      </c>
      <c r="AZ175" s="21">
        <v>15.5</v>
      </c>
      <c r="BA175" s="21">
        <v>3.8</v>
      </c>
      <c r="BB175" s="21"/>
      <c r="BC175" s="21" t="s">
        <v>3232</v>
      </c>
      <c r="BD175" s="21">
        <v>16.899999999999999</v>
      </c>
      <c r="BE175" s="21">
        <v>2.9</v>
      </c>
      <c r="BF175" s="21"/>
    </row>
    <row r="176" spans="1:60" s="56" customFormat="1" ht="15" customHeight="1" x14ac:dyDescent="0.2">
      <c r="A176" s="21">
        <v>51</v>
      </c>
      <c r="B176" s="21" t="s">
        <v>375</v>
      </c>
      <c r="C176" s="21" t="s">
        <v>376</v>
      </c>
      <c r="D176" s="21" t="s">
        <v>377</v>
      </c>
      <c r="E176" s="21" t="s">
        <v>342</v>
      </c>
      <c r="F176" s="21" t="s">
        <v>137</v>
      </c>
      <c r="G176" s="21">
        <v>2012</v>
      </c>
      <c r="H176" s="70">
        <v>40904</v>
      </c>
      <c r="I176" s="21" t="s">
        <v>32</v>
      </c>
      <c r="J176" s="21" t="s">
        <v>32</v>
      </c>
      <c r="K176" s="21" t="s">
        <v>378</v>
      </c>
      <c r="L176" s="21">
        <v>1</v>
      </c>
      <c r="M176" s="21" t="s">
        <v>379</v>
      </c>
      <c r="N176" s="21" t="s">
        <v>34</v>
      </c>
      <c r="O176" s="21" t="s">
        <v>34</v>
      </c>
      <c r="P176" s="21" t="s">
        <v>34</v>
      </c>
      <c r="Q176" s="21" t="s">
        <v>34</v>
      </c>
      <c r="R176" s="21" t="s">
        <v>34</v>
      </c>
      <c r="S176" s="21" t="s">
        <v>34</v>
      </c>
      <c r="T176" s="21" t="s">
        <v>34</v>
      </c>
      <c r="U176" s="21" t="s">
        <v>32</v>
      </c>
      <c r="V176" s="21">
        <v>1</v>
      </c>
      <c r="W176" s="21" t="s">
        <v>32</v>
      </c>
      <c r="X176" s="21" t="s">
        <v>32</v>
      </c>
      <c r="Y176" s="21" t="s">
        <v>32</v>
      </c>
      <c r="Z176" s="21" t="s">
        <v>32</v>
      </c>
      <c r="AA176" s="21">
        <v>22197003</v>
      </c>
      <c r="AB176" s="21">
        <v>1</v>
      </c>
      <c r="AC176" s="21"/>
      <c r="AD176" s="21">
        <v>3</v>
      </c>
      <c r="AE176" s="21">
        <f>AF176+AG176</f>
        <v>109</v>
      </c>
      <c r="AF176" s="21">
        <v>44</v>
      </c>
      <c r="AG176" s="21">
        <v>65</v>
      </c>
      <c r="AH176" s="21" t="s">
        <v>2845</v>
      </c>
      <c r="AI176" s="21" t="s">
        <v>2845</v>
      </c>
      <c r="AJ176" s="21">
        <v>30.9</v>
      </c>
      <c r="AK176" s="21">
        <v>9.6</v>
      </c>
      <c r="AL176" s="21">
        <v>31.7</v>
      </c>
      <c r="AM176" s="21">
        <v>10.3</v>
      </c>
      <c r="AN176" s="21" t="s">
        <v>2947</v>
      </c>
      <c r="AO176" s="21" t="s">
        <v>1638</v>
      </c>
      <c r="AP176" s="21" t="s">
        <v>2846</v>
      </c>
      <c r="AQ176" s="21" t="s">
        <v>3154</v>
      </c>
      <c r="AR176" s="21" t="s">
        <v>1646</v>
      </c>
      <c r="AS176" s="21" t="s">
        <v>2967</v>
      </c>
      <c r="AT176" s="21" t="s">
        <v>1646</v>
      </c>
      <c r="AU176" s="21" t="s">
        <v>2969</v>
      </c>
      <c r="AV176" s="21" t="s">
        <v>2848</v>
      </c>
      <c r="AW176" s="21">
        <v>25</v>
      </c>
      <c r="AX176" s="21">
        <v>25</v>
      </c>
      <c r="AY176" s="21" t="s">
        <v>3200</v>
      </c>
      <c r="AZ176" s="21">
        <v>57.856699999999996</v>
      </c>
      <c r="BA176" s="21"/>
      <c r="BB176" s="21">
        <f>62.3676-AZ176</f>
        <v>4.5109000000000066</v>
      </c>
      <c r="BC176" s="21" t="s">
        <v>3233</v>
      </c>
      <c r="BD176" s="21">
        <v>67.875399999999999</v>
      </c>
      <c r="BE176" s="21"/>
      <c r="BF176" s="21">
        <f>70.6667-BD176</f>
        <v>2.7913000000000068</v>
      </c>
      <c r="BG176" s="56" t="s">
        <v>3201</v>
      </c>
    </row>
    <row r="177" spans="1:60" s="56" customFormat="1" ht="15" customHeight="1" x14ac:dyDescent="0.2">
      <c r="A177" s="21">
        <v>51</v>
      </c>
      <c r="B177" s="21" t="s">
        <v>375</v>
      </c>
      <c r="C177" s="21" t="s">
        <v>376</v>
      </c>
      <c r="D177" s="21" t="s">
        <v>377</v>
      </c>
      <c r="E177" s="21" t="s">
        <v>342</v>
      </c>
      <c r="F177" s="21" t="s">
        <v>137</v>
      </c>
      <c r="G177" s="21">
        <v>2012</v>
      </c>
      <c r="H177" s="70">
        <v>40904</v>
      </c>
      <c r="I177" s="21" t="s">
        <v>32</v>
      </c>
      <c r="J177" s="21" t="s">
        <v>32</v>
      </c>
      <c r="K177" s="21" t="s">
        <v>378</v>
      </c>
      <c r="L177" s="21">
        <v>1</v>
      </c>
      <c r="M177" s="21" t="s">
        <v>379</v>
      </c>
      <c r="N177" s="21" t="s">
        <v>34</v>
      </c>
      <c r="O177" s="21" t="s">
        <v>34</v>
      </c>
      <c r="P177" s="21" t="s">
        <v>34</v>
      </c>
      <c r="Q177" s="21" t="s">
        <v>34</v>
      </c>
      <c r="R177" s="21" t="s">
        <v>34</v>
      </c>
      <c r="S177" s="21" t="s">
        <v>34</v>
      </c>
      <c r="T177" s="21" t="s">
        <v>34</v>
      </c>
      <c r="U177" s="21" t="s">
        <v>32</v>
      </c>
      <c r="V177" s="21">
        <v>1</v>
      </c>
      <c r="W177" s="21" t="s">
        <v>32</v>
      </c>
      <c r="X177" s="21" t="s">
        <v>32</v>
      </c>
      <c r="Y177" s="21" t="s">
        <v>32</v>
      </c>
      <c r="Z177" s="21" t="s">
        <v>32</v>
      </c>
      <c r="AA177" s="21">
        <v>22197003</v>
      </c>
      <c r="AB177" s="21">
        <v>1</v>
      </c>
      <c r="AC177" s="21"/>
      <c r="AD177" s="21">
        <v>3</v>
      </c>
      <c r="AE177" s="21">
        <f>AF177+AG177</f>
        <v>109</v>
      </c>
      <c r="AF177" s="21">
        <v>44</v>
      </c>
      <c r="AG177" s="21">
        <v>65</v>
      </c>
      <c r="AH177" s="21" t="s">
        <v>2845</v>
      </c>
      <c r="AI177" s="21" t="s">
        <v>2845</v>
      </c>
      <c r="AJ177" s="21">
        <v>30.9</v>
      </c>
      <c r="AK177" s="21">
        <v>9.6</v>
      </c>
      <c r="AL177" s="21">
        <v>31.7</v>
      </c>
      <c r="AM177" s="21">
        <v>10.3</v>
      </c>
      <c r="AN177" s="21" t="s">
        <v>2947</v>
      </c>
      <c r="AO177" s="21" t="s">
        <v>1638</v>
      </c>
      <c r="AP177" s="21" t="s">
        <v>2846</v>
      </c>
      <c r="AQ177" s="21" t="s">
        <v>3154</v>
      </c>
      <c r="AR177" s="21" t="s">
        <v>1646</v>
      </c>
      <c r="AS177" s="21" t="s">
        <v>3143</v>
      </c>
      <c r="AT177" s="21" t="s">
        <v>1646</v>
      </c>
      <c r="AU177" s="21" t="s">
        <v>2940</v>
      </c>
      <c r="AV177" s="21" t="s">
        <v>2848</v>
      </c>
      <c r="AW177" s="21">
        <v>25</v>
      </c>
      <c r="AX177" s="21">
        <v>25</v>
      </c>
      <c r="AY177" s="21" t="s">
        <v>3146</v>
      </c>
      <c r="AZ177" s="21">
        <v>3.1104799999999999</v>
      </c>
      <c r="BB177" s="21">
        <f>3.30887-AZ177</f>
        <v>0.19839000000000029</v>
      </c>
      <c r="BC177" s="21" t="s">
        <v>3176</v>
      </c>
      <c r="BD177" s="21">
        <v>4.10806</v>
      </c>
      <c r="BE177" s="21"/>
      <c r="BF177" s="21">
        <f>4.31774-BD177</f>
        <v>0.20967999999999964</v>
      </c>
      <c r="BG177" s="56" t="s">
        <v>3202</v>
      </c>
    </row>
    <row r="178" spans="1:60" s="65" customFormat="1" x14ac:dyDescent="0.2">
      <c r="A178" s="20">
        <v>52</v>
      </c>
      <c r="B178" s="20" t="s">
        <v>380</v>
      </c>
      <c r="C178" s="20" t="s">
        <v>381</v>
      </c>
      <c r="D178" s="20" t="s">
        <v>382</v>
      </c>
      <c r="E178" s="20" t="s">
        <v>383</v>
      </c>
      <c r="F178" s="20" t="s">
        <v>384</v>
      </c>
      <c r="G178" s="20">
        <v>2012</v>
      </c>
      <c r="H178" s="64">
        <v>40837</v>
      </c>
      <c r="I178" s="20" t="s">
        <v>32</v>
      </c>
      <c r="J178" s="20" t="s">
        <v>32</v>
      </c>
      <c r="K178" s="20" t="s">
        <v>385</v>
      </c>
      <c r="L178" s="20">
        <v>1</v>
      </c>
      <c r="M178" s="20" t="s">
        <v>32</v>
      </c>
      <c r="N178" s="20" t="s">
        <v>34</v>
      </c>
      <c r="O178" s="20" t="s">
        <v>34</v>
      </c>
      <c r="P178" s="20" t="s">
        <v>34</v>
      </c>
      <c r="Q178" s="20" t="s">
        <v>34</v>
      </c>
      <c r="R178" s="20" t="s">
        <v>34</v>
      </c>
      <c r="S178" s="20" t="s">
        <v>34</v>
      </c>
      <c r="T178" s="20" t="s">
        <v>34</v>
      </c>
      <c r="U178" s="20" t="s">
        <v>32</v>
      </c>
      <c r="V178" s="20">
        <v>1</v>
      </c>
      <c r="W178" s="20" t="s">
        <v>32</v>
      </c>
      <c r="X178" s="20" t="s">
        <v>32</v>
      </c>
      <c r="Y178" s="20" t="s">
        <v>386</v>
      </c>
      <c r="Z178" s="20" t="s">
        <v>32</v>
      </c>
      <c r="AA178" s="20">
        <v>22011378</v>
      </c>
      <c r="AB178" s="20">
        <v>0</v>
      </c>
      <c r="AC178" s="20" t="s">
        <v>2974</v>
      </c>
      <c r="AD178" s="20"/>
      <c r="AE178" s="20">
        <f t="shared" si="3"/>
        <v>0</v>
      </c>
      <c r="AF178" s="20"/>
      <c r="AG178" s="20"/>
      <c r="AH178" s="20"/>
      <c r="AI178" s="20"/>
      <c r="AJ178" s="20"/>
      <c r="AK178" s="20"/>
      <c r="AL178" s="20"/>
      <c r="AM178" s="20"/>
      <c r="AN178" s="20"/>
      <c r="AO178" s="20"/>
      <c r="AT178" s="20"/>
      <c r="AU178" s="20"/>
      <c r="AV178" s="20"/>
      <c r="AW178" s="20"/>
      <c r="AX178" s="20"/>
      <c r="AY178" s="20"/>
      <c r="AZ178" s="20"/>
      <c r="BA178" s="20"/>
      <c r="BB178" s="20"/>
      <c r="BC178" s="20"/>
      <c r="BD178" s="20"/>
      <c r="BE178" s="20"/>
      <c r="BF178" s="20"/>
    </row>
    <row r="179" spans="1:60" s="65" customFormat="1" x14ac:dyDescent="0.2">
      <c r="A179" s="20">
        <v>53</v>
      </c>
      <c r="B179" s="20" t="s">
        <v>387</v>
      </c>
      <c r="C179" s="20" t="s">
        <v>388</v>
      </c>
      <c r="D179" s="20" t="s">
        <v>389</v>
      </c>
      <c r="E179" s="20" t="s">
        <v>390</v>
      </c>
      <c r="F179" s="20" t="s">
        <v>391</v>
      </c>
      <c r="G179" s="20">
        <v>2011</v>
      </c>
      <c r="H179" s="64">
        <v>40794</v>
      </c>
      <c r="I179" s="20" t="s">
        <v>392</v>
      </c>
      <c r="J179" s="20" t="s">
        <v>393</v>
      </c>
      <c r="K179" s="20" t="s">
        <v>394</v>
      </c>
      <c r="L179" s="20">
        <v>1</v>
      </c>
      <c r="M179" s="20" t="s">
        <v>395</v>
      </c>
      <c r="N179" s="20" t="s">
        <v>34</v>
      </c>
      <c r="O179" s="20" t="s">
        <v>34</v>
      </c>
      <c r="P179" s="20" t="s">
        <v>34</v>
      </c>
      <c r="Q179" s="20" t="s">
        <v>34</v>
      </c>
      <c r="R179" s="20" t="s">
        <v>34</v>
      </c>
      <c r="S179" s="20" t="s">
        <v>34</v>
      </c>
      <c r="T179" s="20" t="s">
        <v>34</v>
      </c>
      <c r="U179" s="20" t="s">
        <v>32</v>
      </c>
      <c r="V179" s="20">
        <v>1</v>
      </c>
      <c r="W179" s="20" t="s">
        <v>32</v>
      </c>
      <c r="X179" s="20" t="s">
        <v>32</v>
      </c>
      <c r="Y179" s="20" t="s">
        <v>32</v>
      </c>
      <c r="Z179" s="20" t="s">
        <v>32</v>
      </c>
      <c r="AA179" s="20">
        <v>21898707</v>
      </c>
      <c r="AB179" s="20">
        <v>0</v>
      </c>
      <c r="AC179" s="20" t="s">
        <v>3213</v>
      </c>
      <c r="AD179" s="20">
        <v>3</v>
      </c>
      <c r="AE179" s="20">
        <f t="shared" si="3"/>
        <v>111</v>
      </c>
      <c r="AF179" s="20">
        <v>41</v>
      </c>
      <c r="AG179" s="20">
        <v>70</v>
      </c>
      <c r="AH179" s="20" t="s">
        <v>2845</v>
      </c>
      <c r="AI179" s="20" t="s">
        <v>2845</v>
      </c>
      <c r="AJ179" s="20">
        <v>41.15</v>
      </c>
      <c r="AK179" s="20">
        <v>12.03</v>
      </c>
      <c r="AL179" s="20">
        <v>40.5</v>
      </c>
      <c r="AM179" s="20">
        <v>12.31</v>
      </c>
      <c r="AN179" s="20" t="s">
        <v>2947</v>
      </c>
      <c r="AO179" s="20" t="s">
        <v>1770</v>
      </c>
      <c r="AP179" s="20" t="s">
        <v>3203</v>
      </c>
      <c r="AQ179" s="20" t="s">
        <v>3204</v>
      </c>
      <c r="AR179" s="20" t="s">
        <v>1646</v>
      </c>
      <c r="AS179" s="20" t="s">
        <v>1639</v>
      </c>
      <c r="AT179" s="20" t="s">
        <v>1646</v>
      </c>
      <c r="AU179" s="20" t="s">
        <v>2928</v>
      </c>
      <c r="AV179" s="20" t="s">
        <v>2907</v>
      </c>
      <c r="AW179" s="20"/>
      <c r="AX179" s="20"/>
      <c r="AY179" s="20" t="s">
        <v>3205</v>
      </c>
      <c r="AZ179" s="20">
        <v>48.354799999999997</v>
      </c>
      <c r="BA179" s="20"/>
      <c r="BB179" s="20">
        <f>58.4572-AZ179</f>
        <v>10.102400000000003</v>
      </c>
      <c r="BC179" s="20" t="s">
        <v>3234</v>
      </c>
      <c r="BD179" s="20">
        <v>40.072000000000003</v>
      </c>
      <c r="BE179" s="20"/>
      <c r="BF179" s="20">
        <f>45.9057-BD179</f>
        <v>5.8337000000000003</v>
      </c>
      <c r="BG179" s="65" t="s">
        <v>3211</v>
      </c>
      <c r="BH179" s="65" t="s">
        <v>3222</v>
      </c>
    </row>
    <row r="180" spans="1:60" s="65" customFormat="1" x14ac:dyDescent="0.2">
      <c r="A180" s="20">
        <v>54</v>
      </c>
      <c r="B180" s="20" t="s">
        <v>396</v>
      </c>
      <c r="C180" s="20" t="s">
        <v>397</v>
      </c>
      <c r="D180" s="20" t="s">
        <v>398</v>
      </c>
      <c r="E180" s="20" t="s">
        <v>399</v>
      </c>
      <c r="F180" s="20" t="s">
        <v>343</v>
      </c>
      <c r="G180" s="20">
        <v>2012</v>
      </c>
      <c r="H180" s="64">
        <v>40752</v>
      </c>
      <c r="I180" s="20" t="s">
        <v>400</v>
      </c>
      <c r="J180" s="20" t="s">
        <v>401</v>
      </c>
      <c r="K180" s="20" t="s">
        <v>402</v>
      </c>
      <c r="L180" s="20">
        <v>1</v>
      </c>
      <c r="M180" s="20" t="s">
        <v>403</v>
      </c>
      <c r="N180" s="20" t="s">
        <v>34</v>
      </c>
      <c r="O180" s="20" t="s">
        <v>34</v>
      </c>
      <c r="P180" s="20" t="s">
        <v>34</v>
      </c>
      <c r="Q180" s="20" t="s">
        <v>34</v>
      </c>
      <c r="R180" s="20" t="s">
        <v>34</v>
      </c>
      <c r="S180" s="20" t="s">
        <v>34</v>
      </c>
      <c r="T180" s="20" t="s">
        <v>34</v>
      </c>
      <c r="U180" s="20" t="s">
        <v>32</v>
      </c>
      <c r="V180" s="20">
        <v>1</v>
      </c>
      <c r="W180" s="20" t="s">
        <v>32</v>
      </c>
      <c r="X180" s="20" t="s">
        <v>32</v>
      </c>
      <c r="Y180" s="20" t="s">
        <v>32</v>
      </c>
      <c r="Z180" s="20" t="s">
        <v>32</v>
      </c>
      <c r="AA180" s="20">
        <v>21790343</v>
      </c>
      <c r="AB180" s="20">
        <v>0</v>
      </c>
      <c r="AC180" s="20" t="s">
        <v>3213</v>
      </c>
      <c r="AD180" s="20">
        <v>2</v>
      </c>
      <c r="AE180" s="20">
        <f t="shared" si="3"/>
        <v>0</v>
      </c>
      <c r="AF180" s="20"/>
      <c r="AG180" s="20"/>
      <c r="AH180" s="20"/>
      <c r="AI180" s="20"/>
      <c r="AJ180" s="20"/>
      <c r="AK180" s="20"/>
      <c r="AL180" s="20"/>
      <c r="AM180" s="20"/>
      <c r="AN180" s="20"/>
      <c r="AO180" s="20"/>
      <c r="AP180" s="20"/>
      <c r="AQ180" s="20" t="s">
        <v>3212</v>
      </c>
      <c r="AR180" s="20"/>
      <c r="AS180" s="20"/>
      <c r="AT180" s="20"/>
      <c r="AU180" s="20"/>
      <c r="AV180" s="20"/>
      <c r="AW180" s="20"/>
      <c r="AX180" s="20"/>
      <c r="AY180" s="20"/>
      <c r="AZ180" s="20"/>
      <c r="BA180" s="20"/>
      <c r="BB180" s="20"/>
      <c r="BC180" s="20"/>
      <c r="BD180" s="20"/>
      <c r="BE180" s="20"/>
      <c r="BF180" s="20"/>
      <c r="BG180" s="65" t="s">
        <v>3213</v>
      </c>
    </row>
    <row r="181" spans="1:60" s="56" customFormat="1" x14ac:dyDescent="0.2">
      <c r="A181" s="21">
        <v>55</v>
      </c>
      <c r="B181" s="21" t="s">
        <v>404</v>
      </c>
      <c r="C181" s="21" t="s">
        <v>405</v>
      </c>
      <c r="D181" s="21" t="s">
        <v>406</v>
      </c>
      <c r="E181" s="21" t="s">
        <v>407</v>
      </c>
      <c r="F181" s="21" t="s">
        <v>408</v>
      </c>
      <c r="G181" s="21">
        <v>2012</v>
      </c>
      <c r="H181" s="70">
        <v>40733</v>
      </c>
      <c r="I181" s="21" t="s">
        <v>32</v>
      </c>
      <c r="J181" s="21" t="s">
        <v>32</v>
      </c>
      <c r="K181" s="21" t="s">
        <v>409</v>
      </c>
      <c r="L181" s="21">
        <v>1</v>
      </c>
      <c r="M181" s="21" t="s">
        <v>32</v>
      </c>
      <c r="N181" s="21" t="s">
        <v>34</v>
      </c>
      <c r="O181" s="21" t="s">
        <v>34</v>
      </c>
      <c r="P181" s="21" t="s">
        <v>34</v>
      </c>
      <c r="Q181" s="21" t="s">
        <v>34</v>
      </c>
      <c r="R181" s="21" t="s">
        <v>34</v>
      </c>
      <c r="S181" s="21" t="s">
        <v>34</v>
      </c>
      <c r="T181" s="21" t="s">
        <v>34</v>
      </c>
      <c r="U181" s="21" t="s">
        <v>32</v>
      </c>
      <c r="V181" s="21">
        <v>1</v>
      </c>
      <c r="W181" s="21" t="s">
        <v>32</v>
      </c>
      <c r="X181" s="21" t="s">
        <v>32</v>
      </c>
      <c r="Y181" s="21" t="s">
        <v>410</v>
      </c>
      <c r="Z181" s="21" t="s">
        <v>32</v>
      </c>
      <c r="AA181" s="21">
        <v>21739522</v>
      </c>
      <c r="AB181" s="21">
        <v>1</v>
      </c>
      <c r="AC181" s="21"/>
      <c r="AD181" s="56">
        <v>3</v>
      </c>
      <c r="AE181" s="56">
        <v>22</v>
      </c>
      <c r="AF181" s="56">
        <v>11</v>
      </c>
      <c r="AG181" s="56">
        <v>11</v>
      </c>
      <c r="AH181" s="56" t="s">
        <v>2845</v>
      </c>
      <c r="AI181" s="56" t="s">
        <v>2845</v>
      </c>
      <c r="AJ181" s="56">
        <v>22</v>
      </c>
      <c r="AK181" s="56">
        <v>2.7</v>
      </c>
      <c r="AL181" s="56">
        <v>23</v>
      </c>
      <c r="AM181" s="56">
        <v>4.4000000000000004</v>
      </c>
      <c r="AN181" s="56" t="s">
        <v>2918</v>
      </c>
      <c r="AO181" s="56" t="s">
        <v>1770</v>
      </c>
      <c r="AP181" s="56" t="s">
        <v>3794</v>
      </c>
      <c r="AQ181" s="56" t="s">
        <v>3039</v>
      </c>
      <c r="AR181" s="56" t="s">
        <v>1646</v>
      </c>
      <c r="AS181" s="56" t="s">
        <v>3795</v>
      </c>
      <c r="AT181" s="21" t="s">
        <v>1646</v>
      </c>
      <c r="AU181" s="21" t="s">
        <v>3792</v>
      </c>
      <c r="AV181" s="21" t="s">
        <v>2907</v>
      </c>
      <c r="AW181" s="21">
        <v>59</v>
      </c>
      <c r="AX181" s="21">
        <v>66</v>
      </c>
      <c r="AY181" s="21" t="s">
        <v>3797</v>
      </c>
      <c r="AZ181" s="21">
        <v>760</v>
      </c>
      <c r="BB181" s="21">
        <v>65.7</v>
      </c>
      <c r="BC181" s="21" t="s">
        <v>3798</v>
      </c>
      <c r="BD181" s="21">
        <v>313</v>
      </c>
      <c r="BE181" s="21"/>
      <c r="BF181" s="21">
        <v>46.4</v>
      </c>
      <c r="BG181" s="56" t="s">
        <v>3214</v>
      </c>
    </row>
    <row r="182" spans="1:60" s="56" customFormat="1" x14ac:dyDescent="0.2">
      <c r="A182" s="21">
        <v>55</v>
      </c>
      <c r="B182" s="21" t="s">
        <v>404</v>
      </c>
      <c r="C182" s="21" t="s">
        <v>405</v>
      </c>
      <c r="D182" s="21" t="s">
        <v>406</v>
      </c>
      <c r="E182" s="21" t="s">
        <v>407</v>
      </c>
      <c r="F182" s="21" t="s">
        <v>408</v>
      </c>
      <c r="G182" s="21">
        <v>2012</v>
      </c>
      <c r="H182" s="70">
        <v>40733</v>
      </c>
      <c r="I182" s="21" t="s">
        <v>32</v>
      </c>
      <c r="J182" s="21" t="s">
        <v>32</v>
      </c>
      <c r="K182" s="21" t="s">
        <v>409</v>
      </c>
      <c r="L182" s="21">
        <v>1</v>
      </c>
      <c r="M182" s="21" t="s">
        <v>32</v>
      </c>
      <c r="N182" s="21" t="s">
        <v>34</v>
      </c>
      <c r="O182" s="21" t="s">
        <v>34</v>
      </c>
      <c r="P182" s="21" t="s">
        <v>34</v>
      </c>
      <c r="Q182" s="21" t="s">
        <v>34</v>
      </c>
      <c r="R182" s="21" t="s">
        <v>34</v>
      </c>
      <c r="S182" s="21" t="s">
        <v>34</v>
      </c>
      <c r="T182" s="21" t="s">
        <v>34</v>
      </c>
      <c r="U182" s="21" t="s">
        <v>32</v>
      </c>
      <c r="V182" s="21">
        <v>1</v>
      </c>
      <c r="W182" s="21" t="s">
        <v>32</v>
      </c>
      <c r="X182" s="21" t="s">
        <v>32</v>
      </c>
      <c r="Y182" s="21" t="s">
        <v>410</v>
      </c>
      <c r="Z182" s="21" t="s">
        <v>32</v>
      </c>
      <c r="AA182" s="21">
        <v>21739522</v>
      </c>
      <c r="AB182" s="21">
        <v>1</v>
      </c>
      <c r="AC182" s="21"/>
      <c r="AD182" s="56">
        <v>3</v>
      </c>
      <c r="AE182" s="56">
        <f>AF182+AG182</f>
        <v>21</v>
      </c>
      <c r="AF182" s="56">
        <v>10</v>
      </c>
      <c r="AG182" s="56">
        <v>11</v>
      </c>
      <c r="AH182" s="56" t="s">
        <v>2845</v>
      </c>
      <c r="AI182" s="56" t="s">
        <v>2845</v>
      </c>
      <c r="AJ182" s="56">
        <v>22</v>
      </c>
      <c r="AK182" s="56">
        <v>2.7</v>
      </c>
      <c r="AL182" s="56">
        <v>23</v>
      </c>
      <c r="AM182" s="56">
        <v>4.4000000000000004</v>
      </c>
      <c r="AN182" s="56" t="s">
        <v>2918</v>
      </c>
      <c r="AO182" s="56" t="s">
        <v>1770</v>
      </c>
      <c r="AP182" s="56" t="s">
        <v>3794</v>
      </c>
      <c r="AQ182" s="56" t="s">
        <v>3039</v>
      </c>
      <c r="AR182" s="56" t="s">
        <v>1646</v>
      </c>
      <c r="AS182" s="56" t="s">
        <v>3795</v>
      </c>
      <c r="AT182" s="21" t="s">
        <v>1646</v>
      </c>
      <c r="AU182" s="21" t="s">
        <v>3793</v>
      </c>
      <c r="AV182" s="21" t="s">
        <v>2907</v>
      </c>
      <c r="AW182" s="21">
        <v>59</v>
      </c>
      <c r="AX182" s="21">
        <v>66</v>
      </c>
      <c r="AY182" s="21" t="s">
        <v>3796</v>
      </c>
      <c r="AZ182" s="21">
        <v>174.6</v>
      </c>
      <c r="BA182" s="21"/>
      <c r="BB182" s="21">
        <v>20.100000000000001</v>
      </c>
      <c r="BC182" s="21" t="s">
        <v>3799</v>
      </c>
      <c r="BD182" s="21">
        <v>164.7</v>
      </c>
      <c r="BE182" s="21"/>
      <c r="BF182" s="21">
        <v>18.600000000000001</v>
      </c>
    </row>
    <row r="183" spans="1:60" s="56" customFormat="1" x14ac:dyDescent="0.2">
      <c r="A183" s="21">
        <v>55</v>
      </c>
      <c r="B183" s="21" t="s">
        <v>404</v>
      </c>
      <c r="C183" s="21" t="s">
        <v>405</v>
      </c>
      <c r="D183" s="21" t="s">
        <v>406</v>
      </c>
      <c r="E183" s="21" t="s">
        <v>407</v>
      </c>
      <c r="F183" s="21" t="s">
        <v>408</v>
      </c>
      <c r="G183" s="21">
        <v>2012</v>
      </c>
      <c r="H183" s="70">
        <v>40733</v>
      </c>
      <c r="I183" s="21" t="s">
        <v>32</v>
      </c>
      <c r="J183" s="21" t="s">
        <v>32</v>
      </c>
      <c r="K183" s="21" t="s">
        <v>409</v>
      </c>
      <c r="L183" s="21">
        <v>1</v>
      </c>
      <c r="M183" s="21" t="s">
        <v>32</v>
      </c>
      <c r="N183" s="21" t="s">
        <v>34</v>
      </c>
      <c r="O183" s="21" t="s">
        <v>34</v>
      </c>
      <c r="P183" s="21" t="s">
        <v>34</v>
      </c>
      <c r="Q183" s="21" t="s">
        <v>34</v>
      </c>
      <c r="R183" s="21" t="s">
        <v>34</v>
      </c>
      <c r="S183" s="21" t="s">
        <v>34</v>
      </c>
      <c r="T183" s="21" t="s">
        <v>34</v>
      </c>
      <c r="U183" s="21" t="s">
        <v>32</v>
      </c>
      <c r="V183" s="21">
        <v>1</v>
      </c>
      <c r="W183" s="21" t="s">
        <v>32</v>
      </c>
      <c r="X183" s="21" t="s">
        <v>32</v>
      </c>
      <c r="Y183" s="21" t="s">
        <v>410</v>
      </c>
      <c r="Z183" s="21" t="s">
        <v>32</v>
      </c>
      <c r="AA183" s="21">
        <v>21739522</v>
      </c>
      <c r="AB183" s="21">
        <v>1</v>
      </c>
      <c r="AC183" s="21"/>
      <c r="AD183" s="56">
        <v>3</v>
      </c>
      <c r="AE183" s="56">
        <f>AF183+AG183</f>
        <v>21</v>
      </c>
      <c r="AF183" s="56">
        <v>10</v>
      </c>
      <c r="AG183" s="56">
        <v>11</v>
      </c>
      <c r="AH183" s="56" t="s">
        <v>2845</v>
      </c>
      <c r="AI183" s="56" t="s">
        <v>2845</v>
      </c>
      <c r="AJ183" s="56">
        <v>22</v>
      </c>
      <c r="AK183" s="56">
        <v>2.7</v>
      </c>
      <c r="AL183" s="56">
        <v>23</v>
      </c>
      <c r="AM183" s="56">
        <v>4.4000000000000004</v>
      </c>
      <c r="AN183" s="56" t="s">
        <v>2918</v>
      </c>
      <c r="AO183" s="56" t="s">
        <v>1770</v>
      </c>
      <c r="AP183" s="56" t="s">
        <v>3794</v>
      </c>
      <c r="AQ183" s="56" t="s">
        <v>3039</v>
      </c>
      <c r="AR183" s="56" t="s">
        <v>1646</v>
      </c>
      <c r="AS183" s="56" t="s">
        <v>3795</v>
      </c>
      <c r="AT183" s="21" t="s">
        <v>1646</v>
      </c>
      <c r="AU183" s="21" t="s">
        <v>3793</v>
      </c>
      <c r="AV183" s="21" t="s">
        <v>2907</v>
      </c>
      <c r="AW183" s="21">
        <v>59</v>
      </c>
      <c r="AX183" s="21">
        <v>66</v>
      </c>
      <c r="AY183" s="21" t="s">
        <v>3800</v>
      </c>
      <c r="AZ183" s="21">
        <v>173.7</v>
      </c>
      <c r="BA183" s="21"/>
      <c r="BB183" s="21">
        <v>17.399999999999999</v>
      </c>
      <c r="BC183" s="21" t="s">
        <v>3801</v>
      </c>
      <c r="BD183" s="21">
        <v>131.1</v>
      </c>
      <c r="BE183" s="21"/>
      <c r="BF183" s="21">
        <v>12.7</v>
      </c>
    </row>
    <row r="184" spans="1:60" s="65" customFormat="1" x14ac:dyDescent="0.2">
      <c r="A184" s="20">
        <v>56</v>
      </c>
      <c r="B184" s="20" t="s">
        <v>411</v>
      </c>
      <c r="C184" s="20" t="s">
        <v>412</v>
      </c>
      <c r="D184" s="20" t="s">
        <v>413</v>
      </c>
      <c r="E184" s="20" t="s">
        <v>414</v>
      </c>
      <c r="F184" s="20" t="s">
        <v>415</v>
      </c>
      <c r="G184" s="20">
        <v>2011</v>
      </c>
      <c r="H184" s="64">
        <v>40715</v>
      </c>
      <c r="I184" s="20" t="s">
        <v>416</v>
      </c>
      <c r="J184" s="20" t="s">
        <v>417</v>
      </c>
      <c r="K184" s="20" t="s">
        <v>418</v>
      </c>
      <c r="L184" s="20">
        <v>1</v>
      </c>
      <c r="M184" s="20" t="s">
        <v>32</v>
      </c>
      <c r="N184" s="20" t="s">
        <v>34</v>
      </c>
      <c r="O184" s="20" t="s">
        <v>34</v>
      </c>
      <c r="P184" s="20" t="s">
        <v>34</v>
      </c>
      <c r="Q184" s="20" t="s">
        <v>34</v>
      </c>
      <c r="R184" s="20" t="s">
        <v>34</v>
      </c>
      <c r="S184" s="20" t="s">
        <v>34</v>
      </c>
      <c r="T184" s="20" t="s">
        <v>34</v>
      </c>
      <c r="U184" s="20" t="s">
        <v>32</v>
      </c>
      <c r="V184" s="20">
        <v>1</v>
      </c>
      <c r="W184" s="20" t="s">
        <v>32</v>
      </c>
      <c r="X184" s="20" t="s">
        <v>32</v>
      </c>
      <c r="Y184" s="20" t="s">
        <v>32</v>
      </c>
      <c r="Z184" s="20" t="s">
        <v>32</v>
      </c>
      <c r="AA184" s="20">
        <v>21683556</v>
      </c>
      <c r="AB184" s="20">
        <v>0</v>
      </c>
      <c r="AC184" s="20" t="s">
        <v>3215</v>
      </c>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row>
    <row r="185" spans="1:60" s="65" customFormat="1" x14ac:dyDescent="0.2">
      <c r="A185" s="20">
        <v>57</v>
      </c>
      <c r="B185" s="20" t="s">
        <v>419</v>
      </c>
      <c r="C185" s="20" t="s">
        <v>420</v>
      </c>
      <c r="D185" s="20" t="s">
        <v>421</v>
      </c>
      <c r="E185" s="20" t="s">
        <v>422</v>
      </c>
      <c r="F185" s="20" t="s">
        <v>137</v>
      </c>
      <c r="G185" s="20">
        <v>2011</v>
      </c>
      <c r="H185" s="64">
        <v>40687</v>
      </c>
      <c r="I185" s="20" t="s">
        <v>423</v>
      </c>
      <c r="J185" s="20" t="s">
        <v>424</v>
      </c>
      <c r="K185" s="20" t="s">
        <v>425</v>
      </c>
      <c r="L185" s="20">
        <v>1</v>
      </c>
      <c r="M185" s="20" t="s">
        <v>32</v>
      </c>
      <c r="N185" s="20" t="s">
        <v>34</v>
      </c>
      <c r="O185" s="20" t="s">
        <v>34</v>
      </c>
      <c r="P185" s="20" t="s">
        <v>34</v>
      </c>
      <c r="Q185" s="20" t="s">
        <v>34</v>
      </c>
      <c r="R185" s="20" t="s">
        <v>34</v>
      </c>
      <c r="S185" s="20" t="s">
        <v>34</v>
      </c>
      <c r="T185" s="20" t="s">
        <v>34</v>
      </c>
      <c r="U185" s="20" t="s">
        <v>32</v>
      </c>
      <c r="V185" s="20">
        <v>1</v>
      </c>
      <c r="W185" s="20" t="s">
        <v>32</v>
      </c>
      <c r="X185" s="20" t="s">
        <v>32</v>
      </c>
      <c r="Y185" s="20" t="s">
        <v>32</v>
      </c>
      <c r="Z185" s="20" t="s">
        <v>32</v>
      </c>
      <c r="AA185" s="20">
        <v>21601366</v>
      </c>
      <c r="AB185" s="20">
        <v>0</v>
      </c>
      <c r="AC185" s="20" t="s">
        <v>3213</v>
      </c>
      <c r="AD185" s="20"/>
      <c r="AE185" s="20">
        <f t="shared" si="3"/>
        <v>0</v>
      </c>
      <c r="AF185" s="20"/>
      <c r="AG185" s="20"/>
      <c r="AH185" s="20"/>
      <c r="AI185" s="20"/>
      <c r="AJ185" s="20"/>
      <c r="AK185" s="20"/>
      <c r="AL185" s="20"/>
      <c r="AM185" s="20"/>
      <c r="AN185" s="20"/>
      <c r="AO185" s="20"/>
      <c r="AP185" s="20"/>
      <c r="AQ185" s="20" t="s">
        <v>3204</v>
      </c>
      <c r="AR185" s="20"/>
      <c r="AS185" s="20"/>
      <c r="AT185" s="20"/>
      <c r="AU185" s="20"/>
      <c r="AV185" s="20"/>
      <c r="AW185" s="20"/>
      <c r="AX185" s="20"/>
      <c r="AY185" s="20"/>
      <c r="AZ185" s="20"/>
      <c r="BA185" s="20"/>
      <c r="BB185" s="20"/>
      <c r="BC185" s="20"/>
      <c r="BD185" s="20"/>
      <c r="BE185" s="20"/>
      <c r="BF185" s="20"/>
      <c r="BH185" s="65" t="s">
        <v>3222</v>
      </c>
    </row>
    <row r="186" spans="1:60" s="65" customFormat="1" x14ac:dyDescent="0.2">
      <c r="A186" s="20">
        <v>58</v>
      </c>
      <c r="B186" s="20" t="s">
        <v>426</v>
      </c>
      <c r="C186" s="20" t="s">
        <v>427</v>
      </c>
      <c r="D186" s="20" t="s">
        <v>428</v>
      </c>
      <c r="E186" s="20" t="s">
        <v>429</v>
      </c>
      <c r="F186" s="20" t="s">
        <v>430</v>
      </c>
      <c r="G186" s="20">
        <v>2011</v>
      </c>
      <c r="H186" s="64">
        <v>40498</v>
      </c>
      <c r="I186" s="20" t="s">
        <v>431</v>
      </c>
      <c r="J186" s="20" t="s">
        <v>432</v>
      </c>
      <c r="K186" s="20" t="s">
        <v>433</v>
      </c>
      <c r="L186" s="20">
        <v>1</v>
      </c>
      <c r="M186" s="20" t="s">
        <v>32</v>
      </c>
      <c r="N186" s="20" t="s">
        <v>34</v>
      </c>
      <c r="O186" s="20" t="s">
        <v>34</v>
      </c>
      <c r="P186" s="20" t="s">
        <v>34</v>
      </c>
      <c r="Q186" s="20" t="s">
        <v>34</v>
      </c>
      <c r="R186" s="20" t="s">
        <v>34</v>
      </c>
      <c r="S186" s="20" t="s">
        <v>34</v>
      </c>
      <c r="T186" s="20" t="s">
        <v>34</v>
      </c>
      <c r="U186" s="20" t="s">
        <v>32</v>
      </c>
      <c r="V186" s="20">
        <v>1</v>
      </c>
      <c r="W186" s="20" t="s">
        <v>32</v>
      </c>
      <c r="X186" s="20" t="s">
        <v>32</v>
      </c>
      <c r="Y186" s="20" t="s">
        <v>32</v>
      </c>
      <c r="Z186" s="20" t="s">
        <v>32</v>
      </c>
      <c r="AA186" s="20">
        <v>21075593</v>
      </c>
      <c r="AB186" s="20">
        <v>0</v>
      </c>
      <c r="AC186" s="20" t="s">
        <v>3218</v>
      </c>
      <c r="AD186" s="20"/>
      <c r="AE186" s="20"/>
      <c r="AF186" s="20">
        <v>8</v>
      </c>
      <c r="AG186" s="20">
        <v>8</v>
      </c>
      <c r="AH186" s="20" t="s">
        <v>2845</v>
      </c>
      <c r="AI186" s="20" t="s">
        <v>2845</v>
      </c>
      <c r="AJ186" s="20">
        <v>42</v>
      </c>
      <c r="AK186" s="20" t="s">
        <v>3216</v>
      </c>
      <c r="AL186" s="20">
        <v>35</v>
      </c>
      <c r="AM186" s="20" t="s">
        <v>3217</v>
      </c>
      <c r="AN186" s="20"/>
      <c r="AO186" s="20"/>
      <c r="AP186" s="20"/>
      <c r="AQ186" s="20"/>
      <c r="AR186" s="20"/>
      <c r="AS186" s="20"/>
      <c r="AT186" s="20"/>
      <c r="AU186" s="20"/>
      <c r="AV186" s="20"/>
      <c r="AW186" s="20"/>
      <c r="AX186" s="20"/>
      <c r="AY186" s="20"/>
      <c r="AZ186" s="20"/>
      <c r="BA186" s="20"/>
      <c r="BB186" s="20"/>
      <c r="BC186" s="20"/>
      <c r="BD186" s="20"/>
      <c r="BE186" s="20"/>
      <c r="BF186" s="20"/>
    </row>
    <row r="187" spans="1:60" s="56" customFormat="1" x14ac:dyDescent="0.2">
      <c r="A187" s="21">
        <v>59</v>
      </c>
      <c r="B187" s="21" t="s">
        <v>434</v>
      </c>
      <c r="C187" s="21" t="s">
        <v>435</v>
      </c>
      <c r="D187" s="21" t="s">
        <v>436</v>
      </c>
      <c r="E187" s="21" t="s">
        <v>437</v>
      </c>
      <c r="F187" s="21" t="s">
        <v>438</v>
      </c>
      <c r="G187" s="21">
        <v>2010</v>
      </c>
      <c r="H187" s="70">
        <v>40386</v>
      </c>
      <c r="I187" s="21" t="s">
        <v>32</v>
      </c>
      <c r="J187" s="21" t="s">
        <v>32</v>
      </c>
      <c r="K187" s="21" t="s">
        <v>32</v>
      </c>
      <c r="L187" s="21">
        <v>1</v>
      </c>
      <c r="M187" s="21" t="s">
        <v>32</v>
      </c>
      <c r="N187" s="21" t="s">
        <v>34</v>
      </c>
      <c r="O187" s="21" t="s">
        <v>34</v>
      </c>
      <c r="P187" s="21" t="s">
        <v>34</v>
      </c>
      <c r="Q187" s="21" t="s">
        <v>34</v>
      </c>
      <c r="R187" s="21" t="s">
        <v>34</v>
      </c>
      <c r="S187" s="21" t="s">
        <v>34</v>
      </c>
      <c r="T187" s="21" t="s">
        <v>34</v>
      </c>
      <c r="U187" s="21" t="s">
        <v>32</v>
      </c>
      <c r="V187" s="21">
        <v>1</v>
      </c>
      <c r="W187" s="21" t="s">
        <v>32</v>
      </c>
      <c r="X187" s="21" t="s">
        <v>32</v>
      </c>
      <c r="Y187" s="21" t="s">
        <v>32</v>
      </c>
      <c r="Z187" s="21" t="s">
        <v>32</v>
      </c>
      <c r="AA187" s="21">
        <v>20653296</v>
      </c>
      <c r="AB187" s="21">
        <v>1</v>
      </c>
      <c r="AC187" s="21"/>
      <c r="AD187" s="21">
        <v>2</v>
      </c>
      <c r="AE187" s="21">
        <f t="shared" si="3"/>
        <v>10</v>
      </c>
      <c r="AF187" s="21">
        <v>5</v>
      </c>
      <c r="AG187" s="21">
        <v>5</v>
      </c>
      <c r="AH187" s="21" t="s">
        <v>1642</v>
      </c>
      <c r="AI187" s="21" t="s">
        <v>1642</v>
      </c>
      <c r="AJ187" s="21">
        <v>29.4</v>
      </c>
      <c r="AK187" s="21" t="s">
        <v>3220</v>
      </c>
      <c r="AL187" s="21">
        <v>34.200000000000003</v>
      </c>
      <c r="AM187" s="21" t="s">
        <v>3221</v>
      </c>
      <c r="AN187" s="21" t="s">
        <v>2902</v>
      </c>
      <c r="AO187" s="21" t="s">
        <v>1770</v>
      </c>
      <c r="AP187" s="40" t="s">
        <v>3219</v>
      </c>
      <c r="AQ187" s="21" t="s">
        <v>3039</v>
      </c>
      <c r="AR187" s="21" t="s">
        <v>1646</v>
      </c>
      <c r="AS187" s="21" t="s">
        <v>2950</v>
      </c>
      <c r="AT187" s="21" t="s">
        <v>1646</v>
      </c>
      <c r="AU187" s="21" t="s">
        <v>2952</v>
      </c>
      <c r="AV187" s="21" t="s">
        <v>2907</v>
      </c>
      <c r="AW187" s="21">
        <v>62</v>
      </c>
      <c r="AX187" s="21">
        <v>69</v>
      </c>
      <c r="AY187" s="21" t="s">
        <v>3806</v>
      </c>
      <c r="AZ187" s="21">
        <v>54.4</v>
      </c>
      <c r="BA187" s="21">
        <v>8.1999999999999993</v>
      </c>
      <c r="BB187" s="21"/>
      <c r="BC187" s="21" t="s">
        <v>3806</v>
      </c>
      <c r="BD187" s="21">
        <v>56.6</v>
      </c>
      <c r="BE187" s="21">
        <v>9.6</v>
      </c>
      <c r="BF187" s="21"/>
      <c r="BG187" s="56" t="s">
        <v>3807</v>
      </c>
    </row>
    <row r="188" spans="1:60" x14ac:dyDescent="0.2">
      <c r="A188" s="7">
        <v>60</v>
      </c>
      <c r="B188" s="7" t="s">
        <v>439</v>
      </c>
      <c r="C188" s="7" t="s">
        <v>440</v>
      </c>
      <c r="D188" s="7" t="s">
        <v>441</v>
      </c>
      <c r="E188" s="7" t="s">
        <v>422</v>
      </c>
      <c r="F188" s="7" t="s">
        <v>391</v>
      </c>
      <c r="G188" s="7">
        <v>2010</v>
      </c>
      <c r="H188" s="8">
        <v>40219</v>
      </c>
      <c r="I188" s="7" t="s">
        <v>442</v>
      </c>
      <c r="J188" s="7" t="s">
        <v>443</v>
      </c>
      <c r="K188" s="7" t="s">
        <v>444</v>
      </c>
      <c r="L188" s="7">
        <v>1</v>
      </c>
      <c r="M188" s="7" t="s">
        <v>32</v>
      </c>
      <c r="N188" s="7" t="s">
        <v>34</v>
      </c>
      <c r="O188" s="7" t="s">
        <v>34</v>
      </c>
      <c r="P188" s="7" t="s">
        <v>34</v>
      </c>
      <c r="Q188" s="7" t="s">
        <v>34</v>
      </c>
      <c r="R188" s="7" t="s">
        <v>34</v>
      </c>
      <c r="S188" s="7" t="s">
        <v>34</v>
      </c>
      <c r="T188" s="7" t="s">
        <v>34</v>
      </c>
      <c r="U188" s="7" t="s">
        <v>32</v>
      </c>
      <c r="V188" s="7">
        <v>1</v>
      </c>
      <c r="W188" s="7" t="s">
        <v>32</v>
      </c>
      <c r="X188" s="7" t="s">
        <v>32</v>
      </c>
      <c r="Y188" s="7" t="s">
        <v>32</v>
      </c>
      <c r="Z188" s="7" t="s">
        <v>32</v>
      </c>
      <c r="AA188" s="7">
        <v>20143428</v>
      </c>
      <c r="AB188" s="7">
        <v>1</v>
      </c>
      <c r="AC188" s="7"/>
      <c r="AD188" s="7">
        <v>3</v>
      </c>
      <c r="AE188" s="7">
        <f t="shared" si="3"/>
        <v>67</v>
      </c>
      <c r="AF188" s="7">
        <v>14</v>
      </c>
      <c r="AG188" s="7">
        <v>53</v>
      </c>
      <c r="AH188" s="7" t="s">
        <v>2845</v>
      </c>
      <c r="AI188" s="7" t="s">
        <v>2845</v>
      </c>
      <c r="AJ188" s="7">
        <v>41.8</v>
      </c>
      <c r="AK188" s="7">
        <v>13.6</v>
      </c>
      <c r="AL188" s="7">
        <v>45.7</v>
      </c>
      <c r="AM188" s="7">
        <v>12.9</v>
      </c>
      <c r="AN188" s="7" t="s">
        <v>3224</v>
      </c>
      <c r="AO188" s="7" t="s">
        <v>1770</v>
      </c>
      <c r="AP188" s="7" t="s">
        <v>3203</v>
      </c>
      <c r="AQ188" s="7" t="s">
        <v>3223</v>
      </c>
      <c r="AR188" s="7" t="s">
        <v>1646</v>
      </c>
      <c r="AS188" s="7" t="s">
        <v>1639</v>
      </c>
      <c r="AT188" s="7" t="s">
        <v>1646</v>
      </c>
      <c r="AU188" s="7" t="s">
        <v>2928</v>
      </c>
      <c r="AV188" s="7" t="s">
        <v>2907</v>
      </c>
      <c r="AW188" s="7">
        <v>29</v>
      </c>
      <c r="AX188" s="7">
        <v>30</v>
      </c>
      <c r="AY188" s="7" t="s">
        <v>3127</v>
      </c>
      <c r="AZ188" s="7">
        <v>97.816599999999994</v>
      </c>
      <c r="BA188" s="7">
        <f>126.201-AZ188</f>
        <v>28.384399999999999</v>
      </c>
      <c r="BC188" s="7" t="s">
        <v>3163</v>
      </c>
      <c r="BD188" s="7">
        <v>71.397400000000005</v>
      </c>
      <c r="BE188" s="7">
        <f>81.0044-BD188</f>
        <v>9.6069999999999993</v>
      </c>
      <c r="BG188" t="s">
        <v>3225</v>
      </c>
      <c r="BH188" t="s">
        <v>3222</v>
      </c>
    </row>
    <row r="189" spans="1:60" x14ac:dyDescent="0.2">
      <c r="A189" s="7">
        <v>60</v>
      </c>
      <c r="B189" s="7" t="s">
        <v>439</v>
      </c>
      <c r="C189" s="7" t="s">
        <v>440</v>
      </c>
      <c r="D189" s="7" t="s">
        <v>441</v>
      </c>
      <c r="E189" s="7" t="s">
        <v>422</v>
      </c>
      <c r="F189" s="7" t="s">
        <v>391</v>
      </c>
      <c r="G189" s="7">
        <v>2010</v>
      </c>
      <c r="H189" s="8">
        <v>40219</v>
      </c>
      <c r="I189" s="7" t="s">
        <v>442</v>
      </c>
      <c r="J189" s="7" t="s">
        <v>443</v>
      </c>
      <c r="K189" s="7" t="s">
        <v>444</v>
      </c>
      <c r="L189" s="7">
        <v>1</v>
      </c>
      <c r="M189" s="7" t="s">
        <v>32</v>
      </c>
      <c r="N189" s="7" t="s">
        <v>34</v>
      </c>
      <c r="O189" s="7" t="s">
        <v>34</v>
      </c>
      <c r="P189" s="7" t="s">
        <v>34</v>
      </c>
      <c r="Q189" s="7" t="s">
        <v>34</v>
      </c>
      <c r="R189" s="7" t="s">
        <v>34</v>
      </c>
      <c r="S189" s="7" t="s">
        <v>34</v>
      </c>
      <c r="T189" s="7" t="s">
        <v>34</v>
      </c>
      <c r="U189" s="7" t="s">
        <v>32</v>
      </c>
      <c r="V189" s="7">
        <v>1</v>
      </c>
      <c r="W189" s="7" t="s">
        <v>32</v>
      </c>
      <c r="X189" s="7" t="s">
        <v>32</v>
      </c>
      <c r="Y189" s="7" t="s">
        <v>32</v>
      </c>
      <c r="Z189" s="7" t="s">
        <v>32</v>
      </c>
      <c r="AA189" s="7">
        <v>20143428</v>
      </c>
      <c r="AB189" s="7">
        <v>1</v>
      </c>
      <c r="AC189" s="7"/>
      <c r="AD189" s="7">
        <v>3</v>
      </c>
      <c r="AE189" s="7">
        <f>AF189+AG189</f>
        <v>67</v>
      </c>
      <c r="AF189" s="7">
        <v>14</v>
      </c>
      <c r="AG189" s="7">
        <v>53</v>
      </c>
      <c r="AH189" s="7" t="s">
        <v>2845</v>
      </c>
      <c r="AI189" s="7" t="s">
        <v>2845</v>
      </c>
      <c r="AJ189" s="7">
        <v>41.8</v>
      </c>
      <c r="AK189" s="7">
        <v>13.6</v>
      </c>
      <c r="AL189" s="7">
        <v>45.7</v>
      </c>
      <c r="AM189" s="7">
        <v>12.9</v>
      </c>
      <c r="AN189" s="7" t="s">
        <v>3224</v>
      </c>
      <c r="AO189" s="7" t="s">
        <v>1770</v>
      </c>
      <c r="AP189" s="7" t="s">
        <v>3203</v>
      </c>
      <c r="AQ189" s="7" t="s">
        <v>3223</v>
      </c>
      <c r="AR189" s="7" t="s">
        <v>1646</v>
      </c>
      <c r="AS189" s="7" t="s">
        <v>1639</v>
      </c>
      <c r="AT189" s="7" t="s">
        <v>1646</v>
      </c>
      <c r="AU189" s="7" t="s">
        <v>2927</v>
      </c>
      <c r="AV189" s="7" t="s">
        <v>2907</v>
      </c>
      <c r="AW189" s="7">
        <v>29</v>
      </c>
      <c r="AX189" s="7">
        <v>30</v>
      </c>
      <c r="AY189" s="7" t="s">
        <v>3126</v>
      </c>
      <c r="AZ189" s="7">
        <v>70.305700000000002</v>
      </c>
      <c r="BA189" s="7">
        <f>103.712-AZ189</f>
        <v>33.406300000000002</v>
      </c>
      <c r="BC189" s="7" t="s">
        <v>3162</v>
      </c>
      <c r="BD189" s="7">
        <v>53.930100000000003</v>
      </c>
      <c r="BE189" s="7">
        <f>63.1004-BD189</f>
        <v>9.1702999999999975</v>
      </c>
    </row>
    <row r="190" spans="1:60" x14ac:dyDescent="0.2">
      <c r="A190" s="7">
        <v>61</v>
      </c>
      <c r="B190" s="7" t="s">
        <v>445</v>
      </c>
      <c r="C190" s="7" t="s">
        <v>446</v>
      </c>
      <c r="D190" s="7" t="s">
        <v>447</v>
      </c>
      <c r="E190" s="7" t="s">
        <v>422</v>
      </c>
      <c r="F190" s="7" t="s">
        <v>137</v>
      </c>
      <c r="G190" s="7">
        <v>2010</v>
      </c>
      <c r="H190" s="8">
        <v>40176</v>
      </c>
      <c r="I190" s="7" t="s">
        <v>448</v>
      </c>
      <c r="J190" s="7" t="s">
        <v>449</v>
      </c>
      <c r="K190" s="7" t="s">
        <v>450</v>
      </c>
      <c r="L190" s="7">
        <v>1</v>
      </c>
      <c r="M190" s="7" t="s">
        <v>451</v>
      </c>
      <c r="N190" s="7" t="s">
        <v>34</v>
      </c>
      <c r="O190" s="7" t="s">
        <v>34</v>
      </c>
      <c r="P190" s="7" t="s">
        <v>34</v>
      </c>
      <c r="Q190" s="7" t="s">
        <v>34</v>
      </c>
      <c r="R190" s="7" t="s">
        <v>34</v>
      </c>
      <c r="S190" s="7" t="s">
        <v>34</v>
      </c>
      <c r="T190" s="7" t="s">
        <v>34</v>
      </c>
      <c r="U190" s="7" t="s">
        <v>32</v>
      </c>
      <c r="V190" s="7">
        <v>1</v>
      </c>
      <c r="W190" s="7" t="s">
        <v>32</v>
      </c>
      <c r="X190" s="7" t="s">
        <v>32</v>
      </c>
      <c r="Y190" s="7" t="s">
        <v>32</v>
      </c>
      <c r="Z190" s="7" t="s">
        <v>32</v>
      </c>
      <c r="AA190" s="7">
        <v>20036466</v>
      </c>
      <c r="AB190" s="7">
        <v>1</v>
      </c>
      <c r="AC190" s="7"/>
      <c r="AD190" s="7">
        <v>3</v>
      </c>
      <c r="AE190" s="7">
        <f t="shared" si="3"/>
        <v>90</v>
      </c>
      <c r="AF190" s="7">
        <v>29</v>
      </c>
      <c r="AG190" s="7">
        <v>61</v>
      </c>
      <c r="AH190" s="7" t="s">
        <v>2845</v>
      </c>
      <c r="AI190" s="7" t="s">
        <v>2845</v>
      </c>
      <c r="AJ190" s="7">
        <v>44.4</v>
      </c>
      <c r="AK190" s="7">
        <v>12</v>
      </c>
      <c r="AL190" s="7">
        <v>45.2</v>
      </c>
      <c r="AM190" s="7">
        <v>12.2</v>
      </c>
      <c r="AN190" s="7" t="s">
        <v>3224</v>
      </c>
      <c r="AO190" s="7" t="s">
        <v>1770</v>
      </c>
      <c r="AP190" s="7" t="s">
        <v>3203</v>
      </c>
      <c r="AQ190" s="7" t="s">
        <v>3223</v>
      </c>
      <c r="AR190" s="7" t="s">
        <v>1646</v>
      </c>
      <c r="AS190" s="7" t="s">
        <v>1639</v>
      </c>
      <c r="AT190" s="7" t="s">
        <v>1646</v>
      </c>
      <c r="AU190" s="7" t="s">
        <v>2928</v>
      </c>
      <c r="AV190" s="7" t="s">
        <v>2907</v>
      </c>
      <c r="AW190" s="7">
        <v>30</v>
      </c>
      <c r="AX190" s="7">
        <v>31</v>
      </c>
      <c r="AY190" s="7" t="s">
        <v>3205</v>
      </c>
      <c r="AZ190" s="7">
        <v>68.2483</v>
      </c>
      <c r="BB190" s="7">
        <f>81.9296-AZ190</f>
        <v>13.681299999999993</v>
      </c>
      <c r="BC190" s="7" t="s">
        <v>3234</v>
      </c>
      <c r="BD190" s="7">
        <v>58.204799999999999</v>
      </c>
      <c r="BF190" s="7">
        <f>66.8248-BD190</f>
        <v>8.6199999999999974</v>
      </c>
      <c r="BH190" t="s">
        <v>3222</v>
      </c>
    </row>
    <row r="191" spans="1:60" x14ac:dyDescent="0.2">
      <c r="A191" s="7">
        <v>61</v>
      </c>
      <c r="B191" s="7" t="s">
        <v>445</v>
      </c>
      <c r="C191" s="7" t="s">
        <v>446</v>
      </c>
      <c r="D191" s="7" t="s">
        <v>447</v>
      </c>
      <c r="E191" s="7" t="s">
        <v>422</v>
      </c>
      <c r="F191" s="7" t="s">
        <v>137</v>
      </c>
      <c r="G191" s="7">
        <v>2010</v>
      </c>
      <c r="H191" s="8">
        <v>40176</v>
      </c>
      <c r="I191" s="7" t="s">
        <v>448</v>
      </c>
      <c r="J191" s="7" t="s">
        <v>449</v>
      </c>
      <c r="K191" s="7" t="s">
        <v>450</v>
      </c>
      <c r="L191" s="7">
        <v>1</v>
      </c>
      <c r="M191" s="7" t="s">
        <v>451</v>
      </c>
      <c r="N191" s="7" t="s">
        <v>34</v>
      </c>
      <c r="O191" s="7" t="s">
        <v>34</v>
      </c>
      <c r="P191" s="7" t="s">
        <v>34</v>
      </c>
      <c r="Q191" s="7" t="s">
        <v>34</v>
      </c>
      <c r="R191" s="7" t="s">
        <v>34</v>
      </c>
      <c r="S191" s="7" t="s">
        <v>34</v>
      </c>
      <c r="T191" s="7" t="s">
        <v>34</v>
      </c>
      <c r="U191" s="7" t="s">
        <v>32</v>
      </c>
      <c r="V191" s="7">
        <v>1</v>
      </c>
      <c r="W191" s="7" t="s">
        <v>32</v>
      </c>
      <c r="X191" s="7" t="s">
        <v>32</v>
      </c>
      <c r="Y191" s="7" t="s">
        <v>32</v>
      </c>
      <c r="Z191" s="7" t="s">
        <v>32</v>
      </c>
      <c r="AA191" s="7">
        <v>20036466</v>
      </c>
      <c r="AB191" s="7">
        <v>1</v>
      </c>
      <c r="AC191" s="7"/>
      <c r="AD191" s="7">
        <v>3</v>
      </c>
      <c r="AE191" s="7">
        <f>AF191+AG191</f>
        <v>90</v>
      </c>
      <c r="AF191" s="7">
        <v>29</v>
      </c>
      <c r="AG191" s="7">
        <v>61</v>
      </c>
      <c r="AH191" s="7" t="s">
        <v>2845</v>
      </c>
      <c r="AI191" s="7" t="s">
        <v>2845</v>
      </c>
      <c r="AJ191" s="7">
        <v>44.4</v>
      </c>
      <c r="AK191" s="7">
        <v>12</v>
      </c>
      <c r="AL191" s="7">
        <v>45.2</v>
      </c>
      <c r="AM191" s="7">
        <v>12.2</v>
      </c>
      <c r="AN191" s="7" t="s">
        <v>3224</v>
      </c>
      <c r="AO191" s="7" t="s">
        <v>1770</v>
      </c>
      <c r="AP191" s="7" t="s">
        <v>3203</v>
      </c>
      <c r="AQ191" s="7" t="s">
        <v>3223</v>
      </c>
      <c r="AR191" s="7" t="s">
        <v>1646</v>
      </c>
      <c r="AS191" s="7" t="s">
        <v>1639</v>
      </c>
      <c r="AT191" s="7" t="s">
        <v>1646</v>
      </c>
      <c r="AU191" s="7" t="s">
        <v>2928</v>
      </c>
      <c r="AV191" s="7" t="s">
        <v>2907</v>
      </c>
      <c r="AW191" s="7">
        <v>30</v>
      </c>
      <c r="AX191" s="7">
        <v>31</v>
      </c>
      <c r="AY191" s="7" t="s">
        <v>3206</v>
      </c>
      <c r="AZ191" s="7">
        <v>59.786499999999997</v>
      </c>
      <c r="BB191" s="7">
        <f>72.1234-AZ191</f>
        <v>12.336900000000007</v>
      </c>
      <c r="BC191" s="7" t="s">
        <v>3235</v>
      </c>
      <c r="BD191" s="7">
        <v>52.194499999999998</v>
      </c>
      <c r="BF191" s="7">
        <f>60.6564-'human.inclusions.s3'!BD191</f>
        <v>8.4619</v>
      </c>
    </row>
    <row r="192" spans="1:60" x14ac:dyDescent="0.2">
      <c r="A192" s="7">
        <v>61</v>
      </c>
      <c r="B192" s="7" t="s">
        <v>445</v>
      </c>
      <c r="C192" s="7" t="s">
        <v>446</v>
      </c>
      <c r="D192" s="7" t="s">
        <v>447</v>
      </c>
      <c r="E192" s="7" t="s">
        <v>422</v>
      </c>
      <c r="F192" s="7" t="s">
        <v>137</v>
      </c>
      <c r="G192" s="7">
        <v>2010</v>
      </c>
      <c r="H192" s="8">
        <v>40176</v>
      </c>
      <c r="I192" s="7" t="s">
        <v>448</v>
      </c>
      <c r="J192" s="7" t="s">
        <v>449</v>
      </c>
      <c r="K192" s="7" t="s">
        <v>450</v>
      </c>
      <c r="L192" s="7">
        <v>1</v>
      </c>
      <c r="M192" s="7" t="s">
        <v>451</v>
      </c>
      <c r="N192" s="7" t="s">
        <v>34</v>
      </c>
      <c r="O192" s="7" t="s">
        <v>34</v>
      </c>
      <c r="P192" s="7" t="s">
        <v>34</v>
      </c>
      <c r="Q192" s="7" t="s">
        <v>34</v>
      </c>
      <c r="R192" s="7" t="s">
        <v>34</v>
      </c>
      <c r="S192" s="7" t="s">
        <v>34</v>
      </c>
      <c r="T192" s="7" t="s">
        <v>34</v>
      </c>
      <c r="U192" s="7" t="s">
        <v>32</v>
      </c>
      <c r="V192" s="7">
        <v>1</v>
      </c>
      <c r="W192" s="7" t="s">
        <v>32</v>
      </c>
      <c r="X192" s="7" t="s">
        <v>32</v>
      </c>
      <c r="Y192" s="7" t="s">
        <v>32</v>
      </c>
      <c r="Z192" s="7" t="s">
        <v>32</v>
      </c>
      <c r="AA192" s="7">
        <v>20036466</v>
      </c>
      <c r="AB192" s="7">
        <v>1</v>
      </c>
      <c r="AC192" s="7"/>
      <c r="AD192" s="7">
        <v>3</v>
      </c>
      <c r="AE192" s="7">
        <f>AF192+AG192</f>
        <v>90</v>
      </c>
      <c r="AF192" s="7">
        <v>29</v>
      </c>
      <c r="AG192" s="7">
        <v>61</v>
      </c>
      <c r="AH192" s="7" t="s">
        <v>2845</v>
      </c>
      <c r="AI192" s="7" t="s">
        <v>2845</v>
      </c>
      <c r="AJ192" s="7">
        <v>44.4</v>
      </c>
      <c r="AK192" s="7">
        <v>12</v>
      </c>
      <c r="AL192" s="7">
        <v>45.2</v>
      </c>
      <c r="AM192" s="7">
        <v>12.2</v>
      </c>
      <c r="AN192" s="7" t="s">
        <v>3224</v>
      </c>
      <c r="AO192" s="7" t="s">
        <v>1770</v>
      </c>
      <c r="AP192" s="7" t="s">
        <v>3203</v>
      </c>
      <c r="AQ192" s="7" t="s">
        <v>3223</v>
      </c>
      <c r="AR192" s="7" t="s">
        <v>1646</v>
      </c>
      <c r="AS192" s="7" t="s">
        <v>1639</v>
      </c>
      <c r="AT192" s="7" t="s">
        <v>1646</v>
      </c>
      <c r="AU192" s="7" t="s">
        <v>2928</v>
      </c>
      <c r="AV192" s="7" t="s">
        <v>2907</v>
      </c>
      <c r="AW192" s="7">
        <v>30</v>
      </c>
      <c r="AX192" s="7">
        <v>31</v>
      </c>
      <c r="AY192" s="7" t="s">
        <v>3207</v>
      </c>
      <c r="AZ192" s="7">
        <v>60.893599999999999</v>
      </c>
      <c r="BB192" s="7">
        <f>75.2867-AZ192</f>
        <v>14.393099999999997</v>
      </c>
      <c r="BC192" s="7" t="s">
        <v>3236</v>
      </c>
      <c r="BD192" s="7">
        <v>43.258200000000002</v>
      </c>
      <c r="BF192" s="7">
        <f>50.2966-BD192</f>
        <v>7.0383999999999958</v>
      </c>
    </row>
    <row r="193" spans="1:59" x14ac:dyDescent="0.2">
      <c r="A193" s="7">
        <v>61</v>
      </c>
      <c r="B193" s="7" t="s">
        <v>445</v>
      </c>
      <c r="C193" s="7" t="s">
        <v>446</v>
      </c>
      <c r="D193" s="7" t="s">
        <v>447</v>
      </c>
      <c r="E193" s="7" t="s">
        <v>422</v>
      </c>
      <c r="F193" s="7" t="s">
        <v>137</v>
      </c>
      <c r="G193" s="7">
        <v>2010</v>
      </c>
      <c r="H193" s="8">
        <v>40176</v>
      </c>
      <c r="I193" s="7" t="s">
        <v>448</v>
      </c>
      <c r="J193" s="7" t="s">
        <v>449</v>
      </c>
      <c r="K193" s="7" t="s">
        <v>450</v>
      </c>
      <c r="L193" s="7">
        <v>1</v>
      </c>
      <c r="M193" s="7" t="s">
        <v>451</v>
      </c>
      <c r="N193" s="7" t="s">
        <v>34</v>
      </c>
      <c r="O193" s="7" t="s">
        <v>34</v>
      </c>
      <c r="P193" s="7" t="s">
        <v>34</v>
      </c>
      <c r="Q193" s="7" t="s">
        <v>34</v>
      </c>
      <c r="R193" s="7" t="s">
        <v>34</v>
      </c>
      <c r="S193" s="7" t="s">
        <v>34</v>
      </c>
      <c r="T193" s="7" t="s">
        <v>34</v>
      </c>
      <c r="U193" s="7" t="s">
        <v>32</v>
      </c>
      <c r="V193" s="7">
        <v>1</v>
      </c>
      <c r="W193" s="7" t="s">
        <v>32</v>
      </c>
      <c r="X193" s="7" t="s">
        <v>32</v>
      </c>
      <c r="Y193" s="7" t="s">
        <v>32</v>
      </c>
      <c r="Z193" s="7" t="s">
        <v>32</v>
      </c>
      <c r="AA193" s="7">
        <v>20036466</v>
      </c>
      <c r="AB193" s="7">
        <v>1</v>
      </c>
      <c r="AC193" s="7"/>
      <c r="AD193" s="7">
        <v>3</v>
      </c>
      <c r="AE193" s="7">
        <f>AF193+AG193</f>
        <v>90</v>
      </c>
      <c r="AF193" s="7">
        <v>29</v>
      </c>
      <c r="AG193" s="7">
        <v>61</v>
      </c>
      <c r="AH193" s="7" t="s">
        <v>2845</v>
      </c>
      <c r="AI193" s="7" t="s">
        <v>2845</v>
      </c>
      <c r="AJ193" s="7">
        <v>44.4</v>
      </c>
      <c r="AK193" s="7">
        <v>12</v>
      </c>
      <c r="AL193" s="7">
        <v>45.2</v>
      </c>
      <c r="AM193" s="7">
        <v>12.2</v>
      </c>
      <c r="AN193" s="7" t="s">
        <v>3224</v>
      </c>
      <c r="AO193" s="7" t="s">
        <v>1770</v>
      </c>
      <c r="AP193" s="7" t="s">
        <v>3203</v>
      </c>
      <c r="AQ193" s="7" t="s">
        <v>3223</v>
      </c>
      <c r="AR193" s="7" t="s">
        <v>1646</v>
      </c>
      <c r="AS193" s="7" t="s">
        <v>1639</v>
      </c>
      <c r="AT193" s="7" t="s">
        <v>1646</v>
      </c>
      <c r="AU193" s="7" t="s">
        <v>2927</v>
      </c>
      <c r="AV193" s="7" t="s">
        <v>2907</v>
      </c>
      <c r="AW193" s="7">
        <v>30</v>
      </c>
      <c r="AX193" s="7">
        <v>31</v>
      </c>
      <c r="AY193" s="7" t="s">
        <v>3208</v>
      </c>
      <c r="AZ193" s="7">
        <v>74.416799999999995</v>
      </c>
      <c r="BB193" s="7">
        <f>89.917-AZ193</f>
        <v>15.500200000000007</v>
      </c>
      <c r="BC193" s="7" t="s">
        <v>3237</v>
      </c>
      <c r="BD193" s="7">
        <v>60.102800000000002</v>
      </c>
      <c r="BF193" s="7">
        <f>69.6718-BD193</f>
        <v>9.5690000000000026</v>
      </c>
    </row>
    <row r="194" spans="1:59" x14ac:dyDescent="0.2">
      <c r="A194" s="7">
        <v>61</v>
      </c>
      <c r="B194" s="7" t="s">
        <v>445</v>
      </c>
      <c r="C194" s="7" t="s">
        <v>446</v>
      </c>
      <c r="D194" s="7" t="s">
        <v>447</v>
      </c>
      <c r="E194" s="7" t="s">
        <v>422</v>
      </c>
      <c r="F194" s="7" t="s">
        <v>137</v>
      </c>
      <c r="G194" s="7">
        <v>2010</v>
      </c>
      <c r="H194" s="8">
        <v>40176</v>
      </c>
      <c r="I194" s="7" t="s">
        <v>448</v>
      </c>
      <c r="J194" s="7" t="s">
        <v>449</v>
      </c>
      <c r="K194" s="7" t="s">
        <v>450</v>
      </c>
      <c r="L194" s="7">
        <v>1</v>
      </c>
      <c r="M194" s="7" t="s">
        <v>451</v>
      </c>
      <c r="N194" s="7" t="s">
        <v>34</v>
      </c>
      <c r="O194" s="7" t="s">
        <v>34</v>
      </c>
      <c r="P194" s="7" t="s">
        <v>34</v>
      </c>
      <c r="Q194" s="7" t="s">
        <v>34</v>
      </c>
      <c r="R194" s="7" t="s">
        <v>34</v>
      </c>
      <c r="S194" s="7" t="s">
        <v>34</v>
      </c>
      <c r="T194" s="7" t="s">
        <v>34</v>
      </c>
      <c r="U194" s="7" t="s">
        <v>32</v>
      </c>
      <c r="V194" s="7">
        <v>1</v>
      </c>
      <c r="W194" s="7" t="s">
        <v>32</v>
      </c>
      <c r="X194" s="7" t="s">
        <v>32</v>
      </c>
      <c r="Y194" s="7" t="s">
        <v>32</v>
      </c>
      <c r="Z194" s="7" t="s">
        <v>32</v>
      </c>
      <c r="AA194" s="7">
        <v>20036466</v>
      </c>
      <c r="AB194" s="7">
        <v>1</v>
      </c>
      <c r="AC194" s="7"/>
      <c r="AD194" s="7">
        <v>3</v>
      </c>
      <c r="AE194" s="7">
        <f>AF194+AG194</f>
        <v>90</v>
      </c>
      <c r="AF194" s="7">
        <v>29</v>
      </c>
      <c r="AG194" s="7">
        <v>61</v>
      </c>
      <c r="AH194" s="7" t="s">
        <v>2845</v>
      </c>
      <c r="AI194" s="7" t="s">
        <v>2845</v>
      </c>
      <c r="AJ194" s="7">
        <v>44.4</v>
      </c>
      <c r="AK194" s="7">
        <v>12</v>
      </c>
      <c r="AL194" s="7">
        <v>45.2</v>
      </c>
      <c r="AM194" s="7">
        <v>12.2</v>
      </c>
      <c r="AN194" s="7" t="s">
        <v>3224</v>
      </c>
      <c r="AO194" s="7" t="s">
        <v>1770</v>
      </c>
      <c r="AP194" s="7" t="s">
        <v>3203</v>
      </c>
      <c r="AQ194" s="7" t="s">
        <v>3223</v>
      </c>
      <c r="AR194" s="7" t="s">
        <v>1646</v>
      </c>
      <c r="AS194" s="7" t="s">
        <v>1639</v>
      </c>
      <c r="AT194" s="7" t="s">
        <v>1646</v>
      </c>
      <c r="AU194" s="7" t="s">
        <v>2927</v>
      </c>
      <c r="AV194" s="7" t="s">
        <v>2907</v>
      </c>
      <c r="AW194" s="7">
        <v>30</v>
      </c>
      <c r="AX194" s="7">
        <v>31</v>
      </c>
      <c r="AY194" s="7" t="s">
        <v>3209</v>
      </c>
      <c r="AZ194" s="7">
        <v>65.243200000000002</v>
      </c>
      <c r="BB194" s="7">
        <f>83.1159-AZ194</f>
        <v>17.872699999999995</v>
      </c>
      <c r="BC194" s="7" t="s">
        <v>3238</v>
      </c>
      <c r="BD194" s="7">
        <v>42.783700000000003</v>
      </c>
      <c r="BF194" s="7">
        <f>50.0593-BD194</f>
        <v>7.2755999999999972</v>
      </c>
    </row>
    <row r="195" spans="1:59" x14ac:dyDescent="0.2">
      <c r="A195" s="7">
        <v>61</v>
      </c>
      <c r="B195" s="7" t="s">
        <v>445</v>
      </c>
      <c r="C195" s="7" t="s">
        <v>446</v>
      </c>
      <c r="D195" s="7" t="s">
        <v>447</v>
      </c>
      <c r="E195" s="7" t="s">
        <v>422</v>
      </c>
      <c r="F195" s="7" t="s">
        <v>137</v>
      </c>
      <c r="G195" s="7">
        <v>2010</v>
      </c>
      <c r="H195" s="8">
        <v>40176</v>
      </c>
      <c r="I195" s="7" t="s">
        <v>448</v>
      </c>
      <c r="J195" s="7" t="s">
        <v>449</v>
      </c>
      <c r="K195" s="7" t="s">
        <v>450</v>
      </c>
      <c r="L195" s="7">
        <v>1</v>
      </c>
      <c r="M195" s="7" t="s">
        <v>451</v>
      </c>
      <c r="N195" s="7" t="s">
        <v>34</v>
      </c>
      <c r="O195" s="7" t="s">
        <v>34</v>
      </c>
      <c r="P195" s="7" t="s">
        <v>34</v>
      </c>
      <c r="Q195" s="7" t="s">
        <v>34</v>
      </c>
      <c r="R195" s="7" t="s">
        <v>34</v>
      </c>
      <c r="S195" s="7" t="s">
        <v>34</v>
      </c>
      <c r="T195" s="7" t="s">
        <v>34</v>
      </c>
      <c r="U195" s="7" t="s">
        <v>32</v>
      </c>
      <c r="V195" s="7">
        <v>1</v>
      </c>
      <c r="W195" s="7" t="s">
        <v>32</v>
      </c>
      <c r="X195" s="7" t="s">
        <v>32</v>
      </c>
      <c r="Y195" s="7" t="s">
        <v>32</v>
      </c>
      <c r="Z195" s="7" t="s">
        <v>32</v>
      </c>
      <c r="AA195" s="7">
        <v>20036466</v>
      </c>
      <c r="AB195" s="7">
        <v>1</v>
      </c>
      <c r="AC195" s="7"/>
      <c r="AD195" s="7">
        <v>3</v>
      </c>
      <c r="AE195" s="7">
        <f>AF195+AG195</f>
        <v>90</v>
      </c>
      <c r="AF195" s="7">
        <v>29</v>
      </c>
      <c r="AG195" s="7">
        <v>61</v>
      </c>
      <c r="AH195" s="7" t="s">
        <v>2845</v>
      </c>
      <c r="AI195" s="7" t="s">
        <v>2845</v>
      </c>
      <c r="AJ195" s="7">
        <v>44.4</v>
      </c>
      <c r="AK195" s="7">
        <v>12</v>
      </c>
      <c r="AL195" s="7">
        <v>45.2</v>
      </c>
      <c r="AM195" s="7">
        <v>12.2</v>
      </c>
      <c r="AN195" s="7" t="s">
        <v>3224</v>
      </c>
      <c r="AO195" s="7" t="s">
        <v>1770</v>
      </c>
      <c r="AP195" s="7" t="s">
        <v>3203</v>
      </c>
      <c r="AQ195" s="7" t="s">
        <v>3223</v>
      </c>
      <c r="AR195" s="7" t="s">
        <v>1646</v>
      </c>
      <c r="AS195" s="7" t="s">
        <v>1639</v>
      </c>
      <c r="AT195" s="7" t="s">
        <v>1646</v>
      </c>
      <c r="AU195" s="7" t="s">
        <v>2927</v>
      </c>
      <c r="AV195" s="7" t="s">
        <v>2907</v>
      </c>
      <c r="AW195" s="7">
        <v>30</v>
      </c>
      <c r="AX195" s="7">
        <v>31</v>
      </c>
      <c r="AY195" s="7" t="s">
        <v>3210</v>
      </c>
      <c r="AZ195" s="7">
        <v>62.238</v>
      </c>
      <c r="BB195" s="7">
        <f>80.1898-AZ195</f>
        <v>17.951800000000006</v>
      </c>
      <c r="BC195" s="7" t="s">
        <v>3239</v>
      </c>
      <c r="BD195" s="7">
        <v>37.089799999999997</v>
      </c>
      <c r="BF195" s="7">
        <f>43.5745-BD195</f>
        <v>6.4847000000000037</v>
      </c>
    </row>
    <row r="196" spans="1:59" s="65" customFormat="1" x14ac:dyDescent="0.2">
      <c r="A196" s="20">
        <v>62</v>
      </c>
      <c r="B196" s="20" t="s">
        <v>452</v>
      </c>
      <c r="C196" s="20" t="s">
        <v>453</v>
      </c>
      <c r="D196" s="20" t="s">
        <v>454</v>
      </c>
      <c r="E196" s="20" t="s">
        <v>455</v>
      </c>
      <c r="F196" s="20" t="s">
        <v>64</v>
      </c>
      <c r="G196" s="20">
        <v>2009</v>
      </c>
      <c r="H196" s="64">
        <v>39987</v>
      </c>
      <c r="I196" s="20" t="s">
        <v>456</v>
      </c>
      <c r="J196" s="20" t="s">
        <v>32</v>
      </c>
      <c r="K196" s="20" t="s">
        <v>457</v>
      </c>
      <c r="L196" s="20">
        <v>1</v>
      </c>
      <c r="M196" s="20" t="s">
        <v>32</v>
      </c>
      <c r="N196" s="20" t="s">
        <v>34</v>
      </c>
      <c r="O196" s="20" t="s">
        <v>34</v>
      </c>
      <c r="P196" s="20" t="s">
        <v>34</v>
      </c>
      <c r="Q196" s="20" t="s">
        <v>34</v>
      </c>
      <c r="R196" s="20" t="s">
        <v>34</v>
      </c>
      <c r="S196" s="20" t="s">
        <v>34</v>
      </c>
      <c r="T196" s="20" t="s">
        <v>34</v>
      </c>
      <c r="U196" s="20" t="s">
        <v>32</v>
      </c>
      <c r="V196" s="20">
        <v>1</v>
      </c>
      <c r="W196" s="20" t="s">
        <v>32</v>
      </c>
      <c r="X196" s="20" t="s">
        <v>32</v>
      </c>
      <c r="Y196" s="20" t="s">
        <v>32</v>
      </c>
      <c r="Z196" s="20" t="s">
        <v>32</v>
      </c>
      <c r="AA196" s="20">
        <v>19538748</v>
      </c>
      <c r="AB196" s="20">
        <v>0</v>
      </c>
      <c r="AC196" s="20" t="s">
        <v>3218</v>
      </c>
      <c r="AD196" s="20"/>
      <c r="AE196" s="20">
        <f t="shared" si="3"/>
        <v>0</v>
      </c>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row>
    <row r="197" spans="1:59" x14ac:dyDescent="0.2">
      <c r="A197" s="7">
        <v>63</v>
      </c>
      <c r="B197" s="7" t="s">
        <v>458</v>
      </c>
      <c r="C197" s="7" t="s">
        <v>459</v>
      </c>
      <c r="D197" s="7" t="s">
        <v>460</v>
      </c>
      <c r="E197" s="7" t="s">
        <v>422</v>
      </c>
      <c r="F197" s="7" t="s">
        <v>415</v>
      </c>
      <c r="G197" s="7">
        <v>2009</v>
      </c>
      <c r="H197" s="8">
        <v>39910</v>
      </c>
      <c r="I197" s="7" t="s">
        <v>461</v>
      </c>
      <c r="J197" s="7" t="s">
        <v>462</v>
      </c>
      <c r="K197" s="7" t="s">
        <v>463</v>
      </c>
      <c r="L197" s="7">
        <v>1</v>
      </c>
      <c r="M197" s="7" t="s">
        <v>32</v>
      </c>
      <c r="N197" s="7" t="s">
        <v>34</v>
      </c>
      <c r="O197" s="7" t="s">
        <v>34</v>
      </c>
      <c r="P197" s="7" t="s">
        <v>34</v>
      </c>
      <c r="Q197" s="7" t="s">
        <v>34</v>
      </c>
      <c r="R197" s="7" t="s">
        <v>34</v>
      </c>
      <c r="S197" s="7" t="s">
        <v>34</v>
      </c>
      <c r="T197" s="7" t="s">
        <v>34</v>
      </c>
      <c r="U197" s="7" t="s">
        <v>32</v>
      </c>
      <c r="V197" s="7">
        <v>1</v>
      </c>
      <c r="W197" s="7" t="s">
        <v>32</v>
      </c>
      <c r="X197" s="7" t="s">
        <v>32</v>
      </c>
      <c r="Y197" s="7" t="s">
        <v>32</v>
      </c>
      <c r="Z197" s="7" t="s">
        <v>32</v>
      </c>
      <c r="AA197" s="7">
        <v>19345420</v>
      </c>
      <c r="AB197" s="7">
        <v>1</v>
      </c>
      <c r="AC197" s="7"/>
      <c r="AD197" s="7">
        <v>3</v>
      </c>
      <c r="AE197" s="7">
        <f t="shared" si="3"/>
        <v>41</v>
      </c>
      <c r="AF197" s="7">
        <v>13</v>
      </c>
      <c r="AG197" s="7">
        <v>28</v>
      </c>
      <c r="AH197" s="7" t="s">
        <v>1642</v>
      </c>
      <c r="AI197" s="7" t="s">
        <v>1642</v>
      </c>
      <c r="AJ197" s="7">
        <v>53.21</v>
      </c>
      <c r="AK197" s="7">
        <v>6.29</v>
      </c>
      <c r="AL197" s="7">
        <v>48.29</v>
      </c>
      <c r="AM197" s="7">
        <v>11.5</v>
      </c>
      <c r="AN197" s="7" t="s">
        <v>2947</v>
      </c>
      <c r="AO197" s="7" t="s">
        <v>1638</v>
      </c>
      <c r="AP197" s="7" t="s">
        <v>3227</v>
      </c>
      <c r="AQ197" s="7" t="s">
        <v>3226</v>
      </c>
      <c r="AR197" s="7" t="s">
        <v>1646</v>
      </c>
      <c r="AS197" s="7" t="s">
        <v>1639</v>
      </c>
      <c r="AT197" s="7" t="s">
        <v>1646</v>
      </c>
      <c r="AU197" s="7" t="s">
        <v>2928</v>
      </c>
      <c r="AV197" s="7" t="s">
        <v>2848</v>
      </c>
      <c r="AW197" s="7">
        <v>31</v>
      </c>
      <c r="AX197" s="7">
        <v>32</v>
      </c>
      <c r="AY197" s="7" t="s">
        <v>3228</v>
      </c>
      <c r="AZ197" s="7">
        <v>225.67</v>
      </c>
      <c r="BA197" s="7"/>
      <c r="BB197" s="7">
        <f>277.393-AZ197</f>
        <v>51.722999999999985</v>
      </c>
      <c r="BC197" s="7" t="s">
        <v>3230</v>
      </c>
      <c r="BD197" s="7">
        <v>176.07400000000001</v>
      </c>
      <c r="BE197" s="7"/>
      <c r="BF197" s="7">
        <f>206.123-BD197</f>
        <v>30.048999999999978</v>
      </c>
      <c r="BG197" t="s">
        <v>3240</v>
      </c>
    </row>
    <row r="198" spans="1:59" x14ac:dyDescent="0.2">
      <c r="A198" s="7">
        <v>63</v>
      </c>
      <c r="B198" s="7" t="s">
        <v>458</v>
      </c>
      <c r="C198" s="7" t="s">
        <v>459</v>
      </c>
      <c r="D198" s="7" t="s">
        <v>460</v>
      </c>
      <c r="E198" s="7" t="s">
        <v>422</v>
      </c>
      <c r="F198" s="7" t="s">
        <v>415</v>
      </c>
      <c r="G198" s="7">
        <v>2009</v>
      </c>
      <c r="H198" s="8">
        <v>39910</v>
      </c>
      <c r="I198" s="7" t="s">
        <v>461</v>
      </c>
      <c r="J198" s="7" t="s">
        <v>462</v>
      </c>
      <c r="K198" s="7" t="s">
        <v>463</v>
      </c>
      <c r="L198" s="7">
        <v>1</v>
      </c>
      <c r="M198" s="7" t="s">
        <v>32</v>
      </c>
      <c r="N198" s="7" t="s">
        <v>34</v>
      </c>
      <c r="O198" s="7" t="s">
        <v>34</v>
      </c>
      <c r="P198" s="7" t="s">
        <v>34</v>
      </c>
      <c r="Q198" s="7" t="s">
        <v>34</v>
      </c>
      <c r="R198" s="7" t="s">
        <v>34</v>
      </c>
      <c r="S198" s="7" t="s">
        <v>34</v>
      </c>
      <c r="T198" s="7" t="s">
        <v>34</v>
      </c>
      <c r="U198" s="7" t="s">
        <v>32</v>
      </c>
      <c r="V198" s="7">
        <v>1</v>
      </c>
      <c r="W198" s="7" t="s">
        <v>32</v>
      </c>
      <c r="X198" s="7" t="s">
        <v>32</v>
      </c>
      <c r="Y198" s="7" t="s">
        <v>32</v>
      </c>
      <c r="Z198" s="7" t="s">
        <v>32</v>
      </c>
      <c r="AA198" s="7">
        <v>19345420</v>
      </c>
      <c r="AB198" s="7">
        <v>1</v>
      </c>
      <c r="AC198" s="7"/>
      <c r="AD198" s="7">
        <v>3</v>
      </c>
      <c r="AE198" s="7">
        <f t="shared" si="3"/>
        <v>42</v>
      </c>
      <c r="AF198" s="7">
        <v>14</v>
      </c>
      <c r="AG198" s="7">
        <v>28</v>
      </c>
      <c r="AH198" s="7" t="s">
        <v>1642</v>
      </c>
      <c r="AI198" s="7" t="s">
        <v>1642</v>
      </c>
      <c r="AJ198" s="7">
        <v>53.85</v>
      </c>
      <c r="AK198" s="7">
        <v>7.3</v>
      </c>
      <c r="AL198" s="7">
        <v>48.29</v>
      </c>
      <c r="AM198" s="7">
        <v>11.5</v>
      </c>
      <c r="AN198" s="7" t="s">
        <v>2947</v>
      </c>
      <c r="AO198" s="7" t="s">
        <v>1638</v>
      </c>
      <c r="AP198" s="7" t="s">
        <v>3227</v>
      </c>
      <c r="AQ198" s="7" t="s">
        <v>3226</v>
      </c>
      <c r="AR198" s="7" t="s">
        <v>1646</v>
      </c>
      <c r="AS198" s="7" t="s">
        <v>1639</v>
      </c>
      <c r="AT198" s="7" t="s">
        <v>1646</v>
      </c>
      <c r="AU198" s="7" t="s">
        <v>2928</v>
      </c>
      <c r="AV198" s="7" t="s">
        <v>2848</v>
      </c>
      <c r="AW198" s="7">
        <v>32</v>
      </c>
      <c r="AX198" s="7">
        <v>32</v>
      </c>
      <c r="AY198" s="7" t="s">
        <v>3229</v>
      </c>
      <c r="AZ198" s="7">
        <v>192.99600000000001</v>
      </c>
      <c r="BA198" s="7"/>
      <c r="BB198" s="7">
        <f>234.867-AZ198</f>
        <v>41.870999999999981</v>
      </c>
      <c r="BC198" s="7" t="s">
        <v>3231</v>
      </c>
      <c r="BD198" s="7">
        <v>176.07400000000001</v>
      </c>
      <c r="BE198" s="7"/>
      <c r="BF198" s="7">
        <f>206.123-BD198</f>
        <v>30.048999999999978</v>
      </c>
    </row>
    <row r="199" spans="1:59" s="56" customFormat="1" x14ac:dyDescent="0.2">
      <c r="A199" s="21">
        <v>64</v>
      </c>
      <c r="B199" s="21" t="s">
        <v>464</v>
      </c>
      <c r="C199" s="21" t="s">
        <v>465</v>
      </c>
      <c r="D199" s="21" t="s">
        <v>466</v>
      </c>
      <c r="E199" s="21" t="s">
        <v>467</v>
      </c>
      <c r="F199" s="21" t="s">
        <v>468</v>
      </c>
      <c r="G199" s="21">
        <v>2009</v>
      </c>
      <c r="H199" s="70">
        <v>39861</v>
      </c>
      <c r="I199" s="21" t="s">
        <v>469</v>
      </c>
      <c r="J199" s="21" t="s">
        <v>470</v>
      </c>
      <c r="K199" s="21" t="s">
        <v>471</v>
      </c>
      <c r="L199" s="21">
        <v>1</v>
      </c>
      <c r="M199" s="21" t="s">
        <v>472</v>
      </c>
      <c r="N199" s="21" t="s">
        <v>34</v>
      </c>
      <c r="O199" s="21" t="s">
        <v>34</v>
      </c>
      <c r="P199" s="21" t="s">
        <v>34</v>
      </c>
      <c r="Q199" s="21" t="s">
        <v>34</v>
      </c>
      <c r="R199" s="21" t="s">
        <v>34</v>
      </c>
      <c r="S199" s="21" t="s">
        <v>34</v>
      </c>
      <c r="T199" s="21" t="s">
        <v>34</v>
      </c>
      <c r="U199" s="21" t="s">
        <v>32</v>
      </c>
      <c r="V199" s="21">
        <v>1</v>
      </c>
      <c r="W199" s="21" t="s">
        <v>32</v>
      </c>
      <c r="X199" s="21" t="s">
        <v>32</v>
      </c>
      <c r="Y199" s="21" t="s">
        <v>32</v>
      </c>
      <c r="Z199" s="21" t="s">
        <v>32</v>
      </c>
      <c r="AA199" s="21">
        <v>19217076</v>
      </c>
      <c r="AB199" s="21">
        <v>1</v>
      </c>
      <c r="AC199" s="21"/>
      <c r="AD199" s="21">
        <v>3</v>
      </c>
      <c r="AE199" s="21">
        <f t="shared" si="3"/>
        <v>50</v>
      </c>
      <c r="AF199" s="21">
        <v>16</v>
      </c>
      <c r="AG199" s="21">
        <v>34</v>
      </c>
      <c r="AH199" s="21" t="s">
        <v>2845</v>
      </c>
      <c r="AI199" s="21" t="s">
        <v>2845</v>
      </c>
      <c r="AJ199" s="21">
        <v>34.5</v>
      </c>
      <c r="AK199" s="21">
        <v>12.4</v>
      </c>
      <c r="AL199" s="21">
        <v>30.2</v>
      </c>
      <c r="AM199" s="21">
        <v>8.5</v>
      </c>
      <c r="AN199" s="21" t="s">
        <v>2947</v>
      </c>
      <c r="AO199" s="21" t="s">
        <v>1638</v>
      </c>
      <c r="AP199" s="21" t="s">
        <v>2846</v>
      </c>
      <c r="AQ199" s="21" t="s">
        <v>3241</v>
      </c>
      <c r="AR199" s="21"/>
      <c r="AS199" s="21" t="s">
        <v>1639</v>
      </c>
      <c r="AT199" s="21" t="s">
        <v>1646</v>
      </c>
      <c r="AU199" s="21" t="s">
        <v>2927</v>
      </c>
      <c r="AV199" s="21" t="s">
        <v>2848</v>
      </c>
      <c r="AW199" s="21">
        <v>33</v>
      </c>
      <c r="AX199" s="21">
        <v>33</v>
      </c>
      <c r="AY199" s="21" t="s">
        <v>3887</v>
      </c>
      <c r="AZ199" s="21">
        <v>29.8</v>
      </c>
      <c r="BA199" s="21">
        <v>6.1</v>
      </c>
      <c r="BB199" s="21"/>
      <c r="BC199" s="21" t="s">
        <v>3889</v>
      </c>
      <c r="BD199" s="21">
        <v>25.8</v>
      </c>
      <c r="BE199" s="21">
        <v>4.7</v>
      </c>
      <c r="BF199" s="21"/>
      <c r="BG199" s="56" t="s">
        <v>3628</v>
      </c>
    </row>
    <row r="200" spans="1:59" s="56" customFormat="1" x14ac:dyDescent="0.2">
      <c r="A200" s="21">
        <v>64</v>
      </c>
      <c r="B200" s="21" t="s">
        <v>464</v>
      </c>
      <c r="C200" s="21" t="s">
        <v>465</v>
      </c>
      <c r="D200" s="21" t="s">
        <v>466</v>
      </c>
      <c r="E200" s="21" t="s">
        <v>467</v>
      </c>
      <c r="F200" s="21" t="s">
        <v>468</v>
      </c>
      <c r="G200" s="21">
        <v>2009</v>
      </c>
      <c r="H200" s="70">
        <v>39861</v>
      </c>
      <c r="I200" s="21" t="s">
        <v>469</v>
      </c>
      <c r="J200" s="21" t="s">
        <v>470</v>
      </c>
      <c r="K200" s="21" t="s">
        <v>471</v>
      </c>
      <c r="L200" s="21">
        <v>1</v>
      </c>
      <c r="M200" s="21" t="s">
        <v>472</v>
      </c>
      <c r="N200" s="21" t="s">
        <v>34</v>
      </c>
      <c r="O200" s="21" t="s">
        <v>34</v>
      </c>
      <c r="P200" s="21" t="s">
        <v>34</v>
      </c>
      <c r="Q200" s="21" t="s">
        <v>34</v>
      </c>
      <c r="R200" s="21" t="s">
        <v>34</v>
      </c>
      <c r="S200" s="21" t="s">
        <v>34</v>
      </c>
      <c r="T200" s="21" t="s">
        <v>34</v>
      </c>
      <c r="U200" s="21" t="s">
        <v>32</v>
      </c>
      <c r="V200" s="21">
        <v>1</v>
      </c>
      <c r="W200" s="21" t="s">
        <v>32</v>
      </c>
      <c r="X200" s="21" t="s">
        <v>32</v>
      </c>
      <c r="Y200" s="21" t="s">
        <v>32</v>
      </c>
      <c r="Z200" s="21" t="s">
        <v>32</v>
      </c>
      <c r="AA200" s="21">
        <v>19217076</v>
      </c>
      <c r="AB200" s="21">
        <v>1</v>
      </c>
      <c r="AC200" s="21"/>
      <c r="AD200" s="21">
        <v>3</v>
      </c>
      <c r="AE200" s="21">
        <f t="shared" ref="AE200" si="7">AF200+AG200</f>
        <v>50</v>
      </c>
      <c r="AF200" s="21">
        <v>16</v>
      </c>
      <c r="AG200" s="21">
        <v>34</v>
      </c>
      <c r="AH200" s="21" t="s">
        <v>2845</v>
      </c>
      <c r="AI200" s="21" t="s">
        <v>2845</v>
      </c>
      <c r="AJ200" s="21">
        <v>34.5</v>
      </c>
      <c r="AK200" s="21">
        <v>12.4</v>
      </c>
      <c r="AL200" s="21">
        <v>30.2</v>
      </c>
      <c r="AM200" s="21">
        <v>8.5</v>
      </c>
      <c r="AN200" s="21" t="s">
        <v>2947</v>
      </c>
      <c r="AO200" s="21" t="s">
        <v>1638</v>
      </c>
      <c r="AP200" s="21" t="s">
        <v>2846</v>
      </c>
      <c r="AQ200" s="21" t="s">
        <v>3241</v>
      </c>
      <c r="AR200" s="21"/>
      <c r="AS200" s="21" t="s">
        <v>1639</v>
      </c>
      <c r="AT200" s="21" t="s">
        <v>1646</v>
      </c>
      <c r="AU200" s="21" t="s">
        <v>2928</v>
      </c>
      <c r="AV200" s="21" t="s">
        <v>2848</v>
      </c>
      <c r="AW200" s="21">
        <v>33</v>
      </c>
      <c r="AX200" s="21">
        <v>33</v>
      </c>
      <c r="AY200" s="21" t="s">
        <v>3888</v>
      </c>
      <c r="AZ200" s="21">
        <v>45.4</v>
      </c>
      <c r="BA200" s="21">
        <v>7.8</v>
      </c>
      <c r="BB200" s="21"/>
      <c r="BC200" s="21" t="s">
        <v>3890</v>
      </c>
      <c r="BD200" s="21">
        <v>30.7</v>
      </c>
      <c r="BE200" s="21">
        <v>6</v>
      </c>
      <c r="BF200" s="21"/>
      <c r="BG200" s="56" t="s">
        <v>3628</v>
      </c>
    </row>
    <row r="201" spans="1:59" x14ac:dyDescent="0.2">
      <c r="A201" s="7">
        <v>65</v>
      </c>
      <c r="B201" s="7" t="s">
        <v>473</v>
      </c>
      <c r="C201" s="7" t="s">
        <v>474</v>
      </c>
      <c r="D201" s="7" t="s">
        <v>475</v>
      </c>
      <c r="E201" s="7" t="s">
        <v>476</v>
      </c>
      <c r="F201" s="7" t="s">
        <v>477</v>
      </c>
      <c r="G201" s="7">
        <v>2009</v>
      </c>
      <c r="H201" s="8">
        <v>39737</v>
      </c>
      <c r="I201" s="7" t="s">
        <v>32</v>
      </c>
      <c r="J201" s="7" t="s">
        <v>32</v>
      </c>
      <c r="K201" s="7" t="s">
        <v>478</v>
      </c>
      <c r="L201" s="7">
        <v>1</v>
      </c>
      <c r="M201" s="7" t="s">
        <v>479</v>
      </c>
      <c r="N201" s="7" t="s">
        <v>34</v>
      </c>
      <c r="O201" s="7" t="s">
        <v>34</v>
      </c>
      <c r="P201" s="7" t="s">
        <v>34</v>
      </c>
      <c r="Q201" s="7" t="s">
        <v>34</v>
      </c>
      <c r="R201" s="7" t="s">
        <v>34</v>
      </c>
      <c r="S201" s="7" t="s">
        <v>34</v>
      </c>
      <c r="T201" s="7" t="s">
        <v>34</v>
      </c>
      <c r="U201" s="7" t="s">
        <v>32</v>
      </c>
      <c r="V201" s="7">
        <v>1</v>
      </c>
      <c r="W201" s="7" t="s">
        <v>32</v>
      </c>
      <c r="X201" s="7" t="s">
        <v>32</v>
      </c>
      <c r="Y201" s="7" t="s">
        <v>32</v>
      </c>
      <c r="Z201" s="7" t="s">
        <v>32</v>
      </c>
      <c r="AA201" s="7">
        <v>18853946</v>
      </c>
      <c r="AB201" s="7">
        <v>1</v>
      </c>
      <c r="AC201" s="7"/>
      <c r="AD201" s="7">
        <v>3</v>
      </c>
      <c r="AE201" s="7">
        <f t="shared" si="3"/>
        <v>38</v>
      </c>
      <c r="AF201" s="7">
        <v>16</v>
      </c>
      <c r="AG201" s="7">
        <v>22</v>
      </c>
      <c r="AH201" s="7" t="s">
        <v>2845</v>
      </c>
      <c r="AI201" s="7" t="s">
        <v>2845</v>
      </c>
      <c r="AJ201" s="7">
        <v>42.13</v>
      </c>
      <c r="AK201" s="7">
        <v>12.88</v>
      </c>
      <c r="AL201" s="7">
        <v>33.590000000000003</v>
      </c>
      <c r="AM201" s="7">
        <v>13.76</v>
      </c>
      <c r="AN201" s="7" t="s">
        <v>2918</v>
      </c>
      <c r="AO201" s="7" t="s">
        <v>1770</v>
      </c>
      <c r="AP201" s="7" t="s">
        <v>3242</v>
      </c>
      <c r="AQ201" s="7" t="s">
        <v>3039</v>
      </c>
      <c r="AR201" s="7" t="s">
        <v>1646</v>
      </c>
      <c r="AS201" s="7" t="s">
        <v>2950</v>
      </c>
      <c r="AT201" s="7" t="s">
        <v>1646</v>
      </c>
      <c r="AU201" t="s">
        <v>2957</v>
      </c>
      <c r="AV201" s="7" t="s">
        <v>2907</v>
      </c>
      <c r="AW201" s="7">
        <v>34</v>
      </c>
      <c r="AX201" s="7">
        <v>34</v>
      </c>
      <c r="AY201" s="7" t="s">
        <v>3249</v>
      </c>
      <c r="AZ201" s="7">
        <v>5.31</v>
      </c>
      <c r="BA201">
        <v>1.1399999999999999</v>
      </c>
      <c r="BC201" s="7" t="s">
        <v>3356</v>
      </c>
      <c r="BD201" s="7">
        <v>6.5</v>
      </c>
      <c r="BE201" s="7">
        <v>1.82</v>
      </c>
    </row>
    <row r="202" spans="1:59" x14ac:dyDescent="0.2">
      <c r="A202" s="7">
        <v>65</v>
      </c>
      <c r="B202" s="7" t="s">
        <v>473</v>
      </c>
      <c r="C202" s="7" t="s">
        <v>474</v>
      </c>
      <c r="D202" s="7" t="s">
        <v>475</v>
      </c>
      <c r="E202" s="7" t="s">
        <v>476</v>
      </c>
      <c r="F202" s="7" t="s">
        <v>477</v>
      </c>
      <c r="G202" s="7">
        <v>2009</v>
      </c>
      <c r="H202" s="8">
        <v>39737</v>
      </c>
      <c r="I202" s="7" t="s">
        <v>32</v>
      </c>
      <c r="J202" s="7" t="s">
        <v>32</v>
      </c>
      <c r="K202" s="7" t="s">
        <v>478</v>
      </c>
      <c r="L202" s="7">
        <v>1</v>
      </c>
      <c r="M202" s="7" t="s">
        <v>479</v>
      </c>
      <c r="N202" s="7" t="s">
        <v>34</v>
      </c>
      <c r="O202" s="7" t="s">
        <v>34</v>
      </c>
      <c r="P202" s="7" t="s">
        <v>34</v>
      </c>
      <c r="Q202" s="7" t="s">
        <v>34</v>
      </c>
      <c r="R202" s="7" t="s">
        <v>34</v>
      </c>
      <c r="S202" s="7" t="s">
        <v>34</v>
      </c>
      <c r="T202" s="7" t="s">
        <v>34</v>
      </c>
      <c r="U202" s="7" t="s">
        <v>32</v>
      </c>
      <c r="V202" s="7">
        <v>1</v>
      </c>
      <c r="W202" s="7" t="s">
        <v>32</v>
      </c>
      <c r="X202" s="7" t="s">
        <v>32</v>
      </c>
      <c r="Y202" s="7" t="s">
        <v>32</v>
      </c>
      <c r="Z202" s="7" t="s">
        <v>32</v>
      </c>
      <c r="AA202" s="7">
        <v>18853946</v>
      </c>
      <c r="AB202" s="7">
        <v>1</v>
      </c>
      <c r="AC202" s="7"/>
      <c r="AD202" s="7">
        <v>3</v>
      </c>
      <c r="AE202" s="7">
        <f t="shared" ref="AE202:AE207" si="8">AF202+AG202</f>
        <v>38</v>
      </c>
      <c r="AF202" s="7">
        <v>16</v>
      </c>
      <c r="AG202" s="7">
        <v>22</v>
      </c>
      <c r="AH202" s="7" t="s">
        <v>2845</v>
      </c>
      <c r="AI202" s="7" t="s">
        <v>2845</v>
      </c>
      <c r="AJ202" s="7">
        <v>42.13</v>
      </c>
      <c r="AK202" s="7">
        <v>12.88</v>
      </c>
      <c r="AL202" s="7">
        <v>33.590000000000003</v>
      </c>
      <c r="AM202" s="7">
        <v>13.76</v>
      </c>
      <c r="AN202" s="7" t="s">
        <v>2918</v>
      </c>
      <c r="AO202" s="7" t="s">
        <v>1770</v>
      </c>
      <c r="AP202" s="7" t="s">
        <v>3242</v>
      </c>
      <c r="AQ202" s="7" t="s">
        <v>3039</v>
      </c>
      <c r="AR202" s="7" t="s">
        <v>1646</v>
      </c>
      <c r="AS202" s="7" t="s">
        <v>2950</v>
      </c>
      <c r="AT202" s="7" t="s">
        <v>1646</v>
      </c>
      <c r="AU202" s="7" t="s">
        <v>3118</v>
      </c>
      <c r="AV202" s="7" t="s">
        <v>2907</v>
      </c>
      <c r="AW202" s="7">
        <v>34</v>
      </c>
      <c r="AX202" s="7">
        <v>34</v>
      </c>
      <c r="AY202" s="7" t="s">
        <v>3243</v>
      </c>
      <c r="AZ202" s="7">
        <v>8.56</v>
      </c>
      <c r="BA202" s="7">
        <v>2.58</v>
      </c>
      <c r="BB202" s="7"/>
      <c r="BC202" s="7" t="s">
        <v>3357</v>
      </c>
      <c r="BD202" s="7">
        <v>10.59</v>
      </c>
      <c r="BE202" s="7">
        <v>3.03</v>
      </c>
      <c r="BF202" s="7"/>
    </row>
    <row r="203" spans="1:59" x14ac:dyDescent="0.2">
      <c r="A203" s="7">
        <v>65</v>
      </c>
      <c r="B203" s="7" t="s">
        <v>473</v>
      </c>
      <c r="C203" s="7" t="s">
        <v>474</v>
      </c>
      <c r="D203" s="7" t="s">
        <v>475</v>
      </c>
      <c r="E203" s="7" t="s">
        <v>476</v>
      </c>
      <c r="F203" s="7" t="s">
        <v>477</v>
      </c>
      <c r="G203" s="7">
        <v>2009</v>
      </c>
      <c r="H203" s="8">
        <v>39737</v>
      </c>
      <c r="I203" s="7" t="s">
        <v>32</v>
      </c>
      <c r="J203" s="7" t="s">
        <v>32</v>
      </c>
      <c r="K203" s="7" t="s">
        <v>478</v>
      </c>
      <c r="L203" s="7">
        <v>1</v>
      </c>
      <c r="M203" s="7" t="s">
        <v>479</v>
      </c>
      <c r="N203" s="7" t="s">
        <v>34</v>
      </c>
      <c r="O203" s="7" t="s">
        <v>34</v>
      </c>
      <c r="P203" s="7" t="s">
        <v>34</v>
      </c>
      <c r="Q203" s="7" t="s">
        <v>34</v>
      </c>
      <c r="R203" s="7" t="s">
        <v>34</v>
      </c>
      <c r="S203" s="7" t="s">
        <v>34</v>
      </c>
      <c r="T203" s="7" t="s">
        <v>34</v>
      </c>
      <c r="U203" s="7" t="s">
        <v>32</v>
      </c>
      <c r="V203" s="7">
        <v>1</v>
      </c>
      <c r="W203" s="7" t="s">
        <v>32</v>
      </c>
      <c r="X203" s="7" t="s">
        <v>32</v>
      </c>
      <c r="Y203" s="7" t="s">
        <v>32</v>
      </c>
      <c r="Z203" s="7" t="s">
        <v>32</v>
      </c>
      <c r="AA203" s="7">
        <v>18853946</v>
      </c>
      <c r="AB203" s="7">
        <v>1</v>
      </c>
      <c r="AC203" s="7"/>
      <c r="AD203" s="7">
        <v>3</v>
      </c>
      <c r="AE203" s="7">
        <f t="shared" si="8"/>
        <v>38</v>
      </c>
      <c r="AF203" s="7">
        <v>16</v>
      </c>
      <c r="AG203" s="7">
        <v>22</v>
      </c>
      <c r="AH203" s="7" t="s">
        <v>2845</v>
      </c>
      <c r="AI203" s="7" t="s">
        <v>2845</v>
      </c>
      <c r="AJ203" s="7">
        <v>42.13</v>
      </c>
      <c r="AK203" s="7">
        <v>12.88</v>
      </c>
      <c r="AL203" s="7">
        <v>33.590000000000003</v>
      </c>
      <c r="AM203" s="7">
        <v>13.76</v>
      </c>
      <c r="AN203" s="7" t="s">
        <v>2918</v>
      </c>
      <c r="AO203" s="7" t="s">
        <v>1770</v>
      </c>
      <c r="AP203" s="7" t="s">
        <v>3242</v>
      </c>
      <c r="AQ203" s="7" t="s">
        <v>3039</v>
      </c>
      <c r="AR203" s="7" t="s">
        <v>1646</v>
      </c>
      <c r="AS203" s="7" t="s">
        <v>2950</v>
      </c>
      <c r="AT203" s="7" t="s">
        <v>1646</v>
      </c>
      <c r="AU203" s="7" t="s">
        <v>3029</v>
      </c>
      <c r="AV203" s="7" t="s">
        <v>2907</v>
      </c>
      <c r="AW203" s="7">
        <v>34</v>
      </c>
      <c r="AX203" s="7">
        <v>34</v>
      </c>
      <c r="AY203" s="7" t="s">
        <v>3244</v>
      </c>
      <c r="AZ203" s="7">
        <v>8.75</v>
      </c>
      <c r="BA203" s="7">
        <v>2.91</v>
      </c>
      <c r="BB203" s="7"/>
      <c r="BC203" s="7" t="s">
        <v>3358</v>
      </c>
      <c r="BD203" s="7">
        <v>10.5</v>
      </c>
      <c r="BE203" s="7">
        <v>3.26</v>
      </c>
      <c r="BF203" s="7"/>
    </row>
    <row r="204" spans="1:59" x14ac:dyDescent="0.2">
      <c r="A204" s="7">
        <v>65</v>
      </c>
      <c r="B204" s="7" t="s">
        <v>473</v>
      </c>
      <c r="C204" s="7" t="s">
        <v>474</v>
      </c>
      <c r="D204" s="7" t="s">
        <v>475</v>
      </c>
      <c r="E204" s="7" t="s">
        <v>476</v>
      </c>
      <c r="F204" s="7" t="s">
        <v>477</v>
      </c>
      <c r="G204" s="7">
        <v>2009</v>
      </c>
      <c r="H204" s="8">
        <v>39737</v>
      </c>
      <c r="I204" s="7" t="s">
        <v>32</v>
      </c>
      <c r="J204" s="7" t="s">
        <v>32</v>
      </c>
      <c r="K204" s="7" t="s">
        <v>478</v>
      </c>
      <c r="L204" s="7">
        <v>1</v>
      </c>
      <c r="M204" s="7" t="s">
        <v>479</v>
      </c>
      <c r="N204" s="7" t="s">
        <v>34</v>
      </c>
      <c r="O204" s="7" t="s">
        <v>34</v>
      </c>
      <c r="P204" s="7" t="s">
        <v>34</v>
      </c>
      <c r="Q204" s="7" t="s">
        <v>34</v>
      </c>
      <c r="R204" s="7" t="s">
        <v>34</v>
      </c>
      <c r="S204" s="7" t="s">
        <v>34</v>
      </c>
      <c r="T204" s="7" t="s">
        <v>34</v>
      </c>
      <c r="U204" s="7" t="s">
        <v>32</v>
      </c>
      <c r="V204" s="7">
        <v>1</v>
      </c>
      <c r="W204" s="7" t="s">
        <v>32</v>
      </c>
      <c r="X204" s="7" t="s">
        <v>32</v>
      </c>
      <c r="Y204" s="7" t="s">
        <v>32</v>
      </c>
      <c r="Z204" s="7" t="s">
        <v>32</v>
      </c>
      <c r="AA204" s="7">
        <v>18853946</v>
      </c>
      <c r="AB204" s="7">
        <v>1</v>
      </c>
      <c r="AC204" s="7"/>
      <c r="AD204" s="7">
        <v>3</v>
      </c>
      <c r="AE204" s="7">
        <f t="shared" si="8"/>
        <v>38</v>
      </c>
      <c r="AF204" s="7">
        <v>16</v>
      </c>
      <c r="AG204" s="7">
        <v>22</v>
      </c>
      <c r="AH204" s="7" t="s">
        <v>2845</v>
      </c>
      <c r="AI204" s="7" t="s">
        <v>2845</v>
      </c>
      <c r="AJ204" s="7">
        <v>42.13</v>
      </c>
      <c r="AK204" s="7">
        <v>12.88</v>
      </c>
      <c r="AL204" s="7">
        <v>33.590000000000003</v>
      </c>
      <c r="AM204" s="7">
        <v>13.76</v>
      </c>
      <c r="AN204" s="7" t="s">
        <v>2918</v>
      </c>
      <c r="AO204" s="7" t="s">
        <v>1770</v>
      </c>
      <c r="AP204" s="7" t="s">
        <v>3242</v>
      </c>
      <c r="AQ204" s="7" t="s">
        <v>3039</v>
      </c>
      <c r="AR204" s="7" t="s">
        <v>1646</v>
      </c>
      <c r="AS204" s="7" t="s">
        <v>2950</v>
      </c>
      <c r="AT204" s="7" t="s">
        <v>1646</v>
      </c>
      <c r="AU204" s="7" t="s">
        <v>3030</v>
      </c>
      <c r="AV204" s="7" t="s">
        <v>2907</v>
      </c>
      <c r="AW204" s="7">
        <v>34</v>
      </c>
      <c r="AX204" s="7">
        <v>34</v>
      </c>
      <c r="AY204" s="7" t="s">
        <v>3245</v>
      </c>
      <c r="AZ204" s="7">
        <v>45.63</v>
      </c>
      <c r="BA204" s="7">
        <v>3.76</v>
      </c>
      <c r="BB204" s="7"/>
      <c r="BC204" s="7" t="s">
        <v>3359</v>
      </c>
      <c r="BD204" s="7">
        <v>47.45</v>
      </c>
      <c r="BE204" s="7">
        <v>2.89</v>
      </c>
      <c r="BF204" s="7"/>
    </row>
    <row r="205" spans="1:59" s="56" customFormat="1" x14ac:dyDescent="0.2">
      <c r="A205" s="21">
        <v>65</v>
      </c>
      <c r="B205" s="21" t="s">
        <v>473</v>
      </c>
      <c r="C205" s="21" t="s">
        <v>474</v>
      </c>
      <c r="D205" s="21" t="s">
        <v>475</v>
      </c>
      <c r="E205" s="21" t="s">
        <v>476</v>
      </c>
      <c r="F205" s="21" t="s">
        <v>477</v>
      </c>
      <c r="G205" s="21">
        <v>2009</v>
      </c>
      <c r="H205" s="70">
        <v>39737</v>
      </c>
      <c r="I205" s="21" t="s">
        <v>32</v>
      </c>
      <c r="J205" s="21" t="s">
        <v>32</v>
      </c>
      <c r="K205" s="21" t="s">
        <v>478</v>
      </c>
      <c r="L205" s="21">
        <v>1</v>
      </c>
      <c r="M205" s="21" t="s">
        <v>479</v>
      </c>
      <c r="N205" s="21" t="s">
        <v>34</v>
      </c>
      <c r="O205" s="21" t="s">
        <v>34</v>
      </c>
      <c r="P205" s="21" t="s">
        <v>34</v>
      </c>
      <c r="Q205" s="21" t="s">
        <v>34</v>
      </c>
      <c r="R205" s="21" t="s">
        <v>34</v>
      </c>
      <c r="S205" s="21" t="s">
        <v>34</v>
      </c>
      <c r="T205" s="21" t="s">
        <v>34</v>
      </c>
      <c r="U205" s="21" t="s">
        <v>32</v>
      </c>
      <c r="V205" s="21">
        <v>1</v>
      </c>
      <c r="W205" s="21" t="s">
        <v>32</v>
      </c>
      <c r="X205" s="21" t="s">
        <v>32</v>
      </c>
      <c r="Y205" s="21" t="s">
        <v>32</v>
      </c>
      <c r="Z205" s="21" t="s">
        <v>32</v>
      </c>
      <c r="AA205" s="21">
        <v>18853946</v>
      </c>
      <c r="AB205" s="21">
        <v>1</v>
      </c>
      <c r="AC205" s="21"/>
      <c r="AD205" s="21">
        <v>3</v>
      </c>
      <c r="AE205" s="21">
        <f t="shared" si="8"/>
        <v>38</v>
      </c>
      <c r="AF205" s="21">
        <v>16</v>
      </c>
      <c r="AG205" s="21">
        <v>22</v>
      </c>
      <c r="AH205" s="21" t="s">
        <v>2845</v>
      </c>
      <c r="AI205" s="21" t="s">
        <v>2845</v>
      </c>
      <c r="AJ205" s="21">
        <v>42.13</v>
      </c>
      <c r="AK205" s="21">
        <v>12.88</v>
      </c>
      <c r="AL205" s="21">
        <v>33.590000000000003</v>
      </c>
      <c r="AM205" s="21">
        <v>13.76</v>
      </c>
      <c r="AN205" s="21" t="s">
        <v>2918</v>
      </c>
      <c r="AO205" s="21" t="s">
        <v>1770</v>
      </c>
      <c r="AP205" s="21" t="s">
        <v>3242</v>
      </c>
      <c r="AQ205" s="21" t="s">
        <v>3039</v>
      </c>
      <c r="AR205" s="21" t="s">
        <v>1646</v>
      </c>
      <c r="AS205" s="21" t="s">
        <v>2950</v>
      </c>
      <c r="AT205" s="21" t="s">
        <v>1646</v>
      </c>
      <c r="AU205" s="21" t="s">
        <v>3629</v>
      </c>
      <c r="AV205" s="21" t="s">
        <v>2907</v>
      </c>
      <c r="AW205" s="21">
        <v>34</v>
      </c>
      <c r="AX205" s="21">
        <v>34</v>
      </c>
      <c r="AY205" s="21" t="s">
        <v>3247</v>
      </c>
      <c r="AZ205" s="21">
        <v>0.32</v>
      </c>
      <c r="BA205" s="21">
        <v>0.12</v>
      </c>
      <c r="BB205" s="21"/>
      <c r="BC205" s="21" t="s">
        <v>3360</v>
      </c>
      <c r="BD205" s="21">
        <v>0.32</v>
      </c>
      <c r="BE205" s="21">
        <v>0.14000000000000001</v>
      </c>
      <c r="BF205" s="21"/>
      <c r="BG205" s="56" t="s">
        <v>3248</v>
      </c>
    </row>
    <row r="206" spans="1:59" s="56" customFormat="1" x14ac:dyDescent="0.2">
      <c r="A206" s="21">
        <v>65</v>
      </c>
      <c r="B206" s="21" t="s">
        <v>473</v>
      </c>
      <c r="C206" s="21" t="s">
        <v>474</v>
      </c>
      <c r="D206" s="21" t="s">
        <v>475</v>
      </c>
      <c r="E206" s="21" t="s">
        <v>476</v>
      </c>
      <c r="F206" s="21" t="s">
        <v>477</v>
      </c>
      <c r="G206" s="21">
        <v>2009</v>
      </c>
      <c r="H206" s="70">
        <v>39737</v>
      </c>
      <c r="I206" s="21" t="s">
        <v>32</v>
      </c>
      <c r="J206" s="21" t="s">
        <v>32</v>
      </c>
      <c r="K206" s="21" t="s">
        <v>478</v>
      </c>
      <c r="L206" s="21">
        <v>1</v>
      </c>
      <c r="M206" s="21" t="s">
        <v>479</v>
      </c>
      <c r="N206" s="21" t="s">
        <v>34</v>
      </c>
      <c r="O206" s="21" t="s">
        <v>34</v>
      </c>
      <c r="P206" s="21" t="s">
        <v>34</v>
      </c>
      <c r="Q206" s="21" t="s">
        <v>34</v>
      </c>
      <c r="R206" s="21" t="s">
        <v>34</v>
      </c>
      <c r="S206" s="21" t="s">
        <v>34</v>
      </c>
      <c r="T206" s="21" t="s">
        <v>34</v>
      </c>
      <c r="U206" s="21" t="s">
        <v>32</v>
      </c>
      <c r="V206" s="21">
        <v>1</v>
      </c>
      <c r="W206" s="21" t="s">
        <v>32</v>
      </c>
      <c r="X206" s="21" t="s">
        <v>32</v>
      </c>
      <c r="Y206" s="21" t="s">
        <v>32</v>
      </c>
      <c r="Z206" s="21" t="s">
        <v>32</v>
      </c>
      <c r="AA206" s="21">
        <v>18853946</v>
      </c>
      <c r="AB206" s="21">
        <v>1</v>
      </c>
      <c r="AC206" s="21"/>
      <c r="AD206" s="21">
        <v>3</v>
      </c>
      <c r="AE206" s="21">
        <f t="shared" si="8"/>
        <v>38</v>
      </c>
      <c r="AF206" s="21">
        <v>16</v>
      </c>
      <c r="AG206" s="21">
        <v>22</v>
      </c>
      <c r="AH206" s="21" t="s">
        <v>2845</v>
      </c>
      <c r="AI206" s="21" t="s">
        <v>2845</v>
      </c>
      <c r="AJ206" s="21">
        <v>42.13</v>
      </c>
      <c r="AK206" s="21">
        <v>12.88</v>
      </c>
      <c r="AL206" s="21">
        <v>33.590000000000003</v>
      </c>
      <c r="AM206" s="21">
        <v>13.76</v>
      </c>
      <c r="AN206" s="21" t="s">
        <v>2918</v>
      </c>
      <c r="AO206" s="21" t="s">
        <v>1770</v>
      </c>
      <c r="AP206" s="21" t="s">
        <v>3242</v>
      </c>
      <c r="AQ206" s="21" t="s">
        <v>3039</v>
      </c>
      <c r="AR206" s="21" t="s">
        <v>1646</v>
      </c>
      <c r="AS206" s="21" t="s">
        <v>2950</v>
      </c>
      <c r="AT206" s="21" t="s">
        <v>1646</v>
      </c>
      <c r="AU206" s="21" t="s">
        <v>2957</v>
      </c>
      <c r="AV206" s="21" t="s">
        <v>2907</v>
      </c>
      <c r="AW206" s="21">
        <v>34</v>
      </c>
      <c r="AX206" s="21">
        <v>34</v>
      </c>
      <c r="AY206" s="21" t="s">
        <v>3246</v>
      </c>
      <c r="AZ206" s="21">
        <v>0.05</v>
      </c>
      <c r="BA206" s="21">
        <v>0.13</v>
      </c>
      <c r="BB206" s="21"/>
      <c r="BC206" s="21" t="s">
        <v>3361</v>
      </c>
      <c r="BD206" s="21">
        <v>0.05</v>
      </c>
      <c r="BE206" s="21">
        <v>0.13</v>
      </c>
      <c r="BF206" s="21"/>
    </row>
    <row r="207" spans="1:59" x14ac:dyDescent="0.2">
      <c r="A207" s="7">
        <v>65</v>
      </c>
      <c r="B207" s="7" t="s">
        <v>473</v>
      </c>
      <c r="C207" s="7" t="s">
        <v>474</v>
      </c>
      <c r="D207" s="7" t="s">
        <v>475</v>
      </c>
      <c r="E207" s="7" t="s">
        <v>476</v>
      </c>
      <c r="F207" s="7" t="s">
        <v>477</v>
      </c>
      <c r="G207" s="7">
        <v>2009</v>
      </c>
      <c r="H207" s="8">
        <v>39737</v>
      </c>
      <c r="I207" s="7" t="s">
        <v>32</v>
      </c>
      <c r="J207" s="7" t="s">
        <v>32</v>
      </c>
      <c r="K207" s="7" t="s">
        <v>478</v>
      </c>
      <c r="L207" s="7">
        <v>1</v>
      </c>
      <c r="M207" s="7" t="s">
        <v>479</v>
      </c>
      <c r="N207" s="7" t="s">
        <v>34</v>
      </c>
      <c r="O207" s="7" t="s">
        <v>34</v>
      </c>
      <c r="P207" s="7" t="s">
        <v>34</v>
      </c>
      <c r="Q207" s="7" t="s">
        <v>34</v>
      </c>
      <c r="R207" s="7" t="s">
        <v>34</v>
      </c>
      <c r="S207" s="7" t="s">
        <v>34</v>
      </c>
      <c r="T207" s="7" t="s">
        <v>34</v>
      </c>
      <c r="U207" s="7" t="s">
        <v>32</v>
      </c>
      <c r="V207" s="7">
        <v>1</v>
      </c>
      <c r="W207" s="7" t="s">
        <v>32</v>
      </c>
      <c r="X207" s="7" t="s">
        <v>32</v>
      </c>
      <c r="Y207" s="7" t="s">
        <v>32</v>
      </c>
      <c r="Z207" s="7" t="s">
        <v>32</v>
      </c>
      <c r="AA207" s="7">
        <v>18853946</v>
      </c>
      <c r="AB207" s="7">
        <v>1</v>
      </c>
      <c r="AC207" s="7"/>
      <c r="AD207" s="7">
        <v>3</v>
      </c>
      <c r="AE207" s="7">
        <f t="shared" si="8"/>
        <v>38</v>
      </c>
      <c r="AF207" s="7">
        <v>16</v>
      </c>
      <c r="AG207" s="7">
        <v>22</v>
      </c>
      <c r="AH207" s="7" t="s">
        <v>2845</v>
      </c>
      <c r="AI207" s="7" t="s">
        <v>2845</v>
      </c>
      <c r="AJ207" s="7">
        <v>42.13</v>
      </c>
      <c r="AK207" s="7">
        <v>12.88</v>
      </c>
      <c r="AL207" s="7">
        <v>33.590000000000003</v>
      </c>
      <c r="AM207" s="7">
        <v>13.76</v>
      </c>
      <c r="AN207" s="7" t="s">
        <v>2918</v>
      </c>
      <c r="AO207" s="7" t="s">
        <v>1770</v>
      </c>
      <c r="AP207" s="7" t="s">
        <v>3242</v>
      </c>
      <c r="AQ207" s="7" t="s">
        <v>3039</v>
      </c>
      <c r="AR207" s="7" t="s">
        <v>1646</v>
      </c>
      <c r="AS207" s="7" t="s">
        <v>3189</v>
      </c>
      <c r="AT207" s="7" t="s">
        <v>1646</v>
      </c>
      <c r="AU207" s="7" t="s">
        <v>2969</v>
      </c>
      <c r="AV207" s="7" t="s">
        <v>2907</v>
      </c>
      <c r="AW207" s="7">
        <v>34</v>
      </c>
      <c r="AX207" s="7">
        <v>34</v>
      </c>
      <c r="AY207" s="7" t="s">
        <v>3192</v>
      </c>
      <c r="AZ207" s="7">
        <v>17.059999999999999</v>
      </c>
      <c r="BA207" s="7">
        <v>6.1</v>
      </c>
      <c r="BB207" s="7"/>
      <c r="BC207" s="7" t="s">
        <v>3362</v>
      </c>
      <c r="BD207" s="7">
        <v>18.34</v>
      </c>
      <c r="BE207" s="7">
        <v>5</v>
      </c>
      <c r="BF207" s="7"/>
    </row>
    <row r="208" spans="1:59" s="65" customFormat="1" x14ac:dyDescent="0.2">
      <c r="A208" s="20">
        <v>66</v>
      </c>
      <c r="B208" s="20" t="s">
        <v>480</v>
      </c>
      <c r="C208" s="20" t="s">
        <v>481</v>
      </c>
      <c r="D208" s="20" t="s">
        <v>482</v>
      </c>
      <c r="E208" s="20" t="s">
        <v>437</v>
      </c>
      <c r="F208" s="20" t="s">
        <v>483</v>
      </c>
      <c r="G208" s="20">
        <v>2008</v>
      </c>
      <c r="H208" s="64">
        <v>39724</v>
      </c>
      <c r="I208" s="20" t="s">
        <v>484</v>
      </c>
      <c r="J208" s="20" t="s">
        <v>32</v>
      </c>
      <c r="K208" s="20" t="s">
        <v>485</v>
      </c>
      <c r="L208" s="20">
        <v>1</v>
      </c>
      <c r="M208" s="20" t="s">
        <v>32</v>
      </c>
      <c r="N208" s="20" t="s">
        <v>34</v>
      </c>
      <c r="O208" s="20" t="s">
        <v>34</v>
      </c>
      <c r="P208" s="20" t="s">
        <v>34</v>
      </c>
      <c r="Q208" s="20" t="s">
        <v>34</v>
      </c>
      <c r="R208" s="20" t="s">
        <v>34</v>
      </c>
      <c r="S208" s="20" t="s">
        <v>34</v>
      </c>
      <c r="T208" s="20" t="s">
        <v>34</v>
      </c>
      <c r="U208" s="20" t="s">
        <v>32</v>
      </c>
      <c r="V208" s="20">
        <v>1</v>
      </c>
      <c r="W208" s="20" t="s">
        <v>32</v>
      </c>
      <c r="X208" s="20" t="s">
        <v>32</v>
      </c>
      <c r="Y208" s="20" t="s">
        <v>32</v>
      </c>
      <c r="Z208" s="20" t="s">
        <v>32</v>
      </c>
      <c r="AA208" s="20">
        <v>18830395</v>
      </c>
      <c r="AB208" s="20">
        <v>0</v>
      </c>
      <c r="AC208" s="20" t="s">
        <v>3251</v>
      </c>
      <c r="AD208" s="20"/>
      <c r="AE208" s="20"/>
      <c r="AF208" s="20"/>
      <c r="AG208" s="20"/>
      <c r="AH208" s="20"/>
      <c r="AI208" s="20"/>
      <c r="AJ208" s="20"/>
      <c r="AK208" s="20"/>
      <c r="AL208" s="20"/>
      <c r="AM208" s="20"/>
      <c r="AN208" s="20" t="s">
        <v>2902</v>
      </c>
      <c r="AO208" s="20" t="s">
        <v>1770</v>
      </c>
      <c r="AP208" s="20" t="s">
        <v>3250</v>
      </c>
      <c r="AQ208" s="20" t="s">
        <v>3039</v>
      </c>
      <c r="AR208" s="20"/>
      <c r="AS208" s="20"/>
      <c r="AT208" s="20"/>
      <c r="AU208" s="20"/>
      <c r="AV208" s="20"/>
      <c r="AW208" s="20"/>
      <c r="AX208" s="20"/>
      <c r="AY208" s="20"/>
      <c r="AZ208" s="20"/>
      <c r="BA208" s="20"/>
      <c r="BB208" s="20"/>
      <c r="BC208" s="20"/>
      <c r="BD208" s="20"/>
      <c r="BE208" s="20"/>
      <c r="BF208" s="20"/>
    </row>
    <row r="209" spans="1:59" s="56" customFormat="1" x14ac:dyDescent="0.2">
      <c r="A209" s="21">
        <v>67</v>
      </c>
      <c r="B209" s="21" t="s">
        <v>486</v>
      </c>
      <c r="C209" s="21" t="s">
        <v>487</v>
      </c>
      <c r="D209" s="21" t="s">
        <v>488</v>
      </c>
      <c r="E209" s="21" t="s">
        <v>489</v>
      </c>
      <c r="F209" s="21" t="s">
        <v>490</v>
      </c>
      <c r="G209" s="21">
        <v>2009</v>
      </c>
      <c r="H209" s="70">
        <v>39640</v>
      </c>
      <c r="I209" s="21" t="s">
        <v>491</v>
      </c>
      <c r="J209" s="21" t="s">
        <v>32</v>
      </c>
      <c r="K209" s="21" t="s">
        <v>492</v>
      </c>
      <c r="L209" s="21">
        <v>1</v>
      </c>
      <c r="M209" s="21" t="s">
        <v>493</v>
      </c>
      <c r="N209" s="21" t="s">
        <v>34</v>
      </c>
      <c r="O209" s="21" t="s">
        <v>34</v>
      </c>
      <c r="P209" s="21" t="s">
        <v>34</v>
      </c>
      <c r="Q209" s="21" t="s">
        <v>34</v>
      </c>
      <c r="R209" s="21" t="s">
        <v>34</v>
      </c>
      <c r="S209" s="21" t="s">
        <v>34</v>
      </c>
      <c r="T209" s="21" t="s">
        <v>34</v>
      </c>
      <c r="U209" s="21" t="s">
        <v>32</v>
      </c>
      <c r="V209" s="21">
        <v>1</v>
      </c>
      <c r="W209" s="21" t="s">
        <v>32</v>
      </c>
      <c r="X209" s="21" t="s">
        <v>32</v>
      </c>
      <c r="Y209" s="21" t="s">
        <v>32</v>
      </c>
      <c r="Z209" s="21" t="s">
        <v>32</v>
      </c>
      <c r="AA209" s="21">
        <v>18614265</v>
      </c>
      <c r="AB209" s="21">
        <v>1</v>
      </c>
      <c r="AC209" s="21"/>
      <c r="AD209" s="21">
        <v>3</v>
      </c>
      <c r="AE209" s="21">
        <f t="shared" ref="AE209:AE233" si="9">AF209+AG209</f>
        <v>32</v>
      </c>
      <c r="AF209" s="21">
        <v>16</v>
      </c>
      <c r="AG209" s="21">
        <v>16</v>
      </c>
      <c r="AH209" s="21" t="s">
        <v>2845</v>
      </c>
      <c r="AI209" s="21" t="s">
        <v>2845</v>
      </c>
      <c r="AJ209" s="21">
        <v>36.799999999999997</v>
      </c>
      <c r="AK209" s="21">
        <v>7.6</v>
      </c>
      <c r="AL209" s="21">
        <v>32.5</v>
      </c>
      <c r="AM209" s="21">
        <v>7.8</v>
      </c>
      <c r="AN209" s="21" t="s">
        <v>3224</v>
      </c>
      <c r="AO209" s="21" t="s">
        <v>1770</v>
      </c>
      <c r="AP209" s="21" t="s">
        <v>3618</v>
      </c>
      <c r="AQ209" s="21" t="s">
        <v>3259</v>
      </c>
      <c r="AR209" s="21" t="s">
        <v>1646</v>
      </c>
      <c r="AS209" s="21" t="s">
        <v>3622</v>
      </c>
      <c r="AT209" s="21" t="s">
        <v>1646</v>
      </c>
      <c r="AU209" s="21" t="s">
        <v>3623</v>
      </c>
      <c r="AV209" s="21" t="s">
        <v>2907</v>
      </c>
      <c r="AW209" s="21">
        <v>40</v>
      </c>
      <c r="AX209" s="21">
        <v>40</v>
      </c>
      <c r="AY209" s="21" t="s">
        <v>3619</v>
      </c>
      <c r="AZ209" s="56">
        <v>0.64600000000000002</v>
      </c>
      <c r="BA209" s="56">
        <v>0.16300000000000001</v>
      </c>
      <c r="BB209" s="21"/>
      <c r="BC209" s="21" t="s">
        <v>3625</v>
      </c>
      <c r="BD209" s="56">
        <v>0.753</v>
      </c>
      <c r="BE209" s="56">
        <v>0.13700000000000001</v>
      </c>
      <c r="BF209" s="21"/>
      <c r="BG209" s="56" t="s">
        <v>3252</v>
      </c>
    </row>
    <row r="210" spans="1:59" s="56" customFormat="1" x14ac:dyDescent="0.2">
      <c r="A210" s="21">
        <v>67</v>
      </c>
      <c r="B210" s="21" t="s">
        <v>486</v>
      </c>
      <c r="C210" s="21" t="s">
        <v>487</v>
      </c>
      <c r="D210" s="21" t="s">
        <v>488</v>
      </c>
      <c r="E210" s="21" t="s">
        <v>489</v>
      </c>
      <c r="F210" s="21" t="s">
        <v>490</v>
      </c>
      <c r="G210" s="21">
        <v>2009</v>
      </c>
      <c r="H210" s="70">
        <v>39640</v>
      </c>
      <c r="I210" s="21" t="s">
        <v>491</v>
      </c>
      <c r="J210" s="21" t="s">
        <v>32</v>
      </c>
      <c r="K210" s="21" t="s">
        <v>492</v>
      </c>
      <c r="L210" s="21">
        <v>1</v>
      </c>
      <c r="M210" s="21" t="s">
        <v>493</v>
      </c>
      <c r="N210" s="21" t="s">
        <v>34</v>
      </c>
      <c r="O210" s="21" t="s">
        <v>34</v>
      </c>
      <c r="P210" s="21" t="s">
        <v>34</v>
      </c>
      <c r="Q210" s="21" t="s">
        <v>34</v>
      </c>
      <c r="R210" s="21" t="s">
        <v>34</v>
      </c>
      <c r="S210" s="21" t="s">
        <v>34</v>
      </c>
      <c r="T210" s="21" t="s">
        <v>34</v>
      </c>
      <c r="U210" s="21" t="s">
        <v>32</v>
      </c>
      <c r="V210" s="21">
        <v>1</v>
      </c>
      <c r="W210" s="21" t="s">
        <v>32</v>
      </c>
      <c r="X210" s="21" t="s">
        <v>32</v>
      </c>
      <c r="Y210" s="21" t="s">
        <v>32</v>
      </c>
      <c r="Z210" s="21" t="s">
        <v>32</v>
      </c>
      <c r="AA210" s="21">
        <v>18614265</v>
      </c>
      <c r="AB210" s="21">
        <v>1</v>
      </c>
      <c r="AC210" s="21"/>
      <c r="AD210" s="21">
        <v>3</v>
      </c>
      <c r="AE210" s="21">
        <f t="shared" ref="AE210:AE211" si="10">AF210+AG210</f>
        <v>32</v>
      </c>
      <c r="AF210" s="21">
        <v>16</v>
      </c>
      <c r="AG210" s="21">
        <v>16</v>
      </c>
      <c r="AH210" s="21" t="s">
        <v>2845</v>
      </c>
      <c r="AI210" s="21" t="s">
        <v>2845</v>
      </c>
      <c r="AJ210" s="21">
        <v>36.799999999999997</v>
      </c>
      <c r="AK210" s="21">
        <v>7.6</v>
      </c>
      <c r="AL210" s="21">
        <v>32.5</v>
      </c>
      <c r="AM210" s="21">
        <v>7.8</v>
      </c>
      <c r="AN210" s="21" t="s">
        <v>3224</v>
      </c>
      <c r="AO210" s="21" t="s">
        <v>1770</v>
      </c>
      <c r="AP210" s="21" t="s">
        <v>3618</v>
      </c>
      <c r="AQ210" s="21" t="s">
        <v>3259</v>
      </c>
      <c r="AR210" s="21" t="s">
        <v>1646</v>
      </c>
      <c r="AS210" s="21" t="s">
        <v>3622</v>
      </c>
      <c r="AT210" s="21" t="s">
        <v>1646</v>
      </c>
      <c r="AU210" s="21" t="s">
        <v>3624</v>
      </c>
      <c r="AV210" s="21" t="s">
        <v>2907</v>
      </c>
      <c r="AW210" s="21">
        <v>40</v>
      </c>
      <c r="AX210" s="21">
        <v>40</v>
      </c>
      <c r="AY210" s="21" t="s">
        <v>3620</v>
      </c>
      <c r="AZ210" s="56">
        <v>0.63500000000000001</v>
      </c>
      <c r="BA210" s="56">
        <v>0.14000000000000001</v>
      </c>
      <c r="BB210" s="21"/>
      <c r="BC210" s="21" t="s">
        <v>3626</v>
      </c>
      <c r="BD210" s="56">
        <v>0.76200000000000001</v>
      </c>
      <c r="BE210" s="56">
        <v>0.12</v>
      </c>
      <c r="BF210" s="21"/>
    </row>
    <row r="211" spans="1:59" s="56" customFormat="1" x14ac:dyDescent="0.2">
      <c r="A211" s="21">
        <v>67</v>
      </c>
      <c r="B211" s="21" t="s">
        <v>486</v>
      </c>
      <c r="C211" s="21" t="s">
        <v>487</v>
      </c>
      <c r="D211" s="21" t="s">
        <v>488</v>
      </c>
      <c r="E211" s="21" t="s">
        <v>489</v>
      </c>
      <c r="F211" s="21" t="s">
        <v>490</v>
      </c>
      <c r="G211" s="21">
        <v>2009</v>
      </c>
      <c r="H211" s="70">
        <v>39640</v>
      </c>
      <c r="I211" s="21" t="s">
        <v>491</v>
      </c>
      <c r="J211" s="21" t="s">
        <v>32</v>
      </c>
      <c r="K211" s="21" t="s">
        <v>492</v>
      </c>
      <c r="L211" s="21">
        <v>1</v>
      </c>
      <c r="M211" s="21" t="s">
        <v>493</v>
      </c>
      <c r="N211" s="21" t="s">
        <v>34</v>
      </c>
      <c r="O211" s="21" t="s">
        <v>34</v>
      </c>
      <c r="P211" s="21" t="s">
        <v>34</v>
      </c>
      <c r="Q211" s="21" t="s">
        <v>34</v>
      </c>
      <c r="R211" s="21" t="s">
        <v>34</v>
      </c>
      <c r="S211" s="21" t="s">
        <v>34</v>
      </c>
      <c r="T211" s="21" t="s">
        <v>34</v>
      </c>
      <c r="U211" s="21" t="s">
        <v>32</v>
      </c>
      <c r="V211" s="21">
        <v>1</v>
      </c>
      <c r="W211" s="21" t="s">
        <v>32</v>
      </c>
      <c r="X211" s="21" t="s">
        <v>32</v>
      </c>
      <c r="Y211" s="21" t="s">
        <v>32</v>
      </c>
      <c r="Z211" s="21" t="s">
        <v>32</v>
      </c>
      <c r="AA211" s="21">
        <v>18614265</v>
      </c>
      <c r="AB211" s="21">
        <v>1</v>
      </c>
      <c r="AC211" s="21"/>
      <c r="AD211" s="21">
        <v>3</v>
      </c>
      <c r="AE211" s="21">
        <f t="shared" si="10"/>
        <v>32</v>
      </c>
      <c r="AF211" s="21">
        <v>16</v>
      </c>
      <c r="AG211" s="21">
        <v>16</v>
      </c>
      <c r="AH211" s="21" t="s">
        <v>2845</v>
      </c>
      <c r="AI211" s="21" t="s">
        <v>2845</v>
      </c>
      <c r="AJ211" s="21">
        <v>36.799999999999997</v>
      </c>
      <c r="AK211" s="21">
        <v>7.6</v>
      </c>
      <c r="AL211" s="21">
        <v>32.5</v>
      </c>
      <c r="AM211" s="21">
        <v>7.8</v>
      </c>
      <c r="AN211" s="21" t="s">
        <v>3224</v>
      </c>
      <c r="AO211" s="21" t="s">
        <v>1770</v>
      </c>
      <c r="AP211" s="21" t="s">
        <v>3618</v>
      </c>
      <c r="AQ211" s="21" t="s">
        <v>3259</v>
      </c>
      <c r="AR211" s="21" t="s">
        <v>1646</v>
      </c>
      <c r="AS211" s="21" t="s">
        <v>3622</v>
      </c>
      <c r="AT211" s="21" t="s">
        <v>1646</v>
      </c>
      <c r="AU211" s="21" t="s">
        <v>3623</v>
      </c>
      <c r="AV211" s="21" t="s">
        <v>2907</v>
      </c>
      <c r="AW211" s="21">
        <v>40</v>
      </c>
      <c r="AX211" s="21">
        <v>40</v>
      </c>
      <c r="AY211" s="21" t="s">
        <v>3621</v>
      </c>
      <c r="AZ211" s="56">
        <v>0.68799999999999994</v>
      </c>
      <c r="BA211" s="56">
        <v>0.17</v>
      </c>
      <c r="BB211" s="21"/>
      <c r="BC211" s="21" t="s">
        <v>3627</v>
      </c>
      <c r="BD211" s="56">
        <v>0.78200000000000003</v>
      </c>
      <c r="BE211" s="56">
        <v>0.10100000000000001</v>
      </c>
      <c r="BF211" s="21"/>
    </row>
    <row r="212" spans="1:59" s="65" customFormat="1" x14ac:dyDescent="0.2">
      <c r="A212" s="20">
        <v>68</v>
      </c>
      <c r="B212" s="20" t="s">
        <v>494</v>
      </c>
      <c r="C212" s="20" t="s">
        <v>495</v>
      </c>
      <c r="D212" s="20" t="s">
        <v>496</v>
      </c>
      <c r="E212" s="20" t="s">
        <v>497</v>
      </c>
      <c r="F212" s="20" t="s">
        <v>498</v>
      </c>
      <c r="G212" s="20">
        <v>2009</v>
      </c>
      <c r="H212" s="64">
        <v>39589</v>
      </c>
      <c r="I212" s="20" t="s">
        <v>32</v>
      </c>
      <c r="J212" s="20" t="s">
        <v>32</v>
      </c>
      <c r="K212" s="20" t="s">
        <v>499</v>
      </c>
      <c r="L212" s="20">
        <v>1</v>
      </c>
      <c r="M212" s="20" t="s">
        <v>32</v>
      </c>
      <c r="N212" s="20" t="s">
        <v>34</v>
      </c>
      <c r="O212" s="20" t="s">
        <v>34</v>
      </c>
      <c r="P212" s="20" t="s">
        <v>34</v>
      </c>
      <c r="Q212" s="20" t="s">
        <v>34</v>
      </c>
      <c r="R212" s="20" t="s">
        <v>34</v>
      </c>
      <c r="S212" s="20" t="s">
        <v>34</v>
      </c>
      <c r="T212" s="20" t="s">
        <v>34</v>
      </c>
      <c r="U212" s="20" t="s">
        <v>32</v>
      </c>
      <c r="V212" s="20">
        <v>1</v>
      </c>
      <c r="W212" s="20" t="s">
        <v>32</v>
      </c>
      <c r="X212" s="20" t="s">
        <v>32</v>
      </c>
      <c r="Y212" s="20" t="s">
        <v>32</v>
      </c>
      <c r="Z212" s="20" t="s">
        <v>32</v>
      </c>
      <c r="AA212" s="20">
        <v>18490028</v>
      </c>
      <c r="AB212" s="20">
        <v>0</v>
      </c>
      <c r="AC212" s="20" t="s">
        <v>3253</v>
      </c>
      <c r="AD212" s="20"/>
      <c r="AE212" s="20">
        <f t="shared" si="9"/>
        <v>0</v>
      </c>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row>
    <row r="213" spans="1:59" x14ac:dyDescent="0.2">
      <c r="A213" s="7">
        <v>69</v>
      </c>
      <c r="B213" s="7" t="s">
        <v>500</v>
      </c>
      <c r="C213" s="7" t="s">
        <v>501</v>
      </c>
      <c r="D213" s="7" t="s">
        <v>502</v>
      </c>
      <c r="E213" s="7" t="s">
        <v>503</v>
      </c>
      <c r="F213" s="7" t="s">
        <v>504</v>
      </c>
      <c r="G213" s="7">
        <v>2008</v>
      </c>
      <c r="H213" s="8">
        <v>39569</v>
      </c>
      <c r="I213" s="7" t="s">
        <v>32</v>
      </c>
      <c r="J213" s="7" t="s">
        <v>32</v>
      </c>
      <c r="K213" s="7" t="s">
        <v>505</v>
      </c>
      <c r="L213" s="7">
        <v>1</v>
      </c>
      <c r="M213" s="7" t="s">
        <v>32</v>
      </c>
      <c r="N213" s="7" t="s">
        <v>34</v>
      </c>
      <c r="O213" s="7" t="s">
        <v>34</v>
      </c>
      <c r="P213" s="7" t="s">
        <v>34</v>
      </c>
      <c r="Q213" s="7" t="s">
        <v>34</v>
      </c>
      <c r="R213" s="7" t="s">
        <v>34</v>
      </c>
      <c r="S213" s="7" t="s">
        <v>34</v>
      </c>
      <c r="T213" s="7" t="s">
        <v>34</v>
      </c>
      <c r="U213" s="7" t="s">
        <v>32</v>
      </c>
      <c r="V213" s="7">
        <v>1</v>
      </c>
      <c r="W213" s="7" t="s">
        <v>32</v>
      </c>
      <c r="X213" s="7" t="s">
        <v>32</v>
      </c>
      <c r="Y213" s="7" t="s">
        <v>32</v>
      </c>
      <c r="Z213" s="7" t="s">
        <v>32</v>
      </c>
      <c r="AA213" s="7">
        <v>18445532</v>
      </c>
      <c r="AB213" s="7">
        <v>1</v>
      </c>
      <c r="AC213" s="7"/>
      <c r="AD213" s="7">
        <v>2</v>
      </c>
      <c r="AE213" s="7">
        <f t="shared" si="9"/>
        <v>40</v>
      </c>
      <c r="AF213" s="7">
        <v>19</v>
      </c>
      <c r="AG213" s="7">
        <v>21</v>
      </c>
      <c r="AH213" s="7" t="s">
        <v>1642</v>
      </c>
      <c r="AI213" s="7" t="s">
        <v>1642</v>
      </c>
      <c r="AJ213" s="7">
        <v>35.08</v>
      </c>
      <c r="AK213" s="7">
        <v>4.4400000000000004</v>
      </c>
      <c r="AL213" s="7">
        <v>34.01</v>
      </c>
      <c r="AM213" s="7">
        <v>5.61</v>
      </c>
      <c r="AN213" s="7" t="s">
        <v>2902</v>
      </c>
      <c r="AO213" s="7" t="s">
        <v>1770</v>
      </c>
      <c r="AP213" s="7" t="s">
        <v>3254</v>
      </c>
      <c r="AQ213" s="7" t="s">
        <v>3255</v>
      </c>
      <c r="AR213" s="7" t="s">
        <v>3256</v>
      </c>
      <c r="AS213" s="7" t="s">
        <v>2950</v>
      </c>
      <c r="AT213" s="7" t="s">
        <v>1646</v>
      </c>
      <c r="AU213" s="7" t="s">
        <v>2952</v>
      </c>
      <c r="AV213" s="7" t="s">
        <v>2907</v>
      </c>
      <c r="AW213" s="7">
        <v>35</v>
      </c>
      <c r="AX213" s="7">
        <v>35</v>
      </c>
      <c r="AY213" s="7" t="s">
        <v>3257</v>
      </c>
      <c r="AZ213" s="7">
        <v>43.21</v>
      </c>
      <c r="BA213" s="7">
        <v>7.2</v>
      </c>
      <c r="BB213" s="7"/>
      <c r="BC213" s="7" t="s">
        <v>3363</v>
      </c>
      <c r="BD213" s="7">
        <v>50.81</v>
      </c>
      <c r="BE213" s="7">
        <v>6.9</v>
      </c>
      <c r="BF213" s="7"/>
    </row>
    <row r="214" spans="1:59" x14ac:dyDescent="0.2">
      <c r="A214" s="7">
        <v>69</v>
      </c>
      <c r="B214" s="7" t="s">
        <v>500</v>
      </c>
      <c r="C214" s="7" t="s">
        <v>501</v>
      </c>
      <c r="D214" s="7" t="s">
        <v>502</v>
      </c>
      <c r="E214" s="7" t="s">
        <v>503</v>
      </c>
      <c r="F214" s="7" t="s">
        <v>504</v>
      </c>
      <c r="G214" s="7">
        <v>2008</v>
      </c>
      <c r="H214" s="8">
        <v>39569</v>
      </c>
      <c r="I214" s="7" t="s">
        <v>32</v>
      </c>
      <c r="J214" s="7" t="s">
        <v>32</v>
      </c>
      <c r="K214" s="7" t="s">
        <v>505</v>
      </c>
      <c r="L214" s="7">
        <v>1</v>
      </c>
      <c r="M214" s="7" t="s">
        <v>32</v>
      </c>
      <c r="N214" s="7" t="s">
        <v>34</v>
      </c>
      <c r="O214" s="7" t="s">
        <v>34</v>
      </c>
      <c r="P214" s="7" t="s">
        <v>34</v>
      </c>
      <c r="Q214" s="7" t="s">
        <v>34</v>
      </c>
      <c r="R214" s="7" t="s">
        <v>34</v>
      </c>
      <c r="S214" s="7" t="s">
        <v>34</v>
      </c>
      <c r="T214" s="7" t="s">
        <v>34</v>
      </c>
      <c r="U214" s="7" t="s">
        <v>32</v>
      </c>
      <c r="V214" s="7">
        <v>1</v>
      </c>
      <c r="W214" s="7" t="s">
        <v>32</v>
      </c>
      <c r="X214" s="7" t="s">
        <v>32</v>
      </c>
      <c r="Y214" s="7" t="s">
        <v>32</v>
      </c>
      <c r="Z214" s="7" t="s">
        <v>32</v>
      </c>
      <c r="AA214" s="7">
        <v>18445532</v>
      </c>
      <c r="AB214" s="7">
        <v>1</v>
      </c>
      <c r="AC214" s="7"/>
      <c r="AD214" s="7">
        <v>2</v>
      </c>
      <c r="AE214" s="7">
        <f t="shared" si="9"/>
        <v>40</v>
      </c>
      <c r="AF214" s="7">
        <v>19</v>
      </c>
      <c r="AG214" s="7">
        <v>21</v>
      </c>
      <c r="AH214" s="7" t="s">
        <v>1642</v>
      </c>
      <c r="AI214" s="7" t="s">
        <v>1642</v>
      </c>
      <c r="AJ214" s="7">
        <v>35.08</v>
      </c>
      <c r="AK214" s="7">
        <v>4.4400000000000004</v>
      </c>
      <c r="AL214" s="7">
        <v>34.01</v>
      </c>
      <c r="AM214" s="7">
        <v>5.61</v>
      </c>
      <c r="AN214" s="7" t="s">
        <v>2902</v>
      </c>
      <c r="AO214" s="7" t="s">
        <v>1770</v>
      </c>
      <c r="AP214" s="7" t="s">
        <v>3254</v>
      </c>
      <c r="AQ214" s="7" t="s">
        <v>3255</v>
      </c>
      <c r="AR214" s="7" t="s">
        <v>3256</v>
      </c>
      <c r="AS214" s="7" t="s">
        <v>2950</v>
      </c>
      <c r="AT214" s="7" t="s">
        <v>1646</v>
      </c>
      <c r="AU214" s="7" t="s">
        <v>3029</v>
      </c>
      <c r="AV214" s="7" t="s">
        <v>2907</v>
      </c>
      <c r="AW214" s="7">
        <v>35</v>
      </c>
      <c r="AX214" s="7">
        <v>35</v>
      </c>
      <c r="AY214" s="7" t="s">
        <v>3258</v>
      </c>
      <c r="AZ214" s="7">
        <v>9.58</v>
      </c>
      <c r="BA214" s="7">
        <v>2.57</v>
      </c>
      <c r="BB214" s="7"/>
      <c r="BC214" s="7" t="s">
        <v>3364</v>
      </c>
      <c r="BD214" s="7">
        <v>11.33</v>
      </c>
      <c r="BE214" s="7">
        <v>2.0299999999999998</v>
      </c>
      <c r="BF214" s="7"/>
    </row>
    <row r="215" spans="1:59" x14ac:dyDescent="0.2">
      <c r="A215" s="7">
        <v>70</v>
      </c>
      <c r="B215" s="7" t="s">
        <v>506</v>
      </c>
      <c r="C215" s="7" t="s">
        <v>507</v>
      </c>
      <c r="D215" s="7" t="s">
        <v>508</v>
      </c>
      <c r="E215" s="7" t="s">
        <v>509</v>
      </c>
      <c r="F215" s="7" t="s">
        <v>510</v>
      </c>
      <c r="G215" s="7">
        <v>2008</v>
      </c>
      <c r="H215" s="8">
        <v>40562</v>
      </c>
      <c r="I215" s="7" t="s">
        <v>511</v>
      </c>
      <c r="J215" s="7" t="s">
        <v>32</v>
      </c>
      <c r="K215" s="7" t="s">
        <v>512</v>
      </c>
      <c r="L215" s="7">
        <v>1</v>
      </c>
      <c r="M215" s="7" t="s">
        <v>32</v>
      </c>
      <c r="N215" s="7" t="s">
        <v>34</v>
      </c>
      <c r="O215" s="7" t="s">
        <v>34</v>
      </c>
      <c r="P215" s="7" t="s">
        <v>34</v>
      </c>
      <c r="Q215" s="7" t="s">
        <v>34</v>
      </c>
      <c r="R215" s="7" t="s">
        <v>34</v>
      </c>
      <c r="S215" s="7" t="s">
        <v>513</v>
      </c>
      <c r="T215" s="7" t="s">
        <v>34</v>
      </c>
      <c r="U215" s="7" t="s">
        <v>34</v>
      </c>
      <c r="V215" s="7">
        <v>1</v>
      </c>
      <c r="W215" s="7" t="s">
        <v>32</v>
      </c>
      <c r="X215" s="7">
        <v>1</v>
      </c>
      <c r="Y215" s="7" t="s">
        <v>514</v>
      </c>
      <c r="Z215" s="7" t="s">
        <v>515</v>
      </c>
      <c r="AA215" s="7">
        <v>21241538</v>
      </c>
      <c r="AB215" s="7">
        <v>1</v>
      </c>
      <c r="AC215" s="7"/>
      <c r="AD215" s="7">
        <v>3</v>
      </c>
      <c r="AE215" s="7">
        <f t="shared" si="9"/>
        <v>66</v>
      </c>
      <c r="AF215" s="7">
        <v>19</v>
      </c>
      <c r="AG215" s="7">
        <v>47</v>
      </c>
      <c r="AH215" s="7" t="s">
        <v>2845</v>
      </c>
      <c r="AI215" s="7" t="s">
        <v>2845</v>
      </c>
      <c r="AJ215" s="7">
        <v>33.24</v>
      </c>
      <c r="AK215" s="7">
        <v>10.76</v>
      </c>
      <c r="AL215" s="7">
        <v>34.92</v>
      </c>
      <c r="AM215" s="7">
        <v>10.59</v>
      </c>
      <c r="AN215" s="7" t="s">
        <v>3148</v>
      </c>
      <c r="AO215" s="7" t="s">
        <v>1770</v>
      </c>
      <c r="AP215" s="7" t="s">
        <v>3261</v>
      </c>
      <c r="AQ215" s="7" t="s">
        <v>3260</v>
      </c>
      <c r="AR215" s="7" t="s">
        <v>3262</v>
      </c>
      <c r="AS215" s="7" t="s">
        <v>3143</v>
      </c>
      <c r="AT215" s="7" t="s">
        <v>1646</v>
      </c>
      <c r="AU215" s="7" t="s">
        <v>3144</v>
      </c>
      <c r="AV215" s="7" t="s">
        <v>2907</v>
      </c>
      <c r="AW215" s="7">
        <v>36</v>
      </c>
      <c r="AX215" s="7">
        <v>36</v>
      </c>
      <c r="AY215" s="7" t="s">
        <v>3263</v>
      </c>
      <c r="AZ215" s="7">
        <v>4.8600000000000003</v>
      </c>
      <c r="BA215" s="7">
        <v>3.87</v>
      </c>
      <c r="BB215" s="7"/>
      <c r="BC215" s="7" t="s">
        <v>3365</v>
      </c>
      <c r="BD215" s="7">
        <v>3.34</v>
      </c>
      <c r="BE215" s="7">
        <v>2.21</v>
      </c>
      <c r="BF215" s="7"/>
      <c r="BG215" t="s">
        <v>3265</v>
      </c>
    </row>
    <row r="216" spans="1:59" x14ac:dyDescent="0.2">
      <c r="A216" s="7">
        <v>70</v>
      </c>
      <c r="B216" s="7" t="s">
        <v>506</v>
      </c>
      <c r="C216" s="7" t="s">
        <v>507</v>
      </c>
      <c r="D216" s="7" t="s">
        <v>508</v>
      </c>
      <c r="E216" s="7" t="s">
        <v>509</v>
      </c>
      <c r="F216" s="7" t="s">
        <v>510</v>
      </c>
      <c r="G216" s="7">
        <v>2008</v>
      </c>
      <c r="H216" s="8">
        <v>40562</v>
      </c>
      <c r="I216" s="7" t="s">
        <v>511</v>
      </c>
      <c r="J216" s="7" t="s">
        <v>32</v>
      </c>
      <c r="K216" s="7" t="s">
        <v>512</v>
      </c>
      <c r="L216" s="7">
        <v>1</v>
      </c>
      <c r="M216" s="7" t="s">
        <v>32</v>
      </c>
      <c r="N216" s="7" t="s">
        <v>34</v>
      </c>
      <c r="O216" s="7" t="s">
        <v>34</v>
      </c>
      <c r="P216" s="7" t="s">
        <v>34</v>
      </c>
      <c r="Q216" s="7" t="s">
        <v>34</v>
      </c>
      <c r="R216" s="7" t="s">
        <v>34</v>
      </c>
      <c r="S216" s="7" t="s">
        <v>513</v>
      </c>
      <c r="T216" s="7" t="s">
        <v>34</v>
      </c>
      <c r="U216" s="7" t="s">
        <v>34</v>
      </c>
      <c r="V216" s="7">
        <v>1</v>
      </c>
      <c r="W216" s="7" t="s">
        <v>32</v>
      </c>
      <c r="X216" s="7">
        <v>1</v>
      </c>
      <c r="Y216" s="7" t="s">
        <v>514</v>
      </c>
      <c r="Z216" s="7" t="s">
        <v>515</v>
      </c>
      <c r="AA216" s="7">
        <v>21241538</v>
      </c>
      <c r="AB216" s="7">
        <v>1</v>
      </c>
      <c r="AC216" s="7"/>
      <c r="AD216" s="7">
        <v>3</v>
      </c>
      <c r="AE216" s="7">
        <f t="shared" si="9"/>
        <v>66</v>
      </c>
      <c r="AF216" s="7">
        <v>19</v>
      </c>
      <c r="AG216" s="7">
        <v>47</v>
      </c>
      <c r="AH216" s="7" t="s">
        <v>2845</v>
      </c>
      <c r="AI216" s="7" t="s">
        <v>2845</v>
      </c>
      <c r="AJ216" s="7">
        <v>33.24</v>
      </c>
      <c r="AK216" s="7">
        <v>10.76</v>
      </c>
      <c r="AL216" s="7">
        <v>34.92</v>
      </c>
      <c r="AM216" s="7">
        <v>10.59</v>
      </c>
      <c r="AN216" s="7" t="s">
        <v>3148</v>
      </c>
      <c r="AO216" s="7" t="s">
        <v>1770</v>
      </c>
      <c r="AP216" s="7" t="s">
        <v>3261</v>
      </c>
      <c r="AQ216" s="7" t="s">
        <v>3260</v>
      </c>
      <c r="AR216" s="7" t="s">
        <v>3262</v>
      </c>
      <c r="AS216" s="7" t="s">
        <v>3143</v>
      </c>
      <c r="AT216" s="7" t="s">
        <v>1646</v>
      </c>
      <c r="AU216" s="7" t="s">
        <v>3144</v>
      </c>
      <c r="AV216" s="7" t="s">
        <v>2907</v>
      </c>
      <c r="AW216" s="7">
        <v>36</v>
      </c>
      <c r="AX216" s="7">
        <v>36</v>
      </c>
      <c r="AY216" s="7" t="s">
        <v>3264</v>
      </c>
      <c r="AZ216" s="7">
        <v>3.06</v>
      </c>
      <c r="BA216" s="7">
        <v>1.87</v>
      </c>
      <c r="BB216" s="7"/>
      <c r="BC216" s="7" t="s">
        <v>3366</v>
      </c>
      <c r="BD216" s="7">
        <v>3.99</v>
      </c>
      <c r="BE216" s="7">
        <v>2.79</v>
      </c>
      <c r="BF216" s="7"/>
      <c r="BG216" t="s">
        <v>3266</v>
      </c>
    </row>
    <row r="217" spans="1:59" x14ac:dyDescent="0.2">
      <c r="A217" s="7">
        <v>71</v>
      </c>
      <c r="B217" s="7" t="s">
        <v>516</v>
      </c>
      <c r="C217" s="7" t="s">
        <v>517</v>
      </c>
      <c r="D217" s="7" t="s">
        <v>518</v>
      </c>
      <c r="E217" s="7" t="s">
        <v>367</v>
      </c>
      <c r="F217" s="7" t="s">
        <v>519</v>
      </c>
      <c r="G217" s="7">
        <v>2008</v>
      </c>
      <c r="H217" s="8">
        <v>39455</v>
      </c>
      <c r="I217" s="7" t="s">
        <v>32</v>
      </c>
      <c r="J217" s="7" t="s">
        <v>32</v>
      </c>
      <c r="K217" s="7" t="s">
        <v>520</v>
      </c>
      <c r="L217" s="7">
        <v>1</v>
      </c>
      <c r="M217" s="7" t="s">
        <v>521</v>
      </c>
      <c r="N217" s="7" t="s">
        <v>34</v>
      </c>
      <c r="O217" s="7" t="s">
        <v>34</v>
      </c>
      <c r="P217" s="7" t="s">
        <v>34</v>
      </c>
      <c r="Q217" s="7" t="s">
        <v>34</v>
      </c>
      <c r="R217" s="7" t="s">
        <v>34</v>
      </c>
      <c r="S217" s="7" t="s">
        <v>318</v>
      </c>
      <c r="T217" s="7" t="s">
        <v>34</v>
      </c>
      <c r="U217" s="7" t="s">
        <v>32</v>
      </c>
      <c r="V217" s="7">
        <v>1</v>
      </c>
      <c r="W217" s="7" t="s">
        <v>32</v>
      </c>
      <c r="X217" s="7" t="s">
        <v>32</v>
      </c>
      <c r="Y217" s="7" t="s">
        <v>319</v>
      </c>
      <c r="Z217" s="7" t="s">
        <v>32</v>
      </c>
      <c r="AA217" s="7">
        <v>18178168</v>
      </c>
      <c r="AB217" s="7">
        <v>1</v>
      </c>
      <c r="AC217" s="7"/>
      <c r="AD217" s="7">
        <v>3</v>
      </c>
      <c r="AE217" s="7">
        <f t="shared" si="9"/>
        <v>56</v>
      </c>
      <c r="AF217" s="7">
        <v>28</v>
      </c>
      <c r="AG217" s="7">
        <v>28</v>
      </c>
      <c r="AH217" s="7" t="s">
        <v>1769</v>
      </c>
      <c r="AI217" s="7" t="s">
        <v>1769</v>
      </c>
      <c r="AJ217" s="7">
        <v>37.57</v>
      </c>
      <c r="AK217" s="7">
        <v>5.9</v>
      </c>
      <c r="AL217" s="7">
        <v>34.43</v>
      </c>
      <c r="AM217" s="7">
        <v>6.62</v>
      </c>
      <c r="AN217" s="21" t="s">
        <v>3268</v>
      </c>
      <c r="AO217" s="7" t="s">
        <v>1638</v>
      </c>
      <c r="AP217" s="7" t="s">
        <v>3267</v>
      </c>
      <c r="AQ217" s="7" t="s">
        <v>3269</v>
      </c>
      <c r="AR217" s="7" t="s">
        <v>1646</v>
      </c>
      <c r="AS217" s="7" t="s">
        <v>3270</v>
      </c>
      <c r="AT217" s="7" t="s">
        <v>1646</v>
      </c>
      <c r="AU217" s="7" t="s">
        <v>2940</v>
      </c>
      <c r="AV217" s="7" t="s">
        <v>2848</v>
      </c>
      <c r="AW217" s="7">
        <v>37</v>
      </c>
      <c r="AX217" s="7">
        <v>37</v>
      </c>
      <c r="AY217" s="7" t="s">
        <v>3271</v>
      </c>
      <c r="AZ217" s="7">
        <v>18.03</v>
      </c>
      <c r="BA217" s="7">
        <v>1.68</v>
      </c>
      <c r="BB217" s="7"/>
      <c r="BC217" s="7" t="s">
        <v>3367</v>
      </c>
      <c r="BD217" s="7">
        <v>19.21</v>
      </c>
      <c r="BE217" s="7">
        <v>1.52</v>
      </c>
      <c r="BF217" s="7"/>
    </row>
    <row r="218" spans="1:59" x14ac:dyDescent="0.2">
      <c r="A218" s="7">
        <v>71</v>
      </c>
      <c r="B218" s="7" t="s">
        <v>516</v>
      </c>
      <c r="C218" s="7" t="s">
        <v>517</v>
      </c>
      <c r="D218" s="7" t="s">
        <v>518</v>
      </c>
      <c r="E218" s="7" t="s">
        <v>367</v>
      </c>
      <c r="F218" s="7" t="s">
        <v>519</v>
      </c>
      <c r="G218" s="7">
        <v>2008</v>
      </c>
      <c r="H218" s="8">
        <v>39455</v>
      </c>
      <c r="I218" s="7" t="s">
        <v>32</v>
      </c>
      <c r="J218" s="7" t="s">
        <v>32</v>
      </c>
      <c r="K218" s="7" t="s">
        <v>520</v>
      </c>
      <c r="L218" s="7">
        <v>1</v>
      </c>
      <c r="M218" s="7" t="s">
        <v>521</v>
      </c>
      <c r="N218" s="7" t="s">
        <v>34</v>
      </c>
      <c r="O218" s="7" t="s">
        <v>34</v>
      </c>
      <c r="P218" s="7" t="s">
        <v>34</v>
      </c>
      <c r="Q218" s="7" t="s">
        <v>34</v>
      </c>
      <c r="R218" s="7" t="s">
        <v>34</v>
      </c>
      <c r="S218" s="7" t="s">
        <v>318</v>
      </c>
      <c r="T218" s="7" t="s">
        <v>34</v>
      </c>
      <c r="U218" s="7" t="s">
        <v>32</v>
      </c>
      <c r="V218" s="7">
        <v>1</v>
      </c>
      <c r="W218" s="7" t="s">
        <v>32</v>
      </c>
      <c r="X218" s="7" t="s">
        <v>32</v>
      </c>
      <c r="Y218" s="7" t="s">
        <v>319</v>
      </c>
      <c r="Z218" s="7" t="s">
        <v>32</v>
      </c>
      <c r="AA218" s="7">
        <v>18178168</v>
      </c>
      <c r="AB218" s="7">
        <v>1</v>
      </c>
      <c r="AC218" s="7"/>
      <c r="AD218" s="7">
        <v>3</v>
      </c>
      <c r="AE218" s="7">
        <f t="shared" si="9"/>
        <v>56</v>
      </c>
      <c r="AF218" s="7">
        <v>28</v>
      </c>
      <c r="AG218" s="7">
        <v>28</v>
      </c>
      <c r="AH218" s="7" t="s">
        <v>1769</v>
      </c>
      <c r="AI218" s="7" t="s">
        <v>1769</v>
      </c>
      <c r="AJ218" s="7">
        <v>37.57</v>
      </c>
      <c r="AK218" s="7">
        <v>5.9</v>
      </c>
      <c r="AL218" s="7">
        <v>34.43</v>
      </c>
      <c r="AM218" s="7">
        <v>6.62</v>
      </c>
      <c r="AN218" s="21" t="s">
        <v>3268</v>
      </c>
      <c r="AO218" s="7" t="s">
        <v>1638</v>
      </c>
      <c r="AP218" s="7" t="s">
        <v>3267</v>
      </c>
      <c r="AQ218" s="7" t="s">
        <v>3269</v>
      </c>
      <c r="AR218" s="7" t="s">
        <v>1646</v>
      </c>
      <c r="AS218" s="7" t="s">
        <v>3270</v>
      </c>
      <c r="AT218" s="7" t="s">
        <v>1646</v>
      </c>
      <c r="AU218" s="7" t="s">
        <v>2940</v>
      </c>
      <c r="AV218" s="7" t="s">
        <v>2848</v>
      </c>
      <c r="AW218" s="7">
        <v>37</v>
      </c>
      <c r="AX218" s="7">
        <v>37</v>
      </c>
      <c r="AY218" s="7" t="s">
        <v>3272</v>
      </c>
      <c r="AZ218" s="7">
        <v>18.850000000000001</v>
      </c>
      <c r="BA218" s="7">
        <v>1.2</v>
      </c>
      <c r="BB218" s="7"/>
      <c r="BC218" s="7" t="s">
        <v>3368</v>
      </c>
      <c r="BD218" s="7">
        <v>19.87</v>
      </c>
      <c r="BE218" s="7">
        <v>1.3</v>
      </c>
      <c r="BF218" s="7"/>
    </row>
    <row r="219" spans="1:59" x14ac:dyDescent="0.2">
      <c r="A219" s="7">
        <v>71</v>
      </c>
      <c r="B219" s="7" t="s">
        <v>516</v>
      </c>
      <c r="C219" s="7" t="s">
        <v>517</v>
      </c>
      <c r="D219" s="7" t="s">
        <v>518</v>
      </c>
      <c r="E219" s="7" t="s">
        <v>367</v>
      </c>
      <c r="F219" s="7" t="s">
        <v>519</v>
      </c>
      <c r="G219" s="7">
        <v>2008</v>
      </c>
      <c r="H219" s="8">
        <v>39455</v>
      </c>
      <c r="I219" s="7" t="s">
        <v>32</v>
      </c>
      <c r="J219" s="7" t="s">
        <v>32</v>
      </c>
      <c r="K219" s="7" t="s">
        <v>520</v>
      </c>
      <c r="L219" s="7">
        <v>1</v>
      </c>
      <c r="M219" s="7" t="s">
        <v>521</v>
      </c>
      <c r="N219" s="7" t="s">
        <v>34</v>
      </c>
      <c r="O219" s="7" t="s">
        <v>34</v>
      </c>
      <c r="P219" s="7" t="s">
        <v>34</v>
      </c>
      <c r="Q219" s="7" t="s">
        <v>34</v>
      </c>
      <c r="R219" s="7" t="s">
        <v>34</v>
      </c>
      <c r="S219" s="7" t="s">
        <v>318</v>
      </c>
      <c r="T219" s="7" t="s">
        <v>34</v>
      </c>
      <c r="U219" s="7" t="s">
        <v>32</v>
      </c>
      <c r="V219" s="7">
        <v>1</v>
      </c>
      <c r="W219" s="7" t="s">
        <v>32</v>
      </c>
      <c r="X219" s="7" t="s">
        <v>32</v>
      </c>
      <c r="Y219" s="7" t="s">
        <v>319</v>
      </c>
      <c r="Z219" s="7" t="s">
        <v>32</v>
      </c>
      <c r="AA219" s="7">
        <v>18178168</v>
      </c>
      <c r="AB219" s="7">
        <v>1</v>
      </c>
      <c r="AC219" s="7"/>
      <c r="AD219" s="7">
        <v>3</v>
      </c>
      <c r="AE219" s="7">
        <f t="shared" si="9"/>
        <v>56</v>
      </c>
      <c r="AF219" s="7">
        <v>28</v>
      </c>
      <c r="AG219" s="7">
        <v>28</v>
      </c>
      <c r="AH219" s="7" t="s">
        <v>1769</v>
      </c>
      <c r="AI219" s="7" t="s">
        <v>1769</v>
      </c>
      <c r="AJ219" s="7">
        <v>37.57</v>
      </c>
      <c r="AK219" s="7">
        <v>5.9</v>
      </c>
      <c r="AL219" s="7">
        <v>34.43</v>
      </c>
      <c r="AM219" s="7">
        <v>6.62</v>
      </c>
      <c r="AN219" s="21" t="s">
        <v>3268</v>
      </c>
      <c r="AO219" s="7" t="s">
        <v>1638</v>
      </c>
      <c r="AP219" s="7" t="s">
        <v>3267</v>
      </c>
      <c r="AQ219" s="7" t="s">
        <v>3269</v>
      </c>
      <c r="AR219" s="7" t="s">
        <v>1646</v>
      </c>
      <c r="AS219" s="7" t="s">
        <v>3270</v>
      </c>
      <c r="AT219" s="7" t="s">
        <v>1646</v>
      </c>
      <c r="AU219" s="7" t="s">
        <v>2940</v>
      </c>
      <c r="AV219" s="7" t="s">
        <v>2848</v>
      </c>
      <c r="AW219" s="7">
        <v>37</v>
      </c>
      <c r="AX219" s="7">
        <v>37</v>
      </c>
      <c r="AY219" s="7" t="s">
        <v>3273</v>
      </c>
      <c r="AZ219" s="7">
        <v>19.260000000000002</v>
      </c>
      <c r="BA219" s="7">
        <v>1.31</v>
      </c>
      <c r="BB219" s="7"/>
      <c r="BC219" s="7" t="s">
        <v>3369</v>
      </c>
      <c r="BD219" s="7">
        <v>19.920000000000002</v>
      </c>
      <c r="BE219" s="7">
        <v>1.25</v>
      </c>
      <c r="BF219" s="7"/>
    </row>
    <row r="220" spans="1:59" s="65" customFormat="1" x14ac:dyDescent="0.2">
      <c r="A220" s="20">
        <v>72</v>
      </c>
      <c r="B220" s="20" t="s">
        <v>522</v>
      </c>
      <c r="C220" s="20" t="s">
        <v>523</v>
      </c>
      <c r="D220" s="20" t="s">
        <v>524</v>
      </c>
      <c r="E220" s="20" t="s">
        <v>503</v>
      </c>
      <c r="F220" s="20" t="s">
        <v>525</v>
      </c>
      <c r="G220" s="20">
        <v>2008</v>
      </c>
      <c r="H220" s="64">
        <v>39413</v>
      </c>
      <c r="I220" s="20" t="s">
        <v>32</v>
      </c>
      <c r="J220" s="20" t="s">
        <v>32</v>
      </c>
      <c r="K220" s="20" t="s">
        <v>526</v>
      </c>
      <c r="L220" s="20">
        <v>1</v>
      </c>
      <c r="M220" s="20" t="s">
        <v>32</v>
      </c>
      <c r="N220" s="20" t="s">
        <v>34</v>
      </c>
      <c r="O220" s="20" t="s">
        <v>34</v>
      </c>
      <c r="P220" s="20" t="s">
        <v>34</v>
      </c>
      <c r="Q220" s="20" t="s">
        <v>34</v>
      </c>
      <c r="R220" s="20" t="s">
        <v>34</v>
      </c>
      <c r="S220" s="20" t="s">
        <v>34</v>
      </c>
      <c r="T220" s="20" t="s">
        <v>34</v>
      </c>
      <c r="U220" s="20" t="s">
        <v>32</v>
      </c>
      <c r="V220" s="20">
        <v>1</v>
      </c>
      <c r="W220" s="20" t="s">
        <v>32</v>
      </c>
      <c r="X220" s="20" t="s">
        <v>32</v>
      </c>
      <c r="Y220" s="20" t="s">
        <v>32</v>
      </c>
      <c r="Z220" s="20" t="s">
        <v>32</v>
      </c>
      <c r="AA220" s="20">
        <v>18037028</v>
      </c>
      <c r="AB220" s="20">
        <v>0</v>
      </c>
      <c r="AC220" s="20" t="s">
        <v>3253</v>
      </c>
      <c r="AD220" s="20"/>
      <c r="AE220" s="20">
        <f t="shared" si="9"/>
        <v>0</v>
      </c>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row>
    <row r="221" spans="1:59" x14ac:dyDescent="0.2">
      <c r="A221" s="7">
        <v>73</v>
      </c>
      <c r="B221" s="7" t="s">
        <v>527</v>
      </c>
      <c r="C221" s="7" t="s">
        <v>528</v>
      </c>
      <c r="D221" s="7" t="s">
        <v>529</v>
      </c>
      <c r="E221" s="7" t="s">
        <v>530</v>
      </c>
      <c r="F221" s="7" t="s">
        <v>39</v>
      </c>
      <c r="G221" s="7">
        <v>2008</v>
      </c>
      <c r="H221" s="8">
        <v>39407</v>
      </c>
      <c r="I221" s="7" t="s">
        <v>32</v>
      </c>
      <c r="J221" s="7" t="s">
        <v>32</v>
      </c>
      <c r="K221" s="7" t="s">
        <v>531</v>
      </c>
      <c r="L221" s="7">
        <v>1</v>
      </c>
      <c r="M221" s="7" t="s">
        <v>32</v>
      </c>
      <c r="N221" s="7" t="s">
        <v>34</v>
      </c>
      <c r="O221" s="7" t="s">
        <v>34</v>
      </c>
      <c r="P221" s="7" t="s">
        <v>34</v>
      </c>
      <c r="Q221" s="7" t="s">
        <v>34</v>
      </c>
      <c r="R221" s="7" t="s">
        <v>34</v>
      </c>
      <c r="S221" s="7" t="s">
        <v>318</v>
      </c>
      <c r="T221" s="7" t="s">
        <v>34</v>
      </c>
      <c r="U221" s="7" t="s">
        <v>32</v>
      </c>
      <c r="V221" s="7">
        <v>1</v>
      </c>
      <c r="W221" s="7" t="s">
        <v>32</v>
      </c>
      <c r="X221" s="7" t="s">
        <v>32</v>
      </c>
      <c r="Y221" s="7" t="s">
        <v>514</v>
      </c>
      <c r="Z221" s="7" t="s">
        <v>32</v>
      </c>
      <c r="AA221" s="7">
        <v>18022601</v>
      </c>
      <c r="AB221" s="7">
        <v>1</v>
      </c>
      <c r="AC221" s="7"/>
      <c r="AD221" s="7">
        <v>3</v>
      </c>
      <c r="AE221" s="7">
        <f t="shared" si="9"/>
        <v>41</v>
      </c>
      <c r="AF221" s="7">
        <v>20</v>
      </c>
      <c r="AG221" s="7">
        <v>21</v>
      </c>
      <c r="AH221" s="7" t="s">
        <v>2845</v>
      </c>
      <c r="AI221" s="7" t="s">
        <v>2845</v>
      </c>
      <c r="AJ221" s="7">
        <v>39.049999999999997</v>
      </c>
      <c r="AK221" s="7">
        <v>13.1</v>
      </c>
      <c r="AL221" s="7">
        <v>26.1</v>
      </c>
      <c r="AM221" s="7">
        <v>9.3800000000000008</v>
      </c>
      <c r="AN221" s="7" t="s">
        <v>3224</v>
      </c>
      <c r="AO221" s="7" t="s">
        <v>1770</v>
      </c>
      <c r="AP221" s="7" t="s">
        <v>3274</v>
      </c>
      <c r="AQ221" s="7" t="s">
        <v>3039</v>
      </c>
      <c r="AR221" s="7" t="s">
        <v>1646</v>
      </c>
      <c r="AS221" s="7" t="s">
        <v>3143</v>
      </c>
      <c r="AT221" s="7" t="s">
        <v>1646</v>
      </c>
      <c r="AU221" s="7" t="s">
        <v>3144</v>
      </c>
      <c r="AV221" s="7" t="s">
        <v>2907</v>
      </c>
      <c r="AW221" s="7">
        <v>38</v>
      </c>
      <c r="AX221" s="7">
        <v>38</v>
      </c>
      <c r="AY221" s="7" t="s">
        <v>3275</v>
      </c>
      <c r="AZ221" s="7">
        <v>35.31</v>
      </c>
      <c r="BA221" s="7">
        <v>11.12</v>
      </c>
      <c r="BB221" s="7"/>
      <c r="BC221" s="7" t="s">
        <v>3370</v>
      </c>
      <c r="BD221" s="7">
        <v>19.440000000000001</v>
      </c>
      <c r="BE221" s="7">
        <v>10.71</v>
      </c>
      <c r="BF221" s="7"/>
    </row>
    <row r="222" spans="1:59" x14ac:dyDescent="0.2">
      <c r="A222" s="7">
        <v>73</v>
      </c>
      <c r="B222" s="7" t="s">
        <v>527</v>
      </c>
      <c r="C222" s="7" t="s">
        <v>528</v>
      </c>
      <c r="D222" s="7" t="s">
        <v>529</v>
      </c>
      <c r="E222" s="7" t="s">
        <v>530</v>
      </c>
      <c r="F222" s="7" t="s">
        <v>39</v>
      </c>
      <c r="G222" s="7">
        <v>2008</v>
      </c>
      <c r="H222" s="8">
        <v>39407</v>
      </c>
      <c r="I222" s="7" t="s">
        <v>32</v>
      </c>
      <c r="J222" s="7" t="s">
        <v>32</v>
      </c>
      <c r="K222" s="7" t="s">
        <v>531</v>
      </c>
      <c r="L222" s="7">
        <v>1</v>
      </c>
      <c r="M222" s="7" t="s">
        <v>32</v>
      </c>
      <c r="N222" s="7" t="s">
        <v>34</v>
      </c>
      <c r="O222" s="7" t="s">
        <v>34</v>
      </c>
      <c r="P222" s="7" t="s">
        <v>34</v>
      </c>
      <c r="Q222" s="7" t="s">
        <v>34</v>
      </c>
      <c r="R222" s="7" t="s">
        <v>34</v>
      </c>
      <c r="S222" s="7" t="s">
        <v>318</v>
      </c>
      <c r="T222" s="7" t="s">
        <v>34</v>
      </c>
      <c r="U222" s="7" t="s">
        <v>32</v>
      </c>
      <c r="V222" s="7">
        <v>1</v>
      </c>
      <c r="W222" s="7" t="s">
        <v>32</v>
      </c>
      <c r="X222" s="7" t="s">
        <v>32</v>
      </c>
      <c r="Y222" s="7" t="s">
        <v>514</v>
      </c>
      <c r="Z222" s="7" t="s">
        <v>32</v>
      </c>
      <c r="AA222" s="7">
        <v>18022601</v>
      </c>
      <c r="AB222" s="7">
        <v>1</v>
      </c>
      <c r="AC222" s="7"/>
      <c r="AD222" s="7">
        <v>3</v>
      </c>
      <c r="AE222" s="7">
        <f t="shared" si="9"/>
        <v>41</v>
      </c>
      <c r="AF222" s="7">
        <v>20</v>
      </c>
      <c r="AG222" s="7">
        <v>21</v>
      </c>
      <c r="AH222" s="7" t="s">
        <v>2845</v>
      </c>
      <c r="AI222" s="7" t="s">
        <v>2845</v>
      </c>
      <c r="AJ222" s="7">
        <v>39.049999999999997</v>
      </c>
      <c r="AK222" s="7">
        <v>13.1</v>
      </c>
      <c r="AL222" s="7">
        <v>26.1</v>
      </c>
      <c r="AM222" s="7">
        <v>9.3800000000000008</v>
      </c>
      <c r="AN222" s="7" t="s">
        <v>3224</v>
      </c>
      <c r="AO222" s="7" t="s">
        <v>1770</v>
      </c>
      <c r="AP222" s="7" t="s">
        <v>3274</v>
      </c>
      <c r="AQ222" s="7" t="s">
        <v>3039</v>
      </c>
      <c r="AR222" s="7" t="s">
        <v>1646</v>
      </c>
      <c r="AS222" s="7" t="s">
        <v>3143</v>
      </c>
      <c r="AT222" s="7" t="s">
        <v>1646</v>
      </c>
      <c r="AU222" s="7" t="s">
        <v>3144</v>
      </c>
      <c r="AV222" s="7" t="s">
        <v>2907</v>
      </c>
      <c r="AW222" s="7">
        <v>38</v>
      </c>
      <c r="AX222" s="7">
        <v>38</v>
      </c>
      <c r="AY222" s="7" t="s">
        <v>3276</v>
      </c>
      <c r="AZ222" s="7">
        <v>30.84</v>
      </c>
      <c r="BA222" s="7">
        <v>12.36</v>
      </c>
      <c r="BB222" s="7"/>
      <c r="BC222" s="7" t="s">
        <v>3371</v>
      </c>
      <c r="BD222" s="7">
        <v>13.53</v>
      </c>
      <c r="BE222" s="7">
        <v>9.4600000000000009</v>
      </c>
      <c r="BF222" s="7"/>
    </row>
    <row r="223" spans="1:59" x14ac:dyDescent="0.2">
      <c r="A223" s="7">
        <v>73</v>
      </c>
      <c r="B223" s="7" t="s">
        <v>527</v>
      </c>
      <c r="C223" s="7" t="s">
        <v>528</v>
      </c>
      <c r="D223" s="7" t="s">
        <v>529</v>
      </c>
      <c r="E223" s="7" t="s">
        <v>530</v>
      </c>
      <c r="F223" s="7" t="s">
        <v>39</v>
      </c>
      <c r="G223" s="7">
        <v>2008</v>
      </c>
      <c r="H223" s="8">
        <v>39407</v>
      </c>
      <c r="I223" s="7" t="s">
        <v>32</v>
      </c>
      <c r="J223" s="7" t="s">
        <v>32</v>
      </c>
      <c r="K223" s="7" t="s">
        <v>531</v>
      </c>
      <c r="L223" s="7">
        <v>1</v>
      </c>
      <c r="M223" s="7" t="s">
        <v>32</v>
      </c>
      <c r="N223" s="7" t="s">
        <v>34</v>
      </c>
      <c r="O223" s="7" t="s">
        <v>34</v>
      </c>
      <c r="P223" s="7" t="s">
        <v>34</v>
      </c>
      <c r="Q223" s="7" t="s">
        <v>34</v>
      </c>
      <c r="R223" s="7" t="s">
        <v>34</v>
      </c>
      <c r="S223" s="7" t="s">
        <v>318</v>
      </c>
      <c r="T223" s="7" t="s">
        <v>34</v>
      </c>
      <c r="U223" s="7" t="s">
        <v>32</v>
      </c>
      <c r="V223" s="7">
        <v>1</v>
      </c>
      <c r="W223" s="7" t="s">
        <v>32</v>
      </c>
      <c r="X223" s="7" t="s">
        <v>32</v>
      </c>
      <c r="Y223" s="7" t="s">
        <v>514</v>
      </c>
      <c r="Z223" s="7" t="s">
        <v>32</v>
      </c>
      <c r="AA223" s="7">
        <v>18022601</v>
      </c>
      <c r="AB223" s="7">
        <v>1</v>
      </c>
      <c r="AC223" s="7"/>
      <c r="AD223" s="7">
        <v>3</v>
      </c>
      <c r="AE223" s="7">
        <f t="shared" si="9"/>
        <v>41</v>
      </c>
      <c r="AF223" s="7">
        <v>20</v>
      </c>
      <c r="AG223" s="7">
        <v>21</v>
      </c>
      <c r="AH223" s="7" t="s">
        <v>2845</v>
      </c>
      <c r="AI223" s="7" t="s">
        <v>2845</v>
      </c>
      <c r="AJ223" s="7">
        <v>39.049999999999997</v>
      </c>
      <c r="AK223" s="7">
        <v>13.1</v>
      </c>
      <c r="AL223" s="7">
        <v>26.1</v>
      </c>
      <c r="AM223" s="7">
        <v>9.3800000000000008</v>
      </c>
      <c r="AN223" s="7" t="s">
        <v>3224</v>
      </c>
      <c r="AO223" s="7" t="s">
        <v>1770</v>
      </c>
      <c r="AP223" s="7" t="s">
        <v>3274</v>
      </c>
      <c r="AQ223" s="7" t="s">
        <v>3039</v>
      </c>
      <c r="AR223" s="7" t="s">
        <v>1646</v>
      </c>
      <c r="AS223" s="7" t="s">
        <v>3143</v>
      </c>
      <c r="AT223" s="7" t="s">
        <v>1646</v>
      </c>
      <c r="AU223" s="7" t="s">
        <v>2940</v>
      </c>
      <c r="AV223" s="7" t="s">
        <v>2907</v>
      </c>
      <c r="AW223" s="7">
        <v>38</v>
      </c>
      <c r="AX223" s="7">
        <v>38</v>
      </c>
      <c r="AY223" s="7" t="s">
        <v>3277</v>
      </c>
      <c r="AZ223" s="7">
        <v>2.65</v>
      </c>
      <c r="BA223" s="7">
        <v>1.1399999999999999</v>
      </c>
      <c r="BB223" s="7"/>
      <c r="BC223" s="7" t="s">
        <v>3372</v>
      </c>
      <c r="BD223" s="7">
        <v>4.57</v>
      </c>
      <c r="BE223" s="7">
        <v>0.75</v>
      </c>
      <c r="BF223" s="7"/>
    </row>
    <row r="224" spans="1:59" x14ac:dyDescent="0.2">
      <c r="A224" s="7">
        <v>73</v>
      </c>
      <c r="B224" s="7" t="s">
        <v>527</v>
      </c>
      <c r="C224" s="7" t="s">
        <v>528</v>
      </c>
      <c r="D224" s="7" t="s">
        <v>529</v>
      </c>
      <c r="E224" s="7" t="s">
        <v>530</v>
      </c>
      <c r="F224" s="7" t="s">
        <v>39</v>
      </c>
      <c r="G224" s="7">
        <v>2008</v>
      </c>
      <c r="H224" s="8">
        <v>39407</v>
      </c>
      <c r="I224" s="7" t="s">
        <v>32</v>
      </c>
      <c r="J224" s="7" t="s">
        <v>32</v>
      </c>
      <c r="K224" s="7" t="s">
        <v>531</v>
      </c>
      <c r="L224" s="7">
        <v>1</v>
      </c>
      <c r="M224" s="7" t="s">
        <v>32</v>
      </c>
      <c r="N224" s="7" t="s">
        <v>34</v>
      </c>
      <c r="O224" s="7" t="s">
        <v>34</v>
      </c>
      <c r="P224" s="7" t="s">
        <v>34</v>
      </c>
      <c r="Q224" s="7" t="s">
        <v>34</v>
      </c>
      <c r="R224" s="7" t="s">
        <v>34</v>
      </c>
      <c r="S224" s="7" t="s">
        <v>318</v>
      </c>
      <c r="T224" s="7" t="s">
        <v>34</v>
      </c>
      <c r="U224" s="7" t="s">
        <v>32</v>
      </c>
      <c r="V224" s="7">
        <v>1</v>
      </c>
      <c r="W224" s="7" t="s">
        <v>32</v>
      </c>
      <c r="X224" s="7" t="s">
        <v>32</v>
      </c>
      <c r="Y224" s="7" t="s">
        <v>514</v>
      </c>
      <c r="Z224" s="7" t="s">
        <v>32</v>
      </c>
      <c r="AA224" s="7">
        <v>18022601</v>
      </c>
      <c r="AB224" s="7">
        <v>1</v>
      </c>
      <c r="AC224" s="7"/>
      <c r="AD224" s="7">
        <v>3</v>
      </c>
      <c r="AE224" s="7">
        <f t="shared" si="9"/>
        <v>41</v>
      </c>
      <c r="AF224" s="7">
        <v>20</v>
      </c>
      <c r="AG224" s="7">
        <v>21</v>
      </c>
      <c r="AH224" s="7" t="s">
        <v>2845</v>
      </c>
      <c r="AI224" s="7" t="s">
        <v>2845</v>
      </c>
      <c r="AJ224" s="7">
        <v>39.049999999999997</v>
      </c>
      <c r="AK224" s="7">
        <v>13.1</v>
      </c>
      <c r="AL224" s="7">
        <v>26.1</v>
      </c>
      <c r="AM224" s="7">
        <v>9.3800000000000008</v>
      </c>
      <c r="AN224" s="7" t="s">
        <v>3224</v>
      </c>
      <c r="AO224" s="7" t="s">
        <v>1770</v>
      </c>
      <c r="AP224" s="7" t="s">
        <v>3274</v>
      </c>
      <c r="AQ224" s="7" t="s">
        <v>3039</v>
      </c>
      <c r="AR224" s="7" t="s">
        <v>1646</v>
      </c>
      <c r="AS224" s="7" t="s">
        <v>3143</v>
      </c>
      <c r="AT224" s="7" t="s">
        <v>1646</v>
      </c>
      <c r="AU224" s="7" t="s">
        <v>2940</v>
      </c>
      <c r="AV224" s="7" t="s">
        <v>2907</v>
      </c>
      <c r="AW224" s="7">
        <v>38</v>
      </c>
      <c r="AX224" s="7">
        <v>38</v>
      </c>
      <c r="AY224" s="7" t="s">
        <v>3278</v>
      </c>
      <c r="AZ224" s="7">
        <v>2.95</v>
      </c>
      <c r="BA224" s="7">
        <v>1.32</v>
      </c>
      <c r="BB224" s="7"/>
      <c r="BC224" s="7" t="s">
        <v>3373</v>
      </c>
      <c r="BD224" s="7">
        <v>4.8600000000000003</v>
      </c>
      <c r="BE224" s="7">
        <v>0.36</v>
      </c>
      <c r="BF224" s="7"/>
    </row>
    <row r="225" spans="1:59" s="65" customFormat="1" x14ac:dyDescent="0.2">
      <c r="A225" s="20">
        <v>74</v>
      </c>
      <c r="B225" s="20" t="s">
        <v>532</v>
      </c>
      <c r="C225" s="20" t="s">
        <v>533</v>
      </c>
      <c r="D225" s="20" t="s">
        <v>534</v>
      </c>
      <c r="E225" s="20" t="s">
        <v>535</v>
      </c>
      <c r="F225" s="20" t="s">
        <v>217</v>
      </c>
      <c r="G225" s="20">
        <v>2007</v>
      </c>
      <c r="H225" s="64">
        <v>39389</v>
      </c>
      <c r="I225" s="20" t="s">
        <v>32</v>
      </c>
      <c r="J225" s="20" t="s">
        <v>32</v>
      </c>
      <c r="K225" s="20" t="s">
        <v>536</v>
      </c>
      <c r="L225" s="20">
        <v>1</v>
      </c>
      <c r="M225" s="20" t="s">
        <v>32</v>
      </c>
      <c r="N225" s="20" t="s">
        <v>34</v>
      </c>
      <c r="O225" s="20" t="s">
        <v>34</v>
      </c>
      <c r="P225" s="20" t="s">
        <v>34</v>
      </c>
      <c r="Q225" s="20" t="s">
        <v>34</v>
      </c>
      <c r="R225" s="20" t="s">
        <v>34</v>
      </c>
      <c r="S225" s="20" t="s">
        <v>34</v>
      </c>
      <c r="T225" s="20" t="s">
        <v>34</v>
      </c>
      <c r="U225" s="20" t="s">
        <v>32</v>
      </c>
      <c r="V225" s="20">
        <v>1</v>
      </c>
      <c r="W225" s="20" t="s">
        <v>32</v>
      </c>
      <c r="X225" s="20" t="s">
        <v>32</v>
      </c>
      <c r="Y225" s="20" t="s">
        <v>32</v>
      </c>
      <c r="Z225" s="20" t="s">
        <v>32</v>
      </c>
      <c r="AA225" s="20">
        <v>17974933</v>
      </c>
      <c r="AB225" s="20">
        <v>0</v>
      </c>
      <c r="AC225" s="20" t="s">
        <v>3279</v>
      </c>
      <c r="AD225" s="20"/>
      <c r="AE225" s="20">
        <f t="shared" si="9"/>
        <v>0</v>
      </c>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row>
    <row r="226" spans="1:59" s="56" customFormat="1" x14ac:dyDescent="0.2">
      <c r="A226" s="21">
        <v>75</v>
      </c>
      <c r="B226" s="21" t="s">
        <v>537</v>
      </c>
      <c r="C226" s="21" t="s">
        <v>538</v>
      </c>
      <c r="D226" s="21" t="s">
        <v>539</v>
      </c>
      <c r="E226" s="21" t="s">
        <v>373</v>
      </c>
      <c r="F226" s="21" t="s">
        <v>80</v>
      </c>
      <c r="G226" s="21">
        <v>2007</v>
      </c>
      <c r="H226" s="70">
        <v>39233</v>
      </c>
      <c r="I226" s="21" t="s">
        <v>32</v>
      </c>
      <c r="J226" s="21" t="s">
        <v>32</v>
      </c>
      <c r="K226" s="21" t="s">
        <v>540</v>
      </c>
      <c r="L226" s="21">
        <v>1</v>
      </c>
      <c r="M226" s="21" t="s">
        <v>32</v>
      </c>
      <c r="N226" s="21" t="s">
        <v>34</v>
      </c>
      <c r="O226" s="21" t="s">
        <v>34</v>
      </c>
      <c r="P226" s="21" t="s">
        <v>34</v>
      </c>
      <c r="Q226" s="21" t="s">
        <v>34</v>
      </c>
      <c r="R226" s="21" t="s">
        <v>34</v>
      </c>
      <c r="S226" s="21" t="s">
        <v>34</v>
      </c>
      <c r="T226" s="21" t="s">
        <v>34</v>
      </c>
      <c r="U226" s="21" t="s">
        <v>32</v>
      </c>
      <c r="V226" s="21">
        <v>1</v>
      </c>
      <c r="W226" s="21" t="s">
        <v>32</v>
      </c>
      <c r="X226" s="21" t="s">
        <v>32</v>
      </c>
      <c r="Y226" s="21" t="s">
        <v>32</v>
      </c>
      <c r="Z226" s="21" t="s">
        <v>32</v>
      </c>
      <c r="AA226" s="21">
        <v>17534108</v>
      </c>
      <c r="AB226" s="21">
        <v>1</v>
      </c>
      <c r="AC226" s="21"/>
      <c r="AD226" s="21">
        <v>3</v>
      </c>
      <c r="AE226" s="21">
        <f t="shared" si="9"/>
        <v>40</v>
      </c>
      <c r="AF226" s="21">
        <v>20</v>
      </c>
      <c r="AG226" s="21">
        <v>20</v>
      </c>
      <c r="AH226" s="21" t="s">
        <v>2845</v>
      </c>
      <c r="AI226" s="21" t="s">
        <v>2845</v>
      </c>
      <c r="AJ226" s="21">
        <v>26.85</v>
      </c>
      <c r="AK226" s="21">
        <v>9.1199999999999992</v>
      </c>
      <c r="AL226" s="21">
        <v>29.5</v>
      </c>
      <c r="AM226" s="21">
        <v>7.08</v>
      </c>
      <c r="AN226" s="21" t="s">
        <v>2947</v>
      </c>
      <c r="AO226" s="21" t="s">
        <v>1638</v>
      </c>
      <c r="AP226" s="21" t="s">
        <v>3609</v>
      </c>
      <c r="AQ226" s="21" t="s">
        <v>3039</v>
      </c>
      <c r="AR226" s="21" t="s">
        <v>1646</v>
      </c>
      <c r="AS226" s="21" t="s">
        <v>3575</v>
      </c>
      <c r="AT226" s="21" t="s">
        <v>1646</v>
      </c>
      <c r="AU226" s="21" t="s">
        <v>3577</v>
      </c>
      <c r="AV226" s="21" t="s">
        <v>2848</v>
      </c>
      <c r="AW226" s="21">
        <v>39</v>
      </c>
      <c r="AX226" s="21">
        <v>39</v>
      </c>
      <c r="AY226" s="21" t="s">
        <v>3610</v>
      </c>
      <c r="AZ226" s="21">
        <v>0.25</v>
      </c>
      <c r="BA226" s="21">
        <v>0.2</v>
      </c>
      <c r="BB226" s="21"/>
      <c r="BC226" s="21" t="s">
        <v>3614</v>
      </c>
      <c r="BD226" s="21">
        <v>0.41</v>
      </c>
      <c r="BE226" s="21">
        <v>0.2</v>
      </c>
      <c r="BF226" s="21"/>
      <c r="BG226" s="56" t="s">
        <v>3280</v>
      </c>
    </row>
    <row r="227" spans="1:59" s="56" customFormat="1" x14ac:dyDescent="0.2">
      <c r="A227" s="21">
        <v>75</v>
      </c>
      <c r="B227" s="21" t="s">
        <v>537</v>
      </c>
      <c r="C227" s="21" t="s">
        <v>538</v>
      </c>
      <c r="D227" s="21" t="s">
        <v>539</v>
      </c>
      <c r="E227" s="21" t="s">
        <v>373</v>
      </c>
      <c r="F227" s="21" t="s">
        <v>80</v>
      </c>
      <c r="G227" s="21">
        <v>2007</v>
      </c>
      <c r="H227" s="70">
        <v>39233</v>
      </c>
      <c r="I227" s="21" t="s">
        <v>32</v>
      </c>
      <c r="J227" s="21" t="s">
        <v>32</v>
      </c>
      <c r="K227" s="21" t="s">
        <v>540</v>
      </c>
      <c r="L227" s="21">
        <v>1</v>
      </c>
      <c r="M227" s="21" t="s">
        <v>32</v>
      </c>
      <c r="N227" s="21" t="s">
        <v>34</v>
      </c>
      <c r="O227" s="21" t="s">
        <v>34</v>
      </c>
      <c r="P227" s="21" t="s">
        <v>34</v>
      </c>
      <c r="Q227" s="21" t="s">
        <v>34</v>
      </c>
      <c r="R227" s="21" t="s">
        <v>34</v>
      </c>
      <c r="S227" s="21" t="s">
        <v>34</v>
      </c>
      <c r="T227" s="21" t="s">
        <v>34</v>
      </c>
      <c r="U227" s="21" t="s">
        <v>32</v>
      </c>
      <c r="V227" s="21">
        <v>1</v>
      </c>
      <c r="W227" s="21" t="s">
        <v>32</v>
      </c>
      <c r="X227" s="21" t="s">
        <v>32</v>
      </c>
      <c r="Y227" s="21" t="s">
        <v>32</v>
      </c>
      <c r="Z227" s="21" t="s">
        <v>32</v>
      </c>
      <c r="AA227" s="21">
        <v>17534108</v>
      </c>
      <c r="AB227" s="21">
        <v>1</v>
      </c>
      <c r="AC227" s="21"/>
      <c r="AD227" s="21">
        <v>3</v>
      </c>
      <c r="AE227" s="21">
        <f t="shared" ref="AE227:AE229" si="11">AF227+AG227</f>
        <v>40</v>
      </c>
      <c r="AF227" s="21">
        <v>20</v>
      </c>
      <c r="AG227" s="21">
        <v>20</v>
      </c>
      <c r="AH227" s="21" t="s">
        <v>2845</v>
      </c>
      <c r="AI227" s="21" t="s">
        <v>2845</v>
      </c>
      <c r="AJ227" s="21">
        <v>26.85</v>
      </c>
      <c r="AK227" s="21">
        <v>9.1199999999999992</v>
      </c>
      <c r="AL227" s="21">
        <v>29.5</v>
      </c>
      <c r="AM227" s="21">
        <v>7.08</v>
      </c>
      <c r="AN227" s="21" t="s">
        <v>2947</v>
      </c>
      <c r="AO227" s="21" t="s">
        <v>1638</v>
      </c>
      <c r="AP227" s="21" t="s">
        <v>3609</v>
      </c>
      <c r="AQ227" s="21" t="s">
        <v>3039</v>
      </c>
      <c r="AR227" s="21" t="s">
        <v>1646</v>
      </c>
      <c r="AS227" s="21" t="s">
        <v>3575</v>
      </c>
      <c r="AT227" s="21" t="s">
        <v>1646</v>
      </c>
      <c r="AU227" s="21" t="s">
        <v>3581</v>
      </c>
      <c r="AV227" s="21" t="s">
        <v>2848</v>
      </c>
      <c r="AW227" s="21">
        <v>39</v>
      </c>
      <c r="AX227" s="21">
        <v>39</v>
      </c>
      <c r="AY227" s="21" t="s">
        <v>3611</v>
      </c>
      <c r="AZ227" s="21">
        <v>0.5</v>
      </c>
      <c r="BA227" s="21">
        <v>0.21</v>
      </c>
      <c r="BB227" s="21"/>
      <c r="BC227" s="21" t="s">
        <v>3615</v>
      </c>
      <c r="BD227" s="21">
        <v>0.37</v>
      </c>
      <c r="BE227" s="21">
        <v>0.18</v>
      </c>
      <c r="BF227" s="21"/>
    </row>
    <row r="228" spans="1:59" s="56" customFormat="1" x14ac:dyDescent="0.2">
      <c r="A228" s="21">
        <v>75</v>
      </c>
      <c r="B228" s="21" t="s">
        <v>537</v>
      </c>
      <c r="C228" s="21" t="s">
        <v>538</v>
      </c>
      <c r="D228" s="21" t="s">
        <v>539</v>
      </c>
      <c r="E228" s="21" t="s">
        <v>373</v>
      </c>
      <c r="F228" s="21" t="s">
        <v>80</v>
      </c>
      <c r="G228" s="21">
        <v>2007</v>
      </c>
      <c r="H228" s="70">
        <v>39233</v>
      </c>
      <c r="I228" s="21" t="s">
        <v>32</v>
      </c>
      <c r="J228" s="21" t="s">
        <v>32</v>
      </c>
      <c r="K228" s="21" t="s">
        <v>540</v>
      </c>
      <c r="L228" s="21">
        <v>1</v>
      </c>
      <c r="M228" s="21" t="s">
        <v>32</v>
      </c>
      <c r="N228" s="21" t="s">
        <v>34</v>
      </c>
      <c r="O228" s="21" t="s">
        <v>34</v>
      </c>
      <c r="P228" s="21" t="s">
        <v>34</v>
      </c>
      <c r="Q228" s="21" t="s">
        <v>34</v>
      </c>
      <c r="R228" s="21" t="s">
        <v>34</v>
      </c>
      <c r="S228" s="21" t="s">
        <v>34</v>
      </c>
      <c r="T228" s="21" t="s">
        <v>34</v>
      </c>
      <c r="U228" s="21" t="s">
        <v>32</v>
      </c>
      <c r="V228" s="21">
        <v>1</v>
      </c>
      <c r="W228" s="21" t="s">
        <v>32</v>
      </c>
      <c r="X228" s="21" t="s">
        <v>32</v>
      </c>
      <c r="Y228" s="21" t="s">
        <v>32</v>
      </c>
      <c r="Z228" s="21" t="s">
        <v>32</v>
      </c>
      <c r="AA228" s="21">
        <v>17534108</v>
      </c>
      <c r="AB228" s="21">
        <v>1</v>
      </c>
      <c r="AC228" s="21"/>
      <c r="AD228" s="21">
        <v>3</v>
      </c>
      <c r="AE228" s="21">
        <f t="shared" si="11"/>
        <v>40</v>
      </c>
      <c r="AF228" s="21">
        <v>20</v>
      </c>
      <c r="AG228" s="21">
        <v>20</v>
      </c>
      <c r="AH228" s="21" t="s">
        <v>2845</v>
      </c>
      <c r="AI228" s="21" t="s">
        <v>2845</v>
      </c>
      <c r="AJ228" s="21">
        <v>26.85</v>
      </c>
      <c r="AK228" s="21">
        <v>9.1199999999999992</v>
      </c>
      <c r="AL228" s="21">
        <v>29.5</v>
      </c>
      <c r="AM228" s="21">
        <v>7.08</v>
      </c>
      <c r="AN228" s="21" t="s">
        <v>2947</v>
      </c>
      <c r="AO228" s="21" t="s">
        <v>1638</v>
      </c>
      <c r="AP228" s="21" t="s">
        <v>3609</v>
      </c>
      <c r="AQ228" s="21" t="s">
        <v>3039</v>
      </c>
      <c r="AR228" s="21" t="s">
        <v>1646</v>
      </c>
      <c r="AS228" s="21" t="s">
        <v>3575</v>
      </c>
      <c r="AT228" s="21" t="s">
        <v>1646</v>
      </c>
      <c r="AU228" s="21" t="s">
        <v>3579</v>
      </c>
      <c r="AV228" s="21" t="s">
        <v>2848</v>
      </c>
      <c r="AW228" s="21">
        <v>39</v>
      </c>
      <c r="AX228" s="21">
        <v>39</v>
      </c>
      <c r="AY228" s="21" t="s">
        <v>3612</v>
      </c>
      <c r="AZ228" s="21">
        <v>0.02</v>
      </c>
      <c r="BA228" s="21">
        <v>0.06</v>
      </c>
      <c r="BB228" s="21"/>
      <c r="BC228" s="21" t="s">
        <v>3616</v>
      </c>
      <c r="BD228" s="21">
        <v>0.01</v>
      </c>
      <c r="BE228" s="21">
        <v>0.02</v>
      </c>
      <c r="BF228" s="21"/>
    </row>
    <row r="229" spans="1:59" s="56" customFormat="1" x14ac:dyDescent="0.2">
      <c r="A229" s="21">
        <v>75</v>
      </c>
      <c r="B229" s="21" t="s">
        <v>537</v>
      </c>
      <c r="C229" s="21" t="s">
        <v>538</v>
      </c>
      <c r="D229" s="21" t="s">
        <v>539</v>
      </c>
      <c r="E229" s="21" t="s">
        <v>373</v>
      </c>
      <c r="F229" s="21" t="s">
        <v>80</v>
      </c>
      <c r="G229" s="21">
        <v>2007</v>
      </c>
      <c r="H229" s="70">
        <v>39233</v>
      </c>
      <c r="I229" s="21" t="s">
        <v>32</v>
      </c>
      <c r="J229" s="21" t="s">
        <v>32</v>
      </c>
      <c r="K229" s="21" t="s">
        <v>540</v>
      </c>
      <c r="L229" s="21">
        <v>1</v>
      </c>
      <c r="M229" s="21" t="s">
        <v>32</v>
      </c>
      <c r="N229" s="21" t="s">
        <v>34</v>
      </c>
      <c r="O229" s="21" t="s">
        <v>34</v>
      </c>
      <c r="P229" s="21" t="s">
        <v>34</v>
      </c>
      <c r="Q229" s="21" t="s">
        <v>34</v>
      </c>
      <c r="R229" s="21" t="s">
        <v>34</v>
      </c>
      <c r="S229" s="21" t="s">
        <v>34</v>
      </c>
      <c r="T229" s="21" t="s">
        <v>34</v>
      </c>
      <c r="U229" s="21" t="s">
        <v>32</v>
      </c>
      <c r="V229" s="21">
        <v>1</v>
      </c>
      <c r="W229" s="21" t="s">
        <v>32</v>
      </c>
      <c r="X229" s="21" t="s">
        <v>32</v>
      </c>
      <c r="Y229" s="21" t="s">
        <v>32</v>
      </c>
      <c r="Z229" s="21" t="s">
        <v>32</v>
      </c>
      <c r="AA229" s="21">
        <v>17534108</v>
      </c>
      <c r="AB229" s="21">
        <v>1</v>
      </c>
      <c r="AC229" s="21"/>
      <c r="AD229" s="21">
        <v>3</v>
      </c>
      <c r="AE229" s="21">
        <f t="shared" si="11"/>
        <v>40</v>
      </c>
      <c r="AF229" s="21">
        <v>20</v>
      </c>
      <c r="AG229" s="21">
        <v>20</v>
      </c>
      <c r="AH229" s="21" t="s">
        <v>2845</v>
      </c>
      <c r="AI229" s="21" t="s">
        <v>2845</v>
      </c>
      <c r="AJ229" s="21">
        <v>26.85</v>
      </c>
      <c r="AK229" s="21">
        <v>9.1199999999999992</v>
      </c>
      <c r="AL229" s="21">
        <v>29.5</v>
      </c>
      <c r="AM229" s="21">
        <v>7.08</v>
      </c>
      <c r="AN229" s="21" t="s">
        <v>2947</v>
      </c>
      <c r="AO229" s="21" t="s">
        <v>1638</v>
      </c>
      <c r="AP229" s="21" t="s">
        <v>3609</v>
      </c>
      <c r="AQ229" s="21" t="s">
        <v>3039</v>
      </c>
      <c r="AR229" s="21" t="s">
        <v>1646</v>
      </c>
      <c r="AS229" s="21" t="s">
        <v>3575</v>
      </c>
      <c r="AT229" s="21" t="s">
        <v>1646</v>
      </c>
      <c r="AU229" s="21" t="s">
        <v>3583</v>
      </c>
      <c r="AV229" s="21" t="s">
        <v>2848</v>
      </c>
      <c r="AW229" s="21">
        <v>39</v>
      </c>
      <c r="AX229" s="21">
        <v>39</v>
      </c>
      <c r="AY229" s="21" t="s">
        <v>3613</v>
      </c>
      <c r="AZ229" s="21">
        <v>0.05</v>
      </c>
      <c r="BA229" s="21">
        <v>0.08</v>
      </c>
      <c r="BB229" s="21"/>
      <c r="BC229" s="21" t="s">
        <v>3617</v>
      </c>
      <c r="BD229" s="21">
        <v>0.04</v>
      </c>
      <c r="BE229" s="21">
        <v>0.04</v>
      </c>
      <c r="BF229" s="21"/>
    </row>
    <row r="230" spans="1:59" s="65" customFormat="1" x14ac:dyDescent="0.2">
      <c r="A230" s="20">
        <v>76</v>
      </c>
      <c r="B230" s="20" t="s">
        <v>541</v>
      </c>
      <c r="C230" s="20" t="s">
        <v>528</v>
      </c>
      <c r="D230" s="20" t="s">
        <v>542</v>
      </c>
      <c r="E230" s="20" t="s">
        <v>530</v>
      </c>
      <c r="F230" s="20" t="s">
        <v>430</v>
      </c>
      <c r="G230" s="20">
        <v>2008</v>
      </c>
      <c r="H230" s="64">
        <v>39203</v>
      </c>
      <c r="I230" s="20" t="s">
        <v>32</v>
      </c>
      <c r="J230" s="20" t="s">
        <v>32</v>
      </c>
      <c r="K230" s="20" t="s">
        <v>543</v>
      </c>
      <c r="L230" s="20">
        <v>1</v>
      </c>
      <c r="M230" s="20" t="s">
        <v>32</v>
      </c>
      <c r="N230" s="20" t="s">
        <v>34</v>
      </c>
      <c r="O230" s="20" t="s">
        <v>34</v>
      </c>
      <c r="P230" s="20" t="s">
        <v>34</v>
      </c>
      <c r="Q230" s="20" t="s">
        <v>34</v>
      </c>
      <c r="R230" s="20" t="s">
        <v>34</v>
      </c>
      <c r="S230" s="20" t="s">
        <v>318</v>
      </c>
      <c r="T230" s="20" t="s">
        <v>34</v>
      </c>
      <c r="U230" s="20" t="s">
        <v>32</v>
      </c>
      <c r="V230" s="20">
        <v>1</v>
      </c>
      <c r="W230" s="20" t="s">
        <v>32</v>
      </c>
      <c r="X230" s="20" t="s">
        <v>32</v>
      </c>
      <c r="Y230" s="20" t="s">
        <v>319</v>
      </c>
      <c r="Z230" s="20" t="s">
        <v>32</v>
      </c>
      <c r="AA230" s="20">
        <v>17467228</v>
      </c>
      <c r="AB230" s="20">
        <v>0</v>
      </c>
      <c r="AC230" s="69" t="s">
        <v>3283</v>
      </c>
      <c r="AD230" s="20"/>
      <c r="AE230" s="20">
        <f t="shared" si="9"/>
        <v>33</v>
      </c>
      <c r="AF230" s="20">
        <v>17</v>
      </c>
      <c r="AG230" s="20">
        <v>16</v>
      </c>
      <c r="AH230" s="20" t="s">
        <v>2845</v>
      </c>
      <c r="AI230" s="20" t="s">
        <v>2845</v>
      </c>
      <c r="AJ230" s="20">
        <v>35.700000000000003</v>
      </c>
      <c r="AK230" s="20">
        <v>10.4</v>
      </c>
      <c r="AL230" s="20">
        <v>29.4</v>
      </c>
      <c r="AM230" s="20">
        <v>10.9</v>
      </c>
      <c r="AN230" s="20"/>
      <c r="AO230" s="20"/>
      <c r="AP230" s="20" t="s">
        <v>3281</v>
      </c>
      <c r="AQ230" s="20" t="s">
        <v>3282</v>
      </c>
      <c r="AR230" s="20"/>
      <c r="AS230" s="20"/>
      <c r="AT230" s="20"/>
      <c r="AU230" s="20"/>
      <c r="AV230" s="20"/>
      <c r="AW230" s="20"/>
      <c r="AX230" s="20"/>
      <c r="AY230" s="20"/>
      <c r="AZ230" s="20"/>
      <c r="BA230" s="20"/>
      <c r="BB230" s="20"/>
      <c r="BC230" s="20"/>
      <c r="BD230" s="20"/>
      <c r="BE230" s="20"/>
      <c r="BF230" s="20"/>
      <c r="BG230" s="65" t="s">
        <v>3283</v>
      </c>
    </row>
    <row r="231" spans="1:59" s="56" customFormat="1" x14ac:dyDescent="0.2">
      <c r="A231" s="21">
        <v>77</v>
      </c>
      <c r="B231" s="21" t="s">
        <v>544</v>
      </c>
      <c r="C231" s="21" t="s">
        <v>545</v>
      </c>
      <c r="D231" s="21" t="s">
        <v>546</v>
      </c>
      <c r="E231" s="21" t="s">
        <v>174</v>
      </c>
      <c r="F231" s="21" t="s">
        <v>80</v>
      </c>
      <c r="G231" s="21">
        <v>2007</v>
      </c>
      <c r="H231" s="70">
        <v>39197</v>
      </c>
      <c r="I231" s="21" t="s">
        <v>32</v>
      </c>
      <c r="J231" s="21" t="s">
        <v>32</v>
      </c>
      <c r="K231" s="21" t="s">
        <v>547</v>
      </c>
      <c r="L231" s="21">
        <v>1</v>
      </c>
      <c r="M231" s="21" t="s">
        <v>548</v>
      </c>
      <c r="N231" s="21" t="s">
        <v>34</v>
      </c>
      <c r="O231" s="21" t="s">
        <v>34</v>
      </c>
      <c r="P231" s="21" t="s">
        <v>34</v>
      </c>
      <c r="Q231" s="21" t="s">
        <v>34</v>
      </c>
      <c r="R231" s="21" t="s">
        <v>34</v>
      </c>
      <c r="S231" s="21" t="s">
        <v>318</v>
      </c>
      <c r="T231" s="21" t="s">
        <v>34</v>
      </c>
      <c r="U231" s="21" t="s">
        <v>32</v>
      </c>
      <c r="V231" s="21">
        <v>1</v>
      </c>
      <c r="W231" s="21" t="s">
        <v>32</v>
      </c>
      <c r="X231" s="21" t="s">
        <v>32</v>
      </c>
      <c r="Y231" s="21" t="s">
        <v>319</v>
      </c>
      <c r="Z231" s="21" t="s">
        <v>32</v>
      </c>
      <c r="AA231" s="21">
        <v>17454669</v>
      </c>
      <c r="AB231" s="21">
        <v>1</v>
      </c>
      <c r="AC231" s="21"/>
      <c r="AD231" s="21">
        <v>3</v>
      </c>
      <c r="AE231" s="21">
        <f t="shared" si="9"/>
        <v>42</v>
      </c>
      <c r="AF231" s="21">
        <v>14</v>
      </c>
      <c r="AG231" s="21">
        <v>28</v>
      </c>
      <c r="AH231" s="21" t="s">
        <v>2845</v>
      </c>
      <c r="AI231" s="21" t="s">
        <v>2845</v>
      </c>
      <c r="AJ231" s="21">
        <v>33.79</v>
      </c>
      <c r="AK231" s="21">
        <v>13.4</v>
      </c>
      <c r="AL231" s="21">
        <v>32.64</v>
      </c>
      <c r="AM231" s="21">
        <v>9.52</v>
      </c>
      <c r="AN231" s="21" t="s">
        <v>3148</v>
      </c>
      <c r="AO231" s="21" t="s">
        <v>1770</v>
      </c>
      <c r="AP231" s="21" t="s">
        <v>3284</v>
      </c>
      <c r="AQ231" s="21" t="s">
        <v>3154</v>
      </c>
      <c r="AR231" s="21" t="s">
        <v>3285</v>
      </c>
      <c r="AS231" s="21" t="s">
        <v>3143</v>
      </c>
      <c r="AT231" s="21" t="s">
        <v>1646</v>
      </c>
      <c r="AU231" s="21" t="s">
        <v>3632</v>
      </c>
      <c r="AV231" s="21" t="s">
        <v>2907</v>
      </c>
      <c r="AW231" s="21">
        <v>41</v>
      </c>
      <c r="AX231" s="21">
        <v>41</v>
      </c>
      <c r="AY231" s="21" t="s">
        <v>3630</v>
      </c>
      <c r="AZ231" s="21">
        <v>2.57</v>
      </c>
      <c r="BA231" s="21">
        <v>1.65</v>
      </c>
      <c r="BB231" s="21"/>
      <c r="BC231" s="21" t="s">
        <v>3633</v>
      </c>
      <c r="BD231" s="21">
        <v>1.5</v>
      </c>
      <c r="BE231" s="21">
        <v>1.48</v>
      </c>
      <c r="BF231" s="21"/>
    </row>
    <row r="232" spans="1:59" s="56" customFormat="1" x14ac:dyDescent="0.2">
      <c r="A232" s="21">
        <v>77</v>
      </c>
      <c r="B232" s="21" t="s">
        <v>544</v>
      </c>
      <c r="C232" s="21" t="s">
        <v>545</v>
      </c>
      <c r="D232" s="21" t="s">
        <v>546</v>
      </c>
      <c r="E232" s="21" t="s">
        <v>174</v>
      </c>
      <c r="F232" s="21" t="s">
        <v>80</v>
      </c>
      <c r="G232" s="21">
        <v>2007</v>
      </c>
      <c r="H232" s="70">
        <v>39197</v>
      </c>
      <c r="I232" s="21" t="s">
        <v>32</v>
      </c>
      <c r="J232" s="21" t="s">
        <v>32</v>
      </c>
      <c r="K232" s="21" t="s">
        <v>547</v>
      </c>
      <c r="L232" s="21">
        <v>1</v>
      </c>
      <c r="M232" s="21" t="s">
        <v>548</v>
      </c>
      <c r="N232" s="21" t="s">
        <v>34</v>
      </c>
      <c r="O232" s="21" t="s">
        <v>34</v>
      </c>
      <c r="P232" s="21" t="s">
        <v>34</v>
      </c>
      <c r="Q232" s="21" t="s">
        <v>34</v>
      </c>
      <c r="R232" s="21" t="s">
        <v>34</v>
      </c>
      <c r="S232" s="21" t="s">
        <v>318</v>
      </c>
      <c r="T232" s="21" t="s">
        <v>34</v>
      </c>
      <c r="U232" s="21" t="s">
        <v>32</v>
      </c>
      <c r="V232" s="21">
        <v>1</v>
      </c>
      <c r="W232" s="21" t="s">
        <v>32</v>
      </c>
      <c r="X232" s="21" t="s">
        <v>32</v>
      </c>
      <c r="Y232" s="21" t="s">
        <v>319</v>
      </c>
      <c r="Z232" s="21" t="s">
        <v>32</v>
      </c>
      <c r="AA232" s="21">
        <v>17454669</v>
      </c>
      <c r="AB232" s="21">
        <v>1</v>
      </c>
      <c r="AC232" s="21"/>
      <c r="AD232" s="21">
        <v>3</v>
      </c>
      <c r="AE232" s="21">
        <f t="shared" ref="AE232" si="12">AF232+AG232</f>
        <v>42</v>
      </c>
      <c r="AF232" s="21">
        <v>14</v>
      </c>
      <c r="AG232" s="21">
        <v>28</v>
      </c>
      <c r="AH232" s="21" t="s">
        <v>2845</v>
      </c>
      <c r="AI232" s="21" t="s">
        <v>2845</v>
      </c>
      <c r="AJ232" s="21">
        <v>33.79</v>
      </c>
      <c r="AK232" s="21">
        <v>13.4</v>
      </c>
      <c r="AL232" s="21">
        <v>32.64</v>
      </c>
      <c r="AM232" s="21">
        <v>9.52</v>
      </c>
      <c r="AN232" s="21" t="s">
        <v>3148</v>
      </c>
      <c r="AO232" s="21" t="s">
        <v>1770</v>
      </c>
      <c r="AP232" s="21" t="s">
        <v>3284</v>
      </c>
      <c r="AQ232" s="21" t="s">
        <v>3154</v>
      </c>
      <c r="AR232" s="21" t="s">
        <v>3285</v>
      </c>
      <c r="AS232" s="21" t="s">
        <v>3143</v>
      </c>
      <c r="AT232" s="21" t="s">
        <v>1646</v>
      </c>
      <c r="AU232" s="21" t="s">
        <v>3632</v>
      </c>
      <c r="AV232" s="21" t="s">
        <v>2907</v>
      </c>
      <c r="AW232" s="21">
        <v>41</v>
      </c>
      <c r="AX232" s="21">
        <v>41</v>
      </c>
      <c r="AY232" s="21" t="s">
        <v>3631</v>
      </c>
      <c r="AZ232" s="21">
        <v>2.5</v>
      </c>
      <c r="BA232" s="21">
        <v>1.51</v>
      </c>
      <c r="BB232" s="21"/>
      <c r="BC232" s="21" t="s">
        <v>3634</v>
      </c>
      <c r="BD232" s="21">
        <v>2</v>
      </c>
      <c r="BE232" s="21">
        <v>1.61</v>
      </c>
      <c r="BF232" s="21"/>
    </row>
    <row r="233" spans="1:59" x14ac:dyDescent="0.2">
      <c r="A233" s="7">
        <v>78</v>
      </c>
      <c r="B233" s="7" t="s">
        <v>549</v>
      </c>
      <c r="C233" s="7" t="s">
        <v>550</v>
      </c>
      <c r="D233" s="7" t="s">
        <v>551</v>
      </c>
      <c r="E233" s="7" t="s">
        <v>552</v>
      </c>
      <c r="F233" s="7" t="s">
        <v>39</v>
      </c>
      <c r="G233" s="7">
        <v>2007</v>
      </c>
      <c r="H233" s="8">
        <v>39192</v>
      </c>
      <c r="I233" s="7" t="s">
        <v>32</v>
      </c>
      <c r="J233" s="7" t="s">
        <v>32</v>
      </c>
      <c r="K233" s="7" t="s">
        <v>553</v>
      </c>
      <c r="L233" s="7">
        <v>1</v>
      </c>
      <c r="M233" s="7" t="s">
        <v>32</v>
      </c>
      <c r="N233" s="7" t="s">
        <v>34</v>
      </c>
      <c r="O233" s="7" t="s">
        <v>34</v>
      </c>
      <c r="P233" s="7" t="s">
        <v>34</v>
      </c>
      <c r="Q233" s="7" t="s">
        <v>34</v>
      </c>
      <c r="R233" s="7" t="s">
        <v>34</v>
      </c>
      <c r="S233" s="7" t="s">
        <v>34</v>
      </c>
      <c r="T233" s="7" t="s">
        <v>34</v>
      </c>
      <c r="U233" s="7" t="s">
        <v>32</v>
      </c>
      <c r="V233" s="7">
        <v>1</v>
      </c>
      <c r="W233" s="7" t="s">
        <v>32</v>
      </c>
      <c r="X233" s="7" t="s">
        <v>32</v>
      </c>
      <c r="Y233" s="7" t="s">
        <v>32</v>
      </c>
      <c r="Z233" s="7" t="s">
        <v>32</v>
      </c>
      <c r="AA233" s="7">
        <v>17442266</v>
      </c>
      <c r="AB233" s="7">
        <v>1</v>
      </c>
      <c r="AC233" s="7"/>
      <c r="AD233" s="7">
        <v>3</v>
      </c>
      <c r="AE233" s="7">
        <f t="shared" si="9"/>
        <v>57</v>
      </c>
      <c r="AF233" s="7">
        <v>36</v>
      </c>
      <c r="AG233" s="7">
        <v>21</v>
      </c>
      <c r="AH233" s="7" t="s">
        <v>2845</v>
      </c>
      <c r="AI233" s="7" t="s">
        <v>2845</v>
      </c>
      <c r="AJ233" s="7">
        <v>41</v>
      </c>
      <c r="AK233" s="7">
        <v>11.1</v>
      </c>
      <c r="AL233" s="7">
        <v>42.5</v>
      </c>
      <c r="AM233" s="7">
        <v>13</v>
      </c>
      <c r="AN233" s="7" t="s">
        <v>3224</v>
      </c>
      <c r="AO233" s="7" t="s">
        <v>1770</v>
      </c>
      <c r="AP233" s="7" t="s">
        <v>3287</v>
      </c>
      <c r="AQ233" s="7" t="s">
        <v>3286</v>
      </c>
      <c r="AR233" s="7" t="s">
        <v>1646</v>
      </c>
      <c r="AS233" s="7" t="s">
        <v>1639</v>
      </c>
      <c r="AT233" s="7" t="s">
        <v>1646</v>
      </c>
      <c r="AU233" s="7" t="s">
        <v>2898</v>
      </c>
      <c r="AV233" s="7" t="s">
        <v>2907</v>
      </c>
      <c r="AW233" s="7">
        <v>42</v>
      </c>
      <c r="AX233" s="7">
        <v>42</v>
      </c>
      <c r="AY233" s="7" t="s">
        <v>3045</v>
      </c>
      <c r="AZ233" s="7">
        <v>0.30531000000000003</v>
      </c>
      <c r="BA233" s="7">
        <f>0.341607-AZ233</f>
        <v>3.6296999999999968E-2</v>
      </c>
      <c r="BB233" s="7"/>
      <c r="BC233" s="7" t="s">
        <v>3057</v>
      </c>
      <c r="BD233" s="7">
        <v>0.24723300000000001</v>
      </c>
      <c r="BE233" s="7">
        <f>0.29297-BD233</f>
        <v>4.5737E-2</v>
      </c>
      <c r="BF233" s="7"/>
    </row>
    <row r="234" spans="1:59" x14ac:dyDescent="0.2">
      <c r="A234" s="7">
        <v>78</v>
      </c>
      <c r="B234" s="7" t="s">
        <v>549</v>
      </c>
      <c r="C234" s="7" t="s">
        <v>550</v>
      </c>
      <c r="D234" s="7" t="s">
        <v>551</v>
      </c>
      <c r="E234" s="7" t="s">
        <v>552</v>
      </c>
      <c r="F234" s="7" t="s">
        <v>39</v>
      </c>
      <c r="G234" s="7">
        <v>2007</v>
      </c>
      <c r="H234" s="8">
        <v>39192</v>
      </c>
      <c r="I234" s="7" t="s">
        <v>32</v>
      </c>
      <c r="J234" s="7" t="s">
        <v>32</v>
      </c>
      <c r="K234" s="7" t="s">
        <v>553</v>
      </c>
      <c r="L234" s="7">
        <v>1</v>
      </c>
      <c r="M234" s="7" t="s">
        <v>32</v>
      </c>
      <c r="N234" s="7" t="s">
        <v>34</v>
      </c>
      <c r="O234" s="7" t="s">
        <v>34</v>
      </c>
      <c r="P234" s="7" t="s">
        <v>34</v>
      </c>
      <c r="Q234" s="7" t="s">
        <v>34</v>
      </c>
      <c r="R234" s="7" t="s">
        <v>34</v>
      </c>
      <c r="S234" s="7" t="s">
        <v>34</v>
      </c>
      <c r="T234" s="7" t="s">
        <v>34</v>
      </c>
      <c r="U234" s="7" t="s">
        <v>32</v>
      </c>
      <c r="V234" s="7">
        <v>1</v>
      </c>
      <c r="W234" s="7" t="s">
        <v>32</v>
      </c>
      <c r="X234" s="7" t="s">
        <v>32</v>
      </c>
      <c r="Y234" s="7" t="s">
        <v>32</v>
      </c>
      <c r="Z234" s="7" t="s">
        <v>32</v>
      </c>
      <c r="AA234" s="7">
        <v>17442266</v>
      </c>
      <c r="AB234" s="7">
        <v>1</v>
      </c>
      <c r="AC234" s="7"/>
      <c r="AD234" s="7">
        <v>3</v>
      </c>
      <c r="AE234" s="7">
        <f t="shared" ref="AE234:AE240" si="13">AF234+AG234</f>
        <v>57</v>
      </c>
      <c r="AF234" s="7">
        <v>36</v>
      </c>
      <c r="AG234" s="7">
        <v>21</v>
      </c>
      <c r="AH234" s="7" t="s">
        <v>2845</v>
      </c>
      <c r="AI234" s="7" t="s">
        <v>2845</v>
      </c>
      <c r="AJ234" s="7">
        <v>41</v>
      </c>
      <c r="AK234" s="7">
        <v>11.1</v>
      </c>
      <c r="AL234" s="7">
        <v>42.5</v>
      </c>
      <c r="AM234" s="7">
        <v>13</v>
      </c>
      <c r="AN234" s="7" t="s">
        <v>3224</v>
      </c>
      <c r="AO234" s="7" t="s">
        <v>1770</v>
      </c>
      <c r="AP234" s="7" t="s">
        <v>3287</v>
      </c>
      <c r="AQ234" s="7" t="s">
        <v>3286</v>
      </c>
      <c r="AR234" s="7" t="s">
        <v>1646</v>
      </c>
      <c r="AS234" s="7" t="s">
        <v>1639</v>
      </c>
      <c r="AT234" s="7" t="s">
        <v>1646</v>
      </c>
      <c r="AU234" s="21" t="s">
        <v>2898</v>
      </c>
      <c r="AV234" s="7" t="s">
        <v>2907</v>
      </c>
      <c r="AW234" s="7">
        <v>42</v>
      </c>
      <c r="AX234" s="7">
        <v>42</v>
      </c>
      <c r="AY234" s="7" t="s">
        <v>3047</v>
      </c>
      <c r="AZ234" s="7">
        <v>0.25656499999999999</v>
      </c>
      <c r="BA234" s="7">
        <f>0.295767-AZ234</f>
        <v>3.9202000000000015E-2</v>
      </c>
      <c r="BB234" s="7"/>
      <c r="BC234" s="7" t="s">
        <v>3059</v>
      </c>
      <c r="BD234" s="7">
        <v>0.21010499999999999</v>
      </c>
      <c r="BE234" s="7">
        <f>0.248582-BD234</f>
        <v>3.8477000000000011E-2</v>
      </c>
      <c r="BF234" s="7"/>
    </row>
    <row r="235" spans="1:59" x14ac:dyDescent="0.2">
      <c r="A235" s="7">
        <v>78</v>
      </c>
      <c r="B235" s="7" t="s">
        <v>549</v>
      </c>
      <c r="C235" s="7" t="s">
        <v>550</v>
      </c>
      <c r="D235" s="7" t="s">
        <v>551</v>
      </c>
      <c r="E235" s="7" t="s">
        <v>552</v>
      </c>
      <c r="F235" s="7" t="s">
        <v>39</v>
      </c>
      <c r="G235" s="7">
        <v>2007</v>
      </c>
      <c r="H235" s="8">
        <v>39192</v>
      </c>
      <c r="I235" s="7" t="s">
        <v>32</v>
      </c>
      <c r="J235" s="7" t="s">
        <v>32</v>
      </c>
      <c r="K235" s="7" t="s">
        <v>553</v>
      </c>
      <c r="L235" s="7">
        <v>1</v>
      </c>
      <c r="M235" s="7" t="s">
        <v>32</v>
      </c>
      <c r="N235" s="7" t="s">
        <v>34</v>
      </c>
      <c r="O235" s="7" t="s">
        <v>34</v>
      </c>
      <c r="P235" s="7" t="s">
        <v>34</v>
      </c>
      <c r="Q235" s="7" t="s">
        <v>34</v>
      </c>
      <c r="R235" s="7" t="s">
        <v>34</v>
      </c>
      <c r="S235" s="7" t="s">
        <v>34</v>
      </c>
      <c r="T235" s="7" t="s">
        <v>34</v>
      </c>
      <c r="U235" s="7" t="s">
        <v>32</v>
      </c>
      <c r="V235" s="7">
        <v>1</v>
      </c>
      <c r="W235" s="7" t="s">
        <v>32</v>
      </c>
      <c r="X235" s="7" t="s">
        <v>32</v>
      </c>
      <c r="Y235" s="7" t="s">
        <v>32</v>
      </c>
      <c r="Z235" s="7" t="s">
        <v>32</v>
      </c>
      <c r="AA235" s="7">
        <v>17442266</v>
      </c>
      <c r="AB235" s="7">
        <v>1</v>
      </c>
      <c r="AC235" s="7"/>
      <c r="AD235" s="7">
        <v>3</v>
      </c>
      <c r="AE235" s="7">
        <f t="shared" si="13"/>
        <v>57</v>
      </c>
      <c r="AF235" s="7">
        <v>36</v>
      </c>
      <c r="AG235" s="7">
        <v>21</v>
      </c>
      <c r="AH235" s="7" t="s">
        <v>2845</v>
      </c>
      <c r="AI235" s="7" t="s">
        <v>2845</v>
      </c>
      <c r="AJ235" s="7">
        <v>41</v>
      </c>
      <c r="AK235" s="7">
        <v>11.1</v>
      </c>
      <c r="AL235" s="7">
        <v>42.5</v>
      </c>
      <c r="AM235" s="7">
        <v>13</v>
      </c>
      <c r="AN235" s="7" t="s">
        <v>3224</v>
      </c>
      <c r="AO235" s="7" t="s">
        <v>1770</v>
      </c>
      <c r="AP235" s="7" t="s">
        <v>3287</v>
      </c>
      <c r="AQ235" s="7" t="s">
        <v>3286</v>
      </c>
      <c r="AR235" s="7" t="s">
        <v>1646</v>
      </c>
      <c r="AS235" s="7" t="s">
        <v>1639</v>
      </c>
      <c r="AT235" s="7" t="s">
        <v>1646</v>
      </c>
      <c r="AU235" s="21" t="s">
        <v>3041</v>
      </c>
      <c r="AV235" s="7" t="s">
        <v>2907</v>
      </c>
      <c r="AW235" s="7">
        <v>42</v>
      </c>
      <c r="AX235" s="7">
        <v>42</v>
      </c>
      <c r="AY235" s="7" t="s">
        <v>3049</v>
      </c>
      <c r="AZ235" s="7">
        <v>0.16789299999999999</v>
      </c>
      <c r="BA235" s="7">
        <f>0.199109-AZ235</f>
        <v>3.1216000000000022E-2</v>
      </c>
      <c r="BB235" s="7"/>
      <c r="BC235" s="7" t="s">
        <v>3061</v>
      </c>
      <c r="BD235" s="7">
        <v>0.123611</v>
      </c>
      <c r="BE235" s="7">
        <f>0.15991-BD235</f>
        <v>3.6298999999999998E-2</v>
      </c>
      <c r="BF235" s="7"/>
    </row>
    <row r="236" spans="1:59" x14ac:dyDescent="0.2">
      <c r="A236" s="7">
        <v>78</v>
      </c>
      <c r="B236" s="7" t="s">
        <v>549</v>
      </c>
      <c r="C236" s="7" t="s">
        <v>550</v>
      </c>
      <c r="D236" s="7" t="s">
        <v>551</v>
      </c>
      <c r="E236" s="7" t="s">
        <v>552</v>
      </c>
      <c r="F236" s="7" t="s">
        <v>39</v>
      </c>
      <c r="G236" s="7">
        <v>2007</v>
      </c>
      <c r="H236" s="8">
        <v>39192</v>
      </c>
      <c r="I236" s="7" t="s">
        <v>32</v>
      </c>
      <c r="J236" s="7" t="s">
        <v>32</v>
      </c>
      <c r="K236" s="7" t="s">
        <v>553</v>
      </c>
      <c r="L236" s="7">
        <v>1</v>
      </c>
      <c r="M236" s="7" t="s">
        <v>32</v>
      </c>
      <c r="N236" s="7" t="s">
        <v>34</v>
      </c>
      <c r="O236" s="7" t="s">
        <v>34</v>
      </c>
      <c r="P236" s="7" t="s">
        <v>34</v>
      </c>
      <c r="Q236" s="7" t="s">
        <v>34</v>
      </c>
      <c r="R236" s="7" t="s">
        <v>34</v>
      </c>
      <c r="S236" s="7" t="s">
        <v>34</v>
      </c>
      <c r="T236" s="7" t="s">
        <v>34</v>
      </c>
      <c r="U236" s="7" t="s">
        <v>32</v>
      </c>
      <c r="V236" s="7">
        <v>1</v>
      </c>
      <c r="W236" s="7" t="s">
        <v>32</v>
      </c>
      <c r="X236" s="7" t="s">
        <v>32</v>
      </c>
      <c r="Y236" s="7" t="s">
        <v>32</v>
      </c>
      <c r="Z236" s="7" t="s">
        <v>32</v>
      </c>
      <c r="AA236" s="7">
        <v>17442266</v>
      </c>
      <c r="AB236" s="7">
        <v>1</v>
      </c>
      <c r="AC236" s="7"/>
      <c r="AD236" s="7">
        <v>3</v>
      </c>
      <c r="AE236" s="7">
        <f t="shared" si="13"/>
        <v>57</v>
      </c>
      <c r="AF236" s="7">
        <v>36</v>
      </c>
      <c r="AG236" s="7">
        <v>21</v>
      </c>
      <c r="AH236" s="7" t="s">
        <v>2845</v>
      </c>
      <c r="AI236" s="7" t="s">
        <v>2845</v>
      </c>
      <c r="AJ236" s="7">
        <v>41</v>
      </c>
      <c r="AK236" s="7">
        <v>11.1</v>
      </c>
      <c r="AL236" s="7">
        <v>42.5</v>
      </c>
      <c r="AM236" s="7">
        <v>13</v>
      </c>
      <c r="AN236" s="7" t="s">
        <v>3224</v>
      </c>
      <c r="AO236" s="7" t="s">
        <v>1770</v>
      </c>
      <c r="AP236" s="7" t="s">
        <v>3287</v>
      </c>
      <c r="AQ236" s="7" t="s">
        <v>3286</v>
      </c>
      <c r="AR236" s="7" t="s">
        <v>1646</v>
      </c>
      <c r="AS236" s="7" t="s">
        <v>1639</v>
      </c>
      <c r="AT236" s="7" t="s">
        <v>1646</v>
      </c>
      <c r="AU236" s="21" t="s">
        <v>3041</v>
      </c>
      <c r="AV236" s="7" t="s">
        <v>2907</v>
      </c>
      <c r="AW236" s="7">
        <v>42</v>
      </c>
      <c r="AX236" s="7">
        <v>42</v>
      </c>
      <c r="AY236" s="7" t="s">
        <v>3051</v>
      </c>
      <c r="AZ236" s="7">
        <f>0.201181</f>
        <v>0.201181</v>
      </c>
      <c r="BA236" s="7">
        <f>0.23385-AZ236</f>
        <v>3.2669000000000004E-2</v>
      </c>
      <c r="BB236" s="7"/>
      <c r="BC236" s="7" t="s">
        <v>3063</v>
      </c>
      <c r="BD236" s="7">
        <v>0.13076499999999999</v>
      </c>
      <c r="BE236" s="7">
        <f>0.171419-BD236</f>
        <v>4.0653999999999996E-2</v>
      </c>
      <c r="BF236" s="7"/>
    </row>
    <row r="237" spans="1:59" x14ac:dyDescent="0.2">
      <c r="A237" s="7">
        <v>78</v>
      </c>
      <c r="B237" s="7" t="s">
        <v>549</v>
      </c>
      <c r="C237" s="7" t="s">
        <v>550</v>
      </c>
      <c r="D237" s="7" t="s">
        <v>551</v>
      </c>
      <c r="E237" s="7" t="s">
        <v>552</v>
      </c>
      <c r="F237" s="7" t="s">
        <v>39</v>
      </c>
      <c r="G237" s="7">
        <v>2007</v>
      </c>
      <c r="H237" s="8">
        <v>39192</v>
      </c>
      <c r="I237" s="7" t="s">
        <v>32</v>
      </c>
      <c r="J237" s="7" t="s">
        <v>32</v>
      </c>
      <c r="K237" s="7" t="s">
        <v>553</v>
      </c>
      <c r="L237" s="7">
        <v>1</v>
      </c>
      <c r="M237" s="7" t="s">
        <v>32</v>
      </c>
      <c r="N237" s="7" t="s">
        <v>34</v>
      </c>
      <c r="O237" s="7" t="s">
        <v>34</v>
      </c>
      <c r="P237" s="7" t="s">
        <v>34</v>
      </c>
      <c r="Q237" s="7" t="s">
        <v>34</v>
      </c>
      <c r="R237" s="7" t="s">
        <v>34</v>
      </c>
      <c r="S237" s="7" t="s">
        <v>34</v>
      </c>
      <c r="T237" s="7" t="s">
        <v>34</v>
      </c>
      <c r="U237" s="7" t="s">
        <v>32</v>
      </c>
      <c r="V237" s="7">
        <v>1</v>
      </c>
      <c r="W237" s="7" t="s">
        <v>32</v>
      </c>
      <c r="X237" s="7" t="s">
        <v>32</v>
      </c>
      <c r="Y237" s="7" t="s">
        <v>32</v>
      </c>
      <c r="Z237" s="7" t="s">
        <v>32</v>
      </c>
      <c r="AA237" s="7">
        <v>17442266</v>
      </c>
      <c r="AB237" s="7">
        <v>1</v>
      </c>
      <c r="AC237" s="7"/>
      <c r="AD237" s="7">
        <v>3</v>
      </c>
      <c r="AE237" s="7">
        <f t="shared" si="13"/>
        <v>57</v>
      </c>
      <c r="AF237" s="7">
        <v>36</v>
      </c>
      <c r="AG237" s="7">
        <v>21</v>
      </c>
      <c r="AH237" s="7" t="s">
        <v>2845</v>
      </c>
      <c r="AI237" s="7" t="s">
        <v>2845</v>
      </c>
      <c r="AJ237" s="7">
        <v>41</v>
      </c>
      <c r="AK237" s="7">
        <v>11.1</v>
      </c>
      <c r="AL237" s="7">
        <v>42.5</v>
      </c>
      <c r="AM237" s="7">
        <v>13</v>
      </c>
      <c r="AN237" s="7" t="s">
        <v>3224</v>
      </c>
      <c r="AO237" s="7" t="s">
        <v>1770</v>
      </c>
      <c r="AP237" s="7" t="s">
        <v>3287</v>
      </c>
      <c r="AQ237" s="7" t="s">
        <v>3286</v>
      </c>
      <c r="AR237" s="7" t="s">
        <v>1646</v>
      </c>
      <c r="AS237" s="7" t="s">
        <v>1639</v>
      </c>
      <c r="AT237" s="7" t="s">
        <v>1646</v>
      </c>
      <c r="AU237" s="21" t="s">
        <v>2899</v>
      </c>
      <c r="AV237" s="7" t="s">
        <v>2907</v>
      </c>
      <c r="AW237" s="7">
        <v>42</v>
      </c>
      <c r="AX237" s="7">
        <v>42</v>
      </c>
      <c r="AY237" s="7" t="s">
        <v>3046</v>
      </c>
      <c r="AZ237" s="7">
        <v>0.21018200000000001</v>
      </c>
      <c r="BA237" s="7">
        <f>0.240727-AZ237</f>
        <v>3.0544999999999989E-2</v>
      </c>
      <c r="BB237" s="7"/>
      <c r="BC237" s="7" t="s">
        <v>3058</v>
      </c>
      <c r="BD237" s="7">
        <v>0.176727</v>
      </c>
      <c r="BE237" s="7">
        <f>0.204364-BD237</f>
        <v>2.7636999999999995E-2</v>
      </c>
      <c r="BF237" s="7"/>
    </row>
    <row r="238" spans="1:59" x14ac:dyDescent="0.2">
      <c r="A238" s="7">
        <v>78</v>
      </c>
      <c r="B238" s="7" t="s">
        <v>549</v>
      </c>
      <c r="C238" s="7" t="s">
        <v>550</v>
      </c>
      <c r="D238" s="7" t="s">
        <v>551</v>
      </c>
      <c r="E238" s="7" t="s">
        <v>552</v>
      </c>
      <c r="F238" s="7" t="s">
        <v>39</v>
      </c>
      <c r="G238" s="7">
        <v>2007</v>
      </c>
      <c r="H238" s="8">
        <v>39192</v>
      </c>
      <c r="I238" s="7" t="s">
        <v>32</v>
      </c>
      <c r="J238" s="7" t="s">
        <v>32</v>
      </c>
      <c r="K238" s="7" t="s">
        <v>553</v>
      </c>
      <c r="L238" s="7">
        <v>1</v>
      </c>
      <c r="M238" s="7" t="s">
        <v>32</v>
      </c>
      <c r="N238" s="7" t="s">
        <v>34</v>
      </c>
      <c r="O238" s="7" t="s">
        <v>34</v>
      </c>
      <c r="P238" s="7" t="s">
        <v>34</v>
      </c>
      <c r="Q238" s="7" t="s">
        <v>34</v>
      </c>
      <c r="R238" s="7" t="s">
        <v>34</v>
      </c>
      <c r="S238" s="7" t="s">
        <v>34</v>
      </c>
      <c r="T238" s="7" t="s">
        <v>34</v>
      </c>
      <c r="U238" s="7" t="s">
        <v>32</v>
      </c>
      <c r="V238" s="7">
        <v>1</v>
      </c>
      <c r="W238" s="7" t="s">
        <v>32</v>
      </c>
      <c r="X238" s="7" t="s">
        <v>32</v>
      </c>
      <c r="Y238" s="7" t="s">
        <v>32</v>
      </c>
      <c r="Z238" s="7" t="s">
        <v>32</v>
      </c>
      <c r="AA238" s="7">
        <v>17442266</v>
      </c>
      <c r="AB238" s="7">
        <v>1</v>
      </c>
      <c r="AC238" s="7"/>
      <c r="AD238" s="7">
        <v>3</v>
      </c>
      <c r="AE238" s="7">
        <f t="shared" si="13"/>
        <v>57</v>
      </c>
      <c r="AF238" s="7">
        <v>36</v>
      </c>
      <c r="AG238" s="7">
        <v>21</v>
      </c>
      <c r="AH238" s="7" t="s">
        <v>2845</v>
      </c>
      <c r="AI238" s="7" t="s">
        <v>2845</v>
      </c>
      <c r="AJ238" s="7">
        <v>41</v>
      </c>
      <c r="AK238" s="7">
        <v>11.1</v>
      </c>
      <c r="AL238" s="7">
        <v>42.5</v>
      </c>
      <c r="AM238" s="7">
        <v>13</v>
      </c>
      <c r="AN238" s="7" t="s">
        <v>3224</v>
      </c>
      <c r="AO238" s="7" t="s">
        <v>1770</v>
      </c>
      <c r="AP238" s="7" t="s">
        <v>3287</v>
      </c>
      <c r="AQ238" s="7" t="s">
        <v>3286</v>
      </c>
      <c r="AR238" s="7" t="s">
        <v>1646</v>
      </c>
      <c r="AS238" s="7" t="s">
        <v>1639</v>
      </c>
      <c r="AT238" s="7" t="s">
        <v>1646</v>
      </c>
      <c r="AU238" s="21" t="s">
        <v>2899</v>
      </c>
      <c r="AV238" s="7" t="s">
        <v>2907</v>
      </c>
      <c r="AW238" s="7">
        <v>42</v>
      </c>
      <c r="AX238" s="7">
        <v>42</v>
      </c>
      <c r="AY238" s="7" t="s">
        <v>3048</v>
      </c>
      <c r="AZ238" s="7">
        <v>0.10909099999999999</v>
      </c>
      <c r="BA238" s="7">
        <f>0.133091-AZ238</f>
        <v>2.3999999999999994E-2</v>
      </c>
      <c r="BB238" s="7"/>
      <c r="BC238" s="7" t="s">
        <v>3060</v>
      </c>
      <c r="BD238" s="7">
        <v>9.7454499999999999E-2</v>
      </c>
      <c r="BE238" s="7">
        <f>0.125818-BD238</f>
        <v>2.8363500000000014E-2</v>
      </c>
      <c r="BF238" s="7"/>
    </row>
    <row r="239" spans="1:59" x14ac:dyDescent="0.2">
      <c r="A239" s="7">
        <v>78</v>
      </c>
      <c r="B239" s="7" t="s">
        <v>549</v>
      </c>
      <c r="C239" s="7" t="s">
        <v>550</v>
      </c>
      <c r="D239" s="7" t="s">
        <v>551</v>
      </c>
      <c r="E239" s="7" t="s">
        <v>552</v>
      </c>
      <c r="F239" s="7" t="s">
        <v>39</v>
      </c>
      <c r="G239" s="7">
        <v>2007</v>
      </c>
      <c r="H239" s="8">
        <v>39192</v>
      </c>
      <c r="I239" s="7" t="s">
        <v>32</v>
      </c>
      <c r="J239" s="7" t="s">
        <v>32</v>
      </c>
      <c r="K239" s="7" t="s">
        <v>553</v>
      </c>
      <c r="L239" s="7">
        <v>1</v>
      </c>
      <c r="M239" s="7" t="s">
        <v>32</v>
      </c>
      <c r="N239" s="7" t="s">
        <v>34</v>
      </c>
      <c r="O239" s="7" t="s">
        <v>34</v>
      </c>
      <c r="P239" s="7" t="s">
        <v>34</v>
      </c>
      <c r="Q239" s="7" t="s">
        <v>34</v>
      </c>
      <c r="R239" s="7" t="s">
        <v>34</v>
      </c>
      <c r="S239" s="7" t="s">
        <v>34</v>
      </c>
      <c r="T239" s="7" t="s">
        <v>34</v>
      </c>
      <c r="U239" s="7" t="s">
        <v>32</v>
      </c>
      <c r="V239" s="7">
        <v>1</v>
      </c>
      <c r="W239" s="7" t="s">
        <v>32</v>
      </c>
      <c r="X239" s="7" t="s">
        <v>32</v>
      </c>
      <c r="Y239" s="7" t="s">
        <v>32</v>
      </c>
      <c r="Z239" s="7" t="s">
        <v>32</v>
      </c>
      <c r="AA239" s="7">
        <v>17442266</v>
      </c>
      <c r="AB239" s="7">
        <v>1</v>
      </c>
      <c r="AC239" s="7"/>
      <c r="AD239" s="7">
        <v>3</v>
      </c>
      <c r="AE239" s="7">
        <f t="shared" si="13"/>
        <v>57</v>
      </c>
      <c r="AF239" s="7">
        <v>36</v>
      </c>
      <c r="AG239" s="7">
        <v>21</v>
      </c>
      <c r="AH239" s="7" t="s">
        <v>2845</v>
      </c>
      <c r="AI239" s="7" t="s">
        <v>2845</v>
      </c>
      <c r="AJ239" s="7">
        <v>41</v>
      </c>
      <c r="AK239" s="7">
        <v>11.1</v>
      </c>
      <c r="AL239" s="7">
        <v>42.5</v>
      </c>
      <c r="AM239" s="7">
        <v>13</v>
      </c>
      <c r="AN239" s="7" t="s">
        <v>3224</v>
      </c>
      <c r="AO239" s="7" t="s">
        <v>1770</v>
      </c>
      <c r="AP239" s="7" t="s">
        <v>3287</v>
      </c>
      <c r="AQ239" s="7" t="s">
        <v>3286</v>
      </c>
      <c r="AR239" s="7" t="s">
        <v>1646</v>
      </c>
      <c r="AS239" s="7" t="s">
        <v>1639</v>
      </c>
      <c r="AT239" s="7" t="s">
        <v>1646</v>
      </c>
      <c r="AU239" s="21" t="s">
        <v>3042</v>
      </c>
      <c r="AV239" s="7" t="s">
        <v>2907</v>
      </c>
      <c r="AW239" s="7">
        <v>42</v>
      </c>
      <c r="AX239" s="7">
        <v>42</v>
      </c>
      <c r="AY239" s="7" t="s">
        <v>3050</v>
      </c>
      <c r="AZ239" s="7">
        <v>8.7999999999999995E-2</v>
      </c>
      <c r="BA239" s="7">
        <f>0.105455-AZ239</f>
        <v>1.7454999999999998E-2</v>
      </c>
      <c r="BB239" s="7"/>
      <c r="BC239" s="7" t="s">
        <v>3062</v>
      </c>
      <c r="BD239" s="7">
        <v>0.102545</v>
      </c>
      <c r="BE239" s="7">
        <f>0.126545-BD239</f>
        <v>2.3999999999999994E-2</v>
      </c>
      <c r="BF239" s="7"/>
    </row>
    <row r="240" spans="1:59" x14ac:dyDescent="0.2">
      <c r="A240" s="7">
        <v>78</v>
      </c>
      <c r="B240" s="7" t="s">
        <v>549</v>
      </c>
      <c r="C240" s="7" t="s">
        <v>550</v>
      </c>
      <c r="D240" s="7" t="s">
        <v>551</v>
      </c>
      <c r="E240" s="7" t="s">
        <v>552</v>
      </c>
      <c r="F240" s="7" t="s">
        <v>39</v>
      </c>
      <c r="G240" s="7">
        <v>2007</v>
      </c>
      <c r="H240" s="8">
        <v>39192</v>
      </c>
      <c r="I240" s="7" t="s">
        <v>32</v>
      </c>
      <c r="J240" s="7" t="s">
        <v>32</v>
      </c>
      <c r="K240" s="7" t="s">
        <v>553</v>
      </c>
      <c r="L240" s="7">
        <v>1</v>
      </c>
      <c r="M240" s="7" t="s">
        <v>32</v>
      </c>
      <c r="N240" s="7" t="s">
        <v>34</v>
      </c>
      <c r="O240" s="7" t="s">
        <v>34</v>
      </c>
      <c r="P240" s="7" t="s">
        <v>34</v>
      </c>
      <c r="Q240" s="7" t="s">
        <v>34</v>
      </c>
      <c r="R240" s="7" t="s">
        <v>34</v>
      </c>
      <c r="S240" s="7" t="s">
        <v>34</v>
      </c>
      <c r="T240" s="7" t="s">
        <v>34</v>
      </c>
      <c r="U240" s="7" t="s">
        <v>32</v>
      </c>
      <c r="V240" s="7">
        <v>1</v>
      </c>
      <c r="W240" s="7" t="s">
        <v>32</v>
      </c>
      <c r="X240" s="7" t="s">
        <v>32</v>
      </c>
      <c r="Y240" s="7" t="s">
        <v>32</v>
      </c>
      <c r="Z240" s="7" t="s">
        <v>32</v>
      </c>
      <c r="AA240" s="7">
        <v>17442266</v>
      </c>
      <c r="AB240" s="7">
        <v>1</v>
      </c>
      <c r="AC240" s="7"/>
      <c r="AD240" s="7">
        <v>3</v>
      </c>
      <c r="AE240" s="7">
        <f t="shared" si="13"/>
        <v>57</v>
      </c>
      <c r="AF240" s="7">
        <v>36</v>
      </c>
      <c r="AG240" s="7">
        <v>21</v>
      </c>
      <c r="AH240" s="7" t="s">
        <v>2845</v>
      </c>
      <c r="AI240" s="7" t="s">
        <v>2845</v>
      </c>
      <c r="AJ240" s="7">
        <v>41</v>
      </c>
      <c r="AK240" s="7">
        <v>11.1</v>
      </c>
      <c r="AL240" s="7">
        <v>42.5</v>
      </c>
      <c r="AM240" s="7">
        <v>13</v>
      </c>
      <c r="AN240" s="7" t="s">
        <v>3224</v>
      </c>
      <c r="AO240" s="7" t="s">
        <v>1770</v>
      </c>
      <c r="AP240" s="7" t="s">
        <v>3287</v>
      </c>
      <c r="AQ240" s="7" t="s">
        <v>3286</v>
      </c>
      <c r="AR240" s="7" t="s">
        <v>1646</v>
      </c>
      <c r="AS240" s="7" t="s">
        <v>1639</v>
      </c>
      <c r="AT240" s="7" t="s">
        <v>1646</v>
      </c>
      <c r="AU240" s="21" t="s">
        <v>3042</v>
      </c>
      <c r="AV240" s="7" t="s">
        <v>2907</v>
      </c>
      <c r="AW240" s="7">
        <v>42</v>
      </c>
      <c r="AX240" s="7">
        <v>42</v>
      </c>
      <c r="AY240" s="7" t="s">
        <v>3052</v>
      </c>
      <c r="AZ240" s="7">
        <v>0.112</v>
      </c>
      <c r="BA240" s="7">
        <f>0.136-AZ240</f>
        <v>2.4000000000000007E-2</v>
      </c>
      <c r="BB240" s="7"/>
      <c r="BC240" s="7" t="s">
        <v>3064</v>
      </c>
      <c r="BD240" s="7">
        <v>4.6545499999999997E-2</v>
      </c>
      <c r="BE240" s="7">
        <f>0.0734545-BD240</f>
        <v>2.6909000000000009E-2</v>
      </c>
      <c r="BF240" s="7"/>
    </row>
    <row r="241" spans="1:16384" x14ac:dyDescent="0.2">
      <c r="A241" s="7">
        <v>78</v>
      </c>
      <c r="B241" s="7" t="s">
        <v>549</v>
      </c>
      <c r="C241" s="7" t="s">
        <v>550</v>
      </c>
      <c r="D241" s="7" t="s">
        <v>551</v>
      </c>
      <c r="E241" s="7" t="s">
        <v>552</v>
      </c>
      <c r="F241" s="7" t="s">
        <v>39</v>
      </c>
      <c r="G241" s="7">
        <v>2007</v>
      </c>
      <c r="H241" s="8">
        <v>39192</v>
      </c>
      <c r="I241" s="7" t="s">
        <v>32</v>
      </c>
      <c r="J241" s="7" t="s">
        <v>32</v>
      </c>
      <c r="K241" s="7" t="s">
        <v>553</v>
      </c>
      <c r="L241" s="7">
        <v>1</v>
      </c>
      <c r="M241" s="7" t="s">
        <v>32</v>
      </c>
      <c r="N241" s="7" t="s">
        <v>34</v>
      </c>
      <c r="O241" s="7" t="s">
        <v>34</v>
      </c>
      <c r="P241" s="7" t="s">
        <v>34</v>
      </c>
      <c r="Q241" s="7" t="s">
        <v>34</v>
      </c>
      <c r="R241" s="7" t="s">
        <v>34</v>
      </c>
      <c r="S241" s="7" t="s">
        <v>34</v>
      </c>
      <c r="T241" s="7" t="s">
        <v>34</v>
      </c>
      <c r="U241" s="7" t="s">
        <v>32</v>
      </c>
      <c r="V241" s="7">
        <v>1</v>
      </c>
      <c r="W241" s="7" t="s">
        <v>32</v>
      </c>
      <c r="X241" s="7" t="s">
        <v>32</v>
      </c>
      <c r="Y241" s="7" t="s">
        <v>32</v>
      </c>
      <c r="Z241" s="7" t="s">
        <v>32</v>
      </c>
      <c r="AA241" s="7">
        <v>17442266</v>
      </c>
      <c r="AB241" s="7">
        <v>1</v>
      </c>
      <c r="AC241" s="7"/>
      <c r="AD241" s="7">
        <v>3</v>
      </c>
      <c r="AE241" s="7">
        <f>AF241+AG241</f>
        <v>70</v>
      </c>
      <c r="AF241" s="7">
        <v>36</v>
      </c>
      <c r="AG241" s="7">
        <v>34</v>
      </c>
      <c r="AH241" s="7" t="s">
        <v>2845</v>
      </c>
      <c r="AI241" s="7" t="s">
        <v>2845</v>
      </c>
      <c r="AJ241" s="7">
        <v>41</v>
      </c>
      <c r="AK241" s="7">
        <v>11.1</v>
      </c>
      <c r="AL241" s="7">
        <v>42.2</v>
      </c>
      <c r="AM241" s="7">
        <v>8.58</v>
      </c>
      <c r="AN241" s="7" t="s">
        <v>3224</v>
      </c>
      <c r="AO241" s="7" t="s">
        <v>2757</v>
      </c>
      <c r="AP241" s="7" t="s">
        <v>3287</v>
      </c>
      <c r="AQ241" s="7" t="s">
        <v>3286</v>
      </c>
      <c r="AR241" s="7" t="s">
        <v>1646</v>
      </c>
      <c r="AS241" s="7" t="s">
        <v>1639</v>
      </c>
      <c r="AT241" s="7" t="s">
        <v>1646</v>
      </c>
      <c r="AU241" s="21" t="s">
        <v>2898</v>
      </c>
      <c r="AV241" s="7" t="s">
        <v>2848</v>
      </c>
      <c r="AW241" s="7">
        <v>42</v>
      </c>
      <c r="AX241" s="7">
        <v>43</v>
      </c>
      <c r="AY241" s="7" t="s">
        <v>3045</v>
      </c>
      <c r="AZ241" s="7">
        <v>0.30531000000000003</v>
      </c>
      <c r="BA241" s="7">
        <f>0.341607-AZ241</f>
        <v>3.6296999999999968E-2</v>
      </c>
      <c r="BB241" s="7"/>
      <c r="BC241" s="7" t="s">
        <v>3057</v>
      </c>
      <c r="BD241" s="7">
        <v>0.16955600000000001</v>
      </c>
      <c r="BE241" s="7">
        <f>0.205854-BD241</f>
        <v>3.6297999999999997E-2</v>
      </c>
      <c r="BF241" s="7"/>
    </row>
    <row r="242" spans="1:16384" x14ac:dyDescent="0.2">
      <c r="A242" s="7">
        <v>78</v>
      </c>
      <c r="B242" s="7" t="s">
        <v>549</v>
      </c>
      <c r="C242" s="7" t="s">
        <v>550</v>
      </c>
      <c r="D242" s="7" t="s">
        <v>551</v>
      </c>
      <c r="E242" s="7" t="s">
        <v>552</v>
      </c>
      <c r="F242" s="7" t="s">
        <v>39</v>
      </c>
      <c r="G242" s="7">
        <v>2007</v>
      </c>
      <c r="H242" s="8">
        <v>39192</v>
      </c>
      <c r="I242" s="7" t="s">
        <v>32</v>
      </c>
      <c r="J242" s="7" t="s">
        <v>32</v>
      </c>
      <c r="K242" s="7" t="s">
        <v>553</v>
      </c>
      <c r="L242" s="7">
        <v>1</v>
      </c>
      <c r="M242" s="7" t="s">
        <v>32</v>
      </c>
      <c r="N242" s="7" t="s">
        <v>34</v>
      </c>
      <c r="O242" s="7" t="s">
        <v>34</v>
      </c>
      <c r="P242" s="7" t="s">
        <v>34</v>
      </c>
      <c r="Q242" s="7" t="s">
        <v>34</v>
      </c>
      <c r="R242" s="7" t="s">
        <v>34</v>
      </c>
      <c r="S242" s="7" t="s">
        <v>34</v>
      </c>
      <c r="T242" s="7" t="s">
        <v>34</v>
      </c>
      <c r="U242" s="7" t="s">
        <v>32</v>
      </c>
      <c r="V242" s="7">
        <v>1</v>
      </c>
      <c r="W242" s="7" t="s">
        <v>32</v>
      </c>
      <c r="X242" s="7" t="s">
        <v>32</v>
      </c>
      <c r="Y242" s="7" t="s">
        <v>32</v>
      </c>
      <c r="Z242" s="7" t="s">
        <v>32</v>
      </c>
      <c r="AA242" s="7">
        <v>17442266</v>
      </c>
      <c r="AB242" s="7">
        <v>1</v>
      </c>
      <c r="AC242" s="7"/>
      <c r="AD242" s="7">
        <v>3</v>
      </c>
      <c r="AE242" s="7">
        <f t="shared" ref="AE242:AE248" si="14">AF242+AG242</f>
        <v>70</v>
      </c>
      <c r="AF242" s="7">
        <v>36</v>
      </c>
      <c r="AG242" s="7">
        <v>34</v>
      </c>
      <c r="AH242" s="7" t="s">
        <v>2845</v>
      </c>
      <c r="AI242" s="7" t="s">
        <v>2845</v>
      </c>
      <c r="AJ242" s="7">
        <v>41</v>
      </c>
      <c r="AK242" s="7">
        <v>11.1</v>
      </c>
      <c r="AL242" s="7">
        <v>42.2</v>
      </c>
      <c r="AM242" s="7">
        <v>8.58</v>
      </c>
      <c r="AN242" s="7" t="s">
        <v>3224</v>
      </c>
      <c r="AO242" s="7" t="s">
        <v>2757</v>
      </c>
      <c r="AP242" s="7" t="s">
        <v>3287</v>
      </c>
      <c r="AQ242" s="7" t="s">
        <v>3286</v>
      </c>
      <c r="AR242" s="7" t="s">
        <v>1646</v>
      </c>
      <c r="AS242" s="7" t="s">
        <v>1639</v>
      </c>
      <c r="AT242" s="7" t="s">
        <v>1646</v>
      </c>
      <c r="AU242" s="21" t="s">
        <v>2898</v>
      </c>
      <c r="AV242" s="7" t="s">
        <v>2848</v>
      </c>
      <c r="AW242" s="7">
        <v>42</v>
      </c>
      <c r="AX242" s="7">
        <v>43</v>
      </c>
      <c r="AY242" s="7" t="s">
        <v>3047</v>
      </c>
      <c r="AZ242" s="7">
        <v>0.25656499999999999</v>
      </c>
      <c r="BA242" s="7">
        <f>0.295767-AZ242</f>
        <v>3.9202000000000015E-2</v>
      </c>
      <c r="BB242" s="7"/>
      <c r="BC242" s="7" t="s">
        <v>3059</v>
      </c>
      <c r="BD242" s="7">
        <v>0.11935999999999999</v>
      </c>
      <c r="BE242" s="7">
        <f>0.156384-BD242</f>
        <v>3.7024000000000001E-2</v>
      </c>
      <c r="BF242" s="7"/>
    </row>
    <row r="243" spans="1:16384" x14ac:dyDescent="0.2">
      <c r="A243" s="7">
        <v>78</v>
      </c>
      <c r="B243" s="7" t="s">
        <v>549</v>
      </c>
      <c r="C243" s="7" t="s">
        <v>550</v>
      </c>
      <c r="D243" s="7" t="s">
        <v>551</v>
      </c>
      <c r="E243" s="7" t="s">
        <v>552</v>
      </c>
      <c r="F243" s="7" t="s">
        <v>39</v>
      </c>
      <c r="G243" s="7">
        <v>2007</v>
      </c>
      <c r="H243" s="8">
        <v>39192</v>
      </c>
      <c r="I243" s="7" t="s">
        <v>32</v>
      </c>
      <c r="J243" s="7" t="s">
        <v>32</v>
      </c>
      <c r="K243" s="7" t="s">
        <v>553</v>
      </c>
      <c r="L243" s="7">
        <v>1</v>
      </c>
      <c r="M243" s="7" t="s">
        <v>32</v>
      </c>
      <c r="N243" s="7" t="s">
        <v>34</v>
      </c>
      <c r="O243" s="7" t="s">
        <v>34</v>
      </c>
      <c r="P243" s="7" t="s">
        <v>34</v>
      </c>
      <c r="Q243" s="7" t="s">
        <v>34</v>
      </c>
      <c r="R243" s="7" t="s">
        <v>34</v>
      </c>
      <c r="S243" s="7" t="s">
        <v>34</v>
      </c>
      <c r="T243" s="7" t="s">
        <v>34</v>
      </c>
      <c r="U243" s="7" t="s">
        <v>32</v>
      </c>
      <c r="V243" s="7">
        <v>1</v>
      </c>
      <c r="W243" s="7" t="s">
        <v>32</v>
      </c>
      <c r="X243" s="7" t="s">
        <v>32</v>
      </c>
      <c r="Y243" s="7" t="s">
        <v>32</v>
      </c>
      <c r="Z243" s="7" t="s">
        <v>32</v>
      </c>
      <c r="AA243" s="7">
        <v>17442266</v>
      </c>
      <c r="AB243" s="7">
        <v>1</v>
      </c>
      <c r="AC243" s="7"/>
      <c r="AD243" s="7">
        <v>3</v>
      </c>
      <c r="AE243" s="7">
        <f t="shared" si="14"/>
        <v>70</v>
      </c>
      <c r="AF243" s="7">
        <v>36</v>
      </c>
      <c r="AG243" s="7">
        <v>34</v>
      </c>
      <c r="AH243" s="7" t="s">
        <v>2845</v>
      </c>
      <c r="AI243" s="7" t="s">
        <v>2845</v>
      </c>
      <c r="AJ243" s="7">
        <v>41</v>
      </c>
      <c r="AK243" s="7">
        <v>11.1</v>
      </c>
      <c r="AL243" s="7">
        <v>42.2</v>
      </c>
      <c r="AM243" s="7">
        <v>8.58</v>
      </c>
      <c r="AN243" s="7" t="s">
        <v>3224</v>
      </c>
      <c r="AO243" s="7" t="s">
        <v>2757</v>
      </c>
      <c r="AP243" s="7" t="s">
        <v>3287</v>
      </c>
      <c r="AQ243" s="7" t="s">
        <v>3286</v>
      </c>
      <c r="AR243" s="7" t="s">
        <v>1646</v>
      </c>
      <c r="AS243" s="7" t="s">
        <v>1639</v>
      </c>
      <c r="AT243" s="7" t="s">
        <v>1646</v>
      </c>
      <c r="AU243" s="21" t="s">
        <v>3041</v>
      </c>
      <c r="AV243" s="7" t="s">
        <v>2848</v>
      </c>
      <c r="AW243" s="7">
        <v>42</v>
      </c>
      <c r="AX243" s="7">
        <v>43</v>
      </c>
      <c r="AY243" s="7" t="s">
        <v>3049</v>
      </c>
      <c r="AZ243" s="7">
        <v>0.16789299999999999</v>
      </c>
      <c r="BA243" s="7">
        <f>0.199109-AZ243</f>
        <v>3.1216000000000022E-2</v>
      </c>
      <c r="BB243" s="7"/>
      <c r="BC243" s="7" t="s">
        <v>3061</v>
      </c>
      <c r="BD243" s="7">
        <v>6.5532099999999996E-2</v>
      </c>
      <c r="BE243" s="7">
        <f>0.097475-BD243</f>
        <v>3.194290000000001E-2</v>
      </c>
      <c r="BF243" s="7"/>
    </row>
    <row r="244" spans="1:16384" x14ac:dyDescent="0.2">
      <c r="A244" s="7">
        <v>78</v>
      </c>
      <c r="B244" s="7" t="s">
        <v>549</v>
      </c>
      <c r="C244" s="7" t="s">
        <v>550</v>
      </c>
      <c r="D244" s="7" t="s">
        <v>551</v>
      </c>
      <c r="E244" s="7" t="s">
        <v>552</v>
      </c>
      <c r="F244" s="7" t="s">
        <v>39</v>
      </c>
      <c r="G244" s="7">
        <v>2007</v>
      </c>
      <c r="H244" s="8">
        <v>39192</v>
      </c>
      <c r="I244" s="7" t="s">
        <v>32</v>
      </c>
      <c r="J244" s="7" t="s">
        <v>32</v>
      </c>
      <c r="K244" s="7" t="s">
        <v>553</v>
      </c>
      <c r="L244" s="7">
        <v>1</v>
      </c>
      <c r="M244" s="7" t="s">
        <v>32</v>
      </c>
      <c r="N244" s="7" t="s">
        <v>34</v>
      </c>
      <c r="O244" s="7" t="s">
        <v>34</v>
      </c>
      <c r="P244" s="7" t="s">
        <v>34</v>
      </c>
      <c r="Q244" s="7" t="s">
        <v>34</v>
      </c>
      <c r="R244" s="7" t="s">
        <v>34</v>
      </c>
      <c r="S244" s="7" t="s">
        <v>34</v>
      </c>
      <c r="T244" s="7" t="s">
        <v>34</v>
      </c>
      <c r="U244" s="7" t="s">
        <v>32</v>
      </c>
      <c r="V244" s="7">
        <v>1</v>
      </c>
      <c r="W244" s="7" t="s">
        <v>32</v>
      </c>
      <c r="X244" s="7" t="s">
        <v>32</v>
      </c>
      <c r="Y244" s="7" t="s">
        <v>32</v>
      </c>
      <c r="Z244" s="7" t="s">
        <v>32</v>
      </c>
      <c r="AA244" s="7">
        <v>17442266</v>
      </c>
      <c r="AB244" s="7">
        <v>1</v>
      </c>
      <c r="AC244" s="7"/>
      <c r="AD244" s="7">
        <v>3</v>
      </c>
      <c r="AE244" s="7">
        <f t="shared" si="14"/>
        <v>70</v>
      </c>
      <c r="AF244" s="7">
        <v>36</v>
      </c>
      <c r="AG244" s="7">
        <v>34</v>
      </c>
      <c r="AH244" s="7" t="s">
        <v>2845</v>
      </c>
      <c r="AI244" s="7" t="s">
        <v>2845</v>
      </c>
      <c r="AJ244" s="7">
        <v>41</v>
      </c>
      <c r="AK244" s="7">
        <v>11.1</v>
      </c>
      <c r="AL244" s="7">
        <v>42.2</v>
      </c>
      <c r="AM244" s="7">
        <v>8.58</v>
      </c>
      <c r="AN244" s="7" t="s">
        <v>3224</v>
      </c>
      <c r="AO244" s="7" t="s">
        <v>2757</v>
      </c>
      <c r="AP244" s="7" t="s">
        <v>3287</v>
      </c>
      <c r="AQ244" s="7" t="s">
        <v>3286</v>
      </c>
      <c r="AR244" s="7" t="s">
        <v>1646</v>
      </c>
      <c r="AS244" s="7" t="s">
        <v>1639</v>
      </c>
      <c r="AT244" s="7" t="s">
        <v>1646</v>
      </c>
      <c r="AU244" s="21" t="s">
        <v>3041</v>
      </c>
      <c r="AV244" s="7" t="s">
        <v>2848</v>
      </c>
      <c r="AW244" s="7">
        <v>42</v>
      </c>
      <c r="AX244" s="7">
        <v>43</v>
      </c>
      <c r="AY244" s="7" t="s">
        <v>3051</v>
      </c>
      <c r="AZ244" s="7">
        <f>0.201181</f>
        <v>0.201181</v>
      </c>
      <c r="BA244" s="7">
        <f>0.23385-AZ244</f>
        <v>3.2669000000000004E-2</v>
      </c>
      <c r="BB244" s="7"/>
      <c r="BC244" s="7" t="s">
        <v>3063</v>
      </c>
      <c r="BD244" s="7">
        <v>6.5429299999999996E-2</v>
      </c>
      <c r="BE244" s="7">
        <f>0.100273-BD244</f>
        <v>3.4843700000000005E-2</v>
      </c>
      <c r="BF244" s="7"/>
    </row>
    <row r="245" spans="1:16384" x14ac:dyDescent="0.2">
      <c r="A245" s="7">
        <v>78</v>
      </c>
      <c r="B245" s="7" t="s">
        <v>549</v>
      </c>
      <c r="C245" s="7" t="s">
        <v>550</v>
      </c>
      <c r="D245" s="7" t="s">
        <v>551</v>
      </c>
      <c r="E245" s="7" t="s">
        <v>552</v>
      </c>
      <c r="F245" s="7" t="s">
        <v>39</v>
      </c>
      <c r="G245" s="7">
        <v>2007</v>
      </c>
      <c r="H245" s="8">
        <v>39192</v>
      </c>
      <c r="I245" s="7" t="s">
        <v>32</v>
      </c>
      <c r="J245" s="7" t="s">
        <v>32</v>
      </c>
      <c r="K245" s="7" t="s">
        <v>553</v>
      </c>
      <c r="L245" s="7">
        <v>1</v>
      </c>
      <c r="M245" s="7" t="s">
        <v>32</v>
      </c>
      <c r="N245" s="7" t="s">
        <v>34</v>
      </c>
      <c r="O245" s="7" t="s">
        <v>34</v>
      </c>
      <c r="P245" s="7" t="s">
        <v>34</v>
      </c>
      <c r="Q245" s="7" t="s">
        <v>34</v>
      </c>
      <c r="R245" s="7" t="s">
        <v>34</v>
      </c>
      <c r="S245" s="7" t="s">
        <v>34</v>
      </c>
      <c r="T245" s="7" t="s">
        <v>34</v>
      </c>
      <c r="U245" s="7" t="s">
        <v>32</v>
      </c>
      <c r="V245" s="7">
        <v>1</v>
      </c>
      <c r="W245" s="7" t="s">
        <v>32</v>
      </c>
      <c r="X245" s="7" t="s">
        <v>32</v>
      </c>
      <c r="Y245" s="7" t="s">
        <v>32</v>
      </c>
      <c r="Z245" s="7" t="s">
        <v>32</v>
      </c>
      <c r="AA245" s="7">
        <v>17442266</v>
      </c>
      <c r="AB245" s="7">
        <v>1</v>
      </c>
      <c r="AC245" s="7"/>
      <c r="AD245" s="7">
        <v>3</v>
      </c>
      <c r="AE245" s="7">
        <f t="shared" si="14"/>
        <v>70</v>
      </c>
      <c r="AF245" s="7">
        <v>36</v>
      </c>
      <c r="AG245" s="7">
        <v>34</v>
      </c>
      <c r="AH245" s="7" t="s">
        <v>2845</v>
      </c>
      <c r="AI245" s="7" t="s">
        <v>2845</v>
      </c>
      <c r="AJ245" s="7">
        <v>41</v>
      </c>
      <c r="AK245" s="7">
        <v>11.1</v>
      </c>
      <c r="AL245" s="7">
        <v>42.2</v>
      </c>
      <c r="AM245" s="7">
        <v>8.58</v>
      </c>
      <c r="AN245" s="7" t="s">
        <v>3224</v>
      </c>
      <c r="AO245" s="7" t="s">
        <v>2757</v>
      </c>
      <c r="AP245" s="7" t="s">
        <v>3287</v>
      </c>
      <c r="AQ245" s="7" t="s">
        <v>3286</v>
      </c>
      <c r="AR245" s="7" t="s">
        <v>1646</v>
      </c>
      <c r="AS245" s="7" t="s">
        <v>1639</v>
      </c>
      <c r="AT245" s="7" t="s">
        <v>1646</v>
      </c>
      <c r="AU245" s="21" t="s">
        <v>2899</v>
      </c>
      <c r="AV245" s="7" t="s">
        <v>2848</v>
      </c>
      <c r="AW245" s="7">
        <v>42</v>
      </c>
      <c r="AX245" s="7">
        <v>43</v>
      </c>
      <c r="AY245" s="7" t="s">
        <v>3046</v>
      </c>
      <c r="AZ245" s="7">
        <v>0.21018200000000001</v>
      </c>
      <c r="BA245" s="7">
        <f>0.240727-AZ245</f>
        <v>3.0544999999999989E-2</v>
      </c>
      <c r="BB245" s="7"/>
      <c r="BC245" s="7" t="s">
        <v>3058</v>
      </c>
      <c r="BD245" s="7">
        <v>9.3818200000000004E-2</v>
      </c>
      <c r="BE245" s="7">
        <f>0.121455-BD245</f>
        <v>2.7636799999999989E-2</v>
      </c>
      <c r="BF245" s="7"/>
    </row>
    <row r="246" spans="1:16384" x14ac:dyDescent="0.2">
      <c r="A246" s="7">
        <v>78</v>
      </c>
      <c r="B246" s="7" t="s">
        <v>549</v>
      </c>
      <c r="C246" s="7" t="s">
        <v>550</v>
      </c>
      <c r="D246" s="7" t="s">
        <v>551</v>
      </c>
      <c r="E246" s="7" t="s">
        <v>552</v>
      </c>
      <c r="F246" s="7" t="s">
        <v>39</v>
      </c>
      <c r="G246" s="7">
        <v>2007</v>
      </c>
      <c r="H246" s="8">
        <v>39192</v>
      </c>
      <c r="I246" s="7" t="s">
        <v>32</v>
      </c>
      <c r="J246" s="7" t="s">
        <v>32</v>
      </c>
      <c r="K246" s="7" t="s">
        <v>553</v>
      </c>
      <c r="L246" s="7">
        <v>1</v>
      </c>
      <c r="M246" s="7" t="s">
        <v>32</v>
      </c>
      <c r="N246" s="7" t="s">
        <v>34</v>
      </c>
      <c r="O246" s="7" t="s">
        <v>34</v>
      </c>
      <c r="P246" s="7" t="s">
        <v>34</v>
      </c>
      <c r="Q246" s="7" t="s">
        <v>34</v>
      </c>
      <c r="R246" s="7" t="s">
        <v>34</v>
      </c>
      <c r="S246" s="7" t="s">
        <v>34</v>
      </c>
      <c r="T246" s="7" t="s">
        <v>34</v>
      </c>
      <c r="U246" s="7" t="s">
        <v>32</v>
      </c>
      <c r="V246" s="7">
        <v>1</v>
      </c>
      <c r="W246" s="7" t="s">
        <v>32</v>
      </c>
      <c r="X246" s="7" t="s">
        <v>32</v>
      </c>
      <c r="Y246" s="7" t="s">
        <v>32</v>
      </c>
      <c r="Z246" s="7" t="s">
        <v>32</v>
      </c>
      <c r="AA246" s="7">
        <v>17442266</v>
      </c>
      <c r="AB246" s="7">
        <v>1</v>
      </c>
      <c r="AC246" s="7"/>
      <c r="AD246" s="7">
        <v>3</v>
      </c>
      <c r="AE246" s="7">
        <f t="shared" si="14"/>
        <v>70</v>
      </c>
      <c r="AF246" s="7">
        <v>36</v>
      </c>
      <c r="AG246" s="7">
        <v>34</v>
      </c>
      <c r="AH246" s="7" t="s">
        <v>2845</v>
      </c>
      <c r="AI246" s="7" t="s">
        <v>2845</v>
      </c>
      <c r="AJ246" s="7">
        <v>41</v>
      </c>
      <c r="AK246" s="7">
        <v>11.1</v>
      </c>
      <c r="AL246" s="7">
        <v>42.2</v>
      </c>
      <c r="AM246" s="7">
        <v>8.58</v>
      </c>
      <c r="AN246" s="7" t="s">
        <v>3224</v>
      </c>
      <c r="AO246" s="7" t="s">
        <v>2757</v>
      </c>
      <c r="AP246" s="7" t="s">
        <v>3287</v>
      </c>
      <c r="AQ246" s="7" t="s">
        <v>3286</v>
      </c>
      <c r="AR246" s="7" t="s">
        <v>1646</v>
      </c>
      <c r="AS246" s="7" t="s">
        <v>1639</v>
      </c>
      <c r="AT246" s="7" t="s">
        <v>1646</v>
      </c>
      <c r="AU246" s="21" t="s">
        <v>2899</v>
      </c>
      <c r="AV246" s="7" t="s">
        <v>2848</v>
      </c>
      <c r="AW246" s="7">
        <v>42</v>
      </c>
      <c r="AX246" s="7">
        <v>43</v>
      </c>
      <c r="AY246" s="7" t="s">
        <v>3048</v>
      </c>
      <c r="AZ246" s="7">
        <v>0.10909099999999999</v>
      </c>
      <c r="BA246" s="7">
        <f>0.133091-AZ246</f>
        <v>2.3999999999999994E-2</v>
      </c>
      <c r="BB246" s="7"/>
      <c r="BC246" s="7" t="s">
        <v>3060</v>
      </c>
      <c r="BD246" s="7">
        <v>5.0181799999999999E-2</v>
      </c>
      <c r="BE246" s="7">
        <f>0.0712727-BD246</f>
        <v>2.1090899999999996E-2</v>
      </c>
      <c r="BF246" s="7"/>
    </row>
    <row r="247" spans="1:16384" x14ac:dyDescent="0.2">
      <c r="A247" s="7">
        <v>78</v>
      </c>
      <c r="B247" s="7" t="s">
        <v>549</v>
      </c>
      <c r="C247" s="7" t="s">
        <v>550</v>
      </c>
      <c r="D247" s="7" t="s">
        <v>551</v>
      </c>
      <c r="E247" s="7" t="s">
        <v>552</v>
      </c>
      <c r="F247" s="7" t="s">
        <v>39</v>
      </c>
      <c r="G247" s="7">
        <v>2007</v>
      </c>
      <c r="H247" s="8">
        <v>39192</v>
      </c>
      <c r="I247" s="7" t="s">
        <v>32</v>
      </c>
      <c r="J247" s="7" t="s">
        <v>32</v>
      </c>
      <c r="K247" s="7" t="s">
        <v>553</v>
      </c>
      <c r="L247" s="7">
        <v>1</v>
      </c>
      <c r="M247" s="7" t="s">
        <v>32</v>
      </c>
      <c r="N247" s="7" t="s">
        <v>34</v>
      </c>
      <c r="O247" s="7" t="s">
        <v>34</v>
      </c>
      <c r="P247" s="7" t="s">
        <v>34</v>
      </c>
      <c r="Q247" s="7" t="s">
        <v>34</v>
      </c>
      <c r="R247" s="7" t="s">
        <v>34</v>
      </c>
      <c r="S247" s="7" t="s">
        <v>34</v>
      </c>
      <c r="T247" s="7" t="s">
        <v>34</v>
      </c>
      <c r="U247" s="7" t="s">
        <v>32</v>
      </c>
      <c r="V247" s="7">
        <v>1</v>
      </c>
      <c r="W247" s="7" t="s">
        <v>32</v>
      </c>
      <c r="X247" s="7" t="s">
        <v>32</v>
      </c>
      <c r="Y247" s="7" t="s">
        <v>32</v>
      </c>
      <c r="Z247" s="7" t="s">
        <v>32</v>
      </c>
      <c r="AA247" s="7">
        <v>17442266</v>
      </c>
      <c r="AB247" s="7">
        <v>1</v>
      </c>
      <c r="AC247" s="7"/>
      <c r="AD247" s="7">
        <v>3</v>
      </c>
      <c r="AE247" s="7">
        <f t="shared" si="14"/>
        <v>70</v>
      </c>
      <c r="AF247" s="7">
        <v>36</v>
      </c>
      <c r="AG247" s="7">
        <v>34</v>
      </c>
      <c r="AH247" s="7" t="s">
        <v>2845</v>
      </c>
      <c r="AI247" s="7" t="s">
        <v>2845</v>
      </c>
      <c r="AJ247" s="7">
        <v>41</v>
      </c>
      <c r="AK247" s="7">
        <v>11.1</v>
      </c>
      <c r="AL247" s="7">
        <v>42.2</v>
      </c>
      <c r="AM247" s="7">
        <v>8.58</v>
      </c>
      <c r="AN247" s="7" t="s">
        <v>3224</v>
      </c>
      <c r="AO247" s="7" t="s">
        <v>2757</v>
      </c>
      <c r="AP247" s="7" t="s">
        <v>3287</v>
      </c>
      <c r="AQ247" s="7" t="s">
        <v>3286</v>
      </c>
      <c r="AR247" s="7" t="s">
        <v>1646</v>
      </c>
      <c r="AS247" s="7" t="s">
        <v>1639</v>
      </c>
      <c r="AT247" s="7" t="s">
        <v>1646</v>
      </c>
      <c r="AU247" s="21" t="s">
        <v>3042</v>
      </c>
      <c r="AV247" s="7" t="s">
        <v>2848</v>
      </c>
      <c r="AW247" s="7">
        <v>42</v>
      </c>
      <c r="AX247" s="7">
        <v>43</v>
      </c>
      <c r="AY247" s="7" t="s">
        <v>3050</v>
      </c>
      <c r="AZ247" s="7">
        <v>8.7999999999999995E-2</v>
      </c>
      <c r="BA247" s="7">
        <f>0.105455-AZ247</f>
        <v>1.7454999999999998E-2</v>
      </c>
      <c r="BB247" s="7"/>
      <c r="BC247" s="7" t="s">
        <v>3062</v>
      </c>
      <c r="BD247" s="7">
        <v>5.5272700000000001E-2</v>
      </c>
      <c r="BE247" s="7">
        <f>0.0734545-BD247</f>
        <v>1.8181800000000005E-2</v>
      </c>
      <c r="BF247" s="7"/>
    </row>
    <row r="248" spans="1:16384" x14ac:dyDescent="0.2">
      <c r="A248" s="7">
        <v>78</v>
      </c>
      <c r="B248" s="7" t="s">
        <v>549</v>
      </c>
      <c r="C248" s="7" t="s">
        <v>550</v>
      </c>
      <c r="D248" s="7" t="s">
        <v>551</v>
      </c>
      <c r="E248" s="7" t="s">
        <v>552</v>
      </c>
      <c r="F248" s="7" t="s">
        <v>39</v>
      </c>
      <c r="G248" s="7">
        <v>2007</v>
      </c>
      <c r="H248" s="8">
        <v>39192</v>
      </c>
      <c r="I248" s="7" t="s">
        <v>32</v>
      </c>
      <c r="J248" s="7" t="s">
        <v>32</v>
      </c>
      <c r="K248" s="7" t="s">
        <v>553</v>
      </c>
      <c r="L248" s="7">
        <v>1</v>
      </c>
      <c r="M248" s="7" t="s">
        <v>32</v>
      </c>
      <c r="N248" s="7" t="s">
        <v>34</v>
      </c>
      <c r="O248" s="7" t="s">
        <v>34</v>
      </c>
      <c r="P248" s="7" t="s">
        <v>34</v>
      </c>
      <c r="Q248" s="7" t="s">
        <v>34</v>
      </c>
      <c r="R248" s="7" t="s">
        <v>34</v>
      </c>
      <c r="S248" s="7" t="s">
        <v>34</v>
      </c>
      <c r="T248" s="7" t="s">
        <v>34</v>
      </c>
      <c r="U248" s="7" t="s">
        <v>32</v>
      </c>
      <c r="V248" s="7">
        <v>1</v>
      </c>
      <c r="W248" s="7" t="s">
        <v>32</v>
      </c>
      <c r="X248" s="7" t="s">
        <v>32</v>
      </c>
      <c r="Y248" s="7" t="s">
        <v>32</v>
      </c>
      <c r="Z248" s="7" t="s">
        <v>32</v>
      </c>
      <c r="AA248" s="7">
        <v>17442266</v>
      </c>
      <c r="AB248" s="7">
        <v>1</v>
      </c>
      <c r="AC248" s="7"/>
      <c r="AD248" s="7">
        <v>3</v>
      </c>
      <c r="AE248" s="7">
        <f t="shared" si="14"/>
        <v>70</v>
      </c>
      <c r="AF248" s="7">
        <v>36</v>
      </c>
      <c r="AG248" s="7">
        <v>34</v>
      </c>
      <c r="AH248" s="7" t="s">
        <v>2845</v>
      </c>
      <c r="AI248" s="7" t="s">
        <v>2845</v>
      </c>
      <c r="AJ248" s="7">
        <v>41</v>
      </c>
      <c r="AK248" s="7">
        <v>11.1</v>
      </c>
      <c r="AL248" s="7">
        <v>42.2</v>
      </c>
      <c r="AM248" s="7">
        <v>8.58</v>
      </c>
      <c r="AN248" s="7" t="s">
        <v>3224</v>
      </c>
      <c r="AO248" s="7" t="s">
        <v>2757</v>
      </c>
      <c r="AP248" s="7" t="s">
        <v>3287</v>
      </c>
      <c r="AQ248" s="7" t="s">
        <v>3286</v>
      </c>
      <c r="AR248" s="7" t="s">
        <v>1646</v>
      </c>
      <c r="AS248" s="7" t="s">
        <v>1639</v>
      </c>
      <c r="AT248" s="7" t="s">
        <v>1646</v>
      </c>
      <c r="AU248" s="21" t="s">
        <v>3042</v>
      </c>
      <c r="AV248" s="7" t="s">
        <v>2848</v>
      </c>
      <c r="AW248" s="7">
        <v>42</v>
      </c>
      <c r="AX248" s="7">
        <v>43</v>
      </c>
      <c r="AY248" s="7" t="s">
        <v>3052</v>
      </c>
      <c r="AZ248" s="7">
        <v>0.112</v>
      </c>
      <c r="BA248" s="7">
        <f>0.136-AZ248</f>
        <v>2.4000000000000007E-2</v>
      </c>
      <c r="BB248" s="7"/>
      <c r="BC248" s="7" t="s">
        <v>3064</v>
      </c>
      <c r="BD248" s="7">
        <v>5.8181799999999999E-2</v>
      </c>
      <c r="BE248" s="7">
        <f>0.0778182-BD248</f>
        <v>1.9636400000000005E-2</v>
      </c>
      <c r="BF248" s="7"/>
    </row>
    <row r="249" spans="1:16384" s="76" customFormat="1" x14ac:dyDescent="0.2">
      <c r="A249" s="80">
        <v>79</v>
      </c>
      <c r="B249" s="80" t="s">
        <v>554</v>
      </c>
      <c r="C249" s="80" t="s">
        <v>555</v>
      </c>
      <c r="D249" s="80" t="s">
        <v>556</v>
      </c>
      <c r="E249" s="80" t="s">
        <v>557</v>
      </c>
      <c r="F249" s="80" t="s">
        <v>558</v>
      </c>
      <c r="G249" s="80">
        <v>2007</v>
      </c>
      <c r="H249" s="81">
        <v>39144</v>
      </c>
      <c r="I249" s="80" t="s">
        <v>32</v>
      </c>
      <c r="J249" s="80" t="s">
        <v>32</v>
      </c>
      <c r="K249" s="80" t="s">
        <v>559</v>
      </c>
      <c r="L249" s="80">
        <v>1</v>
      </c>
      <c r="M249" s="80" t="s">
        <v>32</v>
      </c>
      <c r="N249" s="80" t="s">
        <v>34</v>
      </c>
      <c r="O249" s="80" t="s">
        <v>34</v>
      </c>
      <c r="P249" s="80" t="s">
        <v>34</v>
      </c>
      <c r="Q249" s="80" t="s">
        <v>34</v>
      </c>
      <c r="R249" s="80" t="s">
        <v>34</v>
      </c>
      <c r="S249" s="80" t="s">
        <v>34</v>
      </c>
      <c r="T249" s="80" t="s">
        <v>34</v>
      </c>
      <c r="U249" s="80" t="s">
        <v>32</v>
      </c>
      <c r="V249" s="80">
        <v>1</v>
      </c>
      <c r="W249" s="80" t="s">
        <v>32</v>
      </c>
      <c r="X249" s="80" t="s">
        <v>32</v>
      </c>
      <c r="Y249" s="80" t="s">
        <v>32</v>
      </c>
      <c r="Z249" s="80" t="s">
        <v>32</v>
      </c>
      <c r="AA249" s="80">
        <v>17331476</v>
      </c>
      <c r="AB249" s="80">
        <v>1</v>
      </c>
      <c r="AC249" s="80"/>
      <c r="AD249" s="80">
        <v>3</v>
      </c>
      <c r="AE249" s="80">
        <f t="shared" ref="AE249:AE256" si="15">AF249+AG249</f>
        <v>17</v>
      </c>
      <c r="AF249" s="80">
        <v>10</v>
      </c>
      <c r="AG249" s="80">
        <v>7</v>
      </c>
      <c r="AH249" s="80" t="s">
        <v>1642</v>
      </c>
      <c r="AI249" s="80" t="s">
        <v>1642</v>
      </c>
      <c r="AJ249" s="80">
        <v>34.299999999999997</v>
      </c>
      <c r="AK249" s="80">
        <v>4.55</v>
      </c>
      <c r="AL249" s="80">
        <v>40.57</v>
      </c>
      <c r="AM249" s="80">
        <v>5.26</v>
      </c>
      <c r="AN249" s="80" t="s">
        <v>3188</v>
      </c>
      <c r="AO249" s="80" t="s">
        <v>1770</v>
      </c>
      <c r="AP249" s="80" t="s">
        <v>3288</v>
      </c>
      <c r="AQ249" s="80" t="s">
        <v>3039</v>
      </c>
      <c r="AR249" s="80" t="s">
        <v>1646</v>
      </c>
      <c r="AS249" s="80" t="s">
        <v>2920</v>
      </c>
      <c r="AT249" s="80" t="s">
        <v>1646</v>
      </c>
      <c r="AU249" s="80" t="s">
        <v>3635</v>
      </c>
      <c r="AV249" s="80" t="s">
        <v>2907</v>
      </c>
      <c r="AW249" s="80">
        <v>43</v>
      </c>
      <c r="AX249" s="80">
        <v>44</v>
      </c>
      <c r="AY249" s="80" t="s">
        <v>3638</v>
      </c>
      <c r="AZ249" s="80">
        <v>3.2</v>
      </c>
      <c r="BA249" s="80">
        <v>3.33</v>
      </c>
      <c r="BB249" s="80"/>
      <c r="BC249" s="80" t="s">
        <v>3641</v>
      </c>
      <c r="BD249" s="80">
        <v>9</v>
      </c>
      <c r="BE249" s="80">
        <v>3.96</v>
      </c>
      <c r="BF249" s="80"/>
    </row>
    <row r="250" spans="1:16384" s="76" customFormat="1" x14ac:dyDescent="0.2">
      <c r="A250" s="80">
        <v>79</v>
      </c>
      <c r="B250" s="80" t="s">
        <v>554</v>
      </c>
      <c r="C250" s="80" t="s">
        <v>555</v>
      </c>
      <c r="D250" s="80" t="s">
        <v>556</v>
      </c>
      <c r="E250" s="80" t="s">
        <v>557</v>
      </c>
      <c r="F250" s="80" t="s">
        <v>558</v>
      </c>
      <c r="G250" s="80">
        <v>2007</v>
      </c>
      <c r="H250" s="81">
        <v>39144</v>
      </c>
      <c r="I250" s="80" t="s">
        <v>32</v>
      </c>
      <c r="J250" s="80" t="s">
        <v>32</v>
      </c>
      <c r="K250" s="80" t="s">
        <v>559</v>
      </c>
      <c r="L250" s="80">
        <v>1</v>
      </c>
      <c r="M250" s="80" t="s">
        <v>32</v>
      </c>
      <c r="N250" s="80" t="s">
        <v>34</v>
      </c>
      <c r="O250" s="80" t="s">
        <v>34</v>
      </c>
      <c r="P250" s="80" t="s">
        <v>34</v>
      </c>
      <c r="Q250" s="80" t="s">
        <v>34</v>
      </c>
      <c r="R250" s="80" t="s">
        <v>34</v>
      </c>
      <c r="S250" s="80" t="s">
        <v>34</v>
      </c>
      <c r="T250" s="80" t="s">
        <v>34</v>
      </c>
      <c r="U250" s="80" t="s">
        <v>32</v>
      </c>
      <c r="V250" s="80">
        <v>1</v>
      </c>
      <c r="W250" s="80" t="s">
        <v>32</v>
      </c>
      <c r="X250" s="80" t="s">
        <v>32</v>
      </c>
      <c r="Y250" s="80" t="s">
        <v>32</v>
      </c>
      <c r="Z250" s="80" t="s">
        <v>32</v>
      </c>
      <c r="AA250" s="80">
        <v>17331476</v>
      </c>
      <c r="AB250" s="80">
        <v>1</v>
      </c>
      <c r="AC250" s="80"/>
      <c r="AD250" s="80">
        <v>3</v>
      </c>
      <c r="AE250" s="80">
        <f t="shared" ref="AE250:AE251" si="16">AF250+AG250</f>
        <v>17</v>
      </c>
      <c r="AF250" s="80">
        <v>10</v>
      </c>
      <c r="AG250" s="80">
        <v>7</v>
      </c>
      <c r="AH250" s="80" t="s">
        <v>1642</v>
      </c>
      <c r="AI250" s="80" t="s">
        <v>1642</v>
      </c>
      <c r="AJ250" s="80">
        <v>34.299999999999997</v>
      </c>
      <c r="AK250" s="80">
        <v>4.55</v>
      </c>
      <c r="AL250" s="80">
        <v>40.57</v>
      </c>
      <c r="AM250" s="80">
        <v>5.26</v>
      </c>
      <c r="AN250" s="80" t="s">
        <v>3188</v>
      </c>
      <c r="AO250" s="80" t="s">
        <v>1770</v>
      </c>
      <c r="AP250" s="80" t="s">
        <v>3288</v>
      </c>
      <c r="AQ250" s="80" t="s">
        <v>3039</v>
      </c>
      <c r="AR250" s="80" t="s">
        <v>1646</v>
      </c>
      <c r="AS250" s="80" t="s">
        <v>2920</v>
      </c>
      <c r="AT250" s="80" t="s">
        <v>1646</v>
      </c>
      <c r="AU250" s="80" t="s">
        <v>3636</v>
      </c>
      <c r="AV250" s="80" t="s">
        <v>2907</v>
      </c>
      <c r="AW250" s="80">
        <v>43</v>
      </c>
      <c r="AX250" s="80">
        <v>44</v>
      </c>
      <c r="AY250" s="80" t="s">
        <v>3639</v>
      </c>
      <c r="AZ250" s="80">
        <v>4.2</v>
      </c>
      <c r="BA250" s="80">
        <v>1.81</v>
      </c>
      <c r="BB250" s="80"/>
      <c r="BC250" s="80" t="s">
        <v>3642</v>
      </c>
      <c r="BD250" s="80">
        <v>5.71</v>
      </c>
      <c r="BE250" s="80">
        <v>1.89</v>
      </c>
      <c r="BF250" s="80"/>
    </row>
    <row r="251" spans="1:16384" s="76" customFormat="1" x14ac:dyDescent="0.2">
      <c r="A251" s="80">
        <v>79</v>
      </c>
      <c r="B251" s="80" t="s">
        <v>554</v>
      </c>
      <c r="C251" s="80" t="s">
        <v>555</v>
      </c>
      <c r="D251" s="80" t="s">
        <v>556</v>
      </c>
      <c r="E251" s="80" t="s">
        <v>557</v>
      </c>
      <c r="F251" s="80" t="s">
        <v>558</v>
      </c>
      <c r="G251" s="80">
        <v>2007</v>
      </c>
      <c r="H251" s="81">
        <v>39144</v>
      </c>
      <c r="I251" s="80" t="s">
        <v>32</v>
      </c>
      <c r="J251" s="80" t="s">
        <v>32</v>
      </c>
      <c r="K251" s="80" t="s">
        <v>559</v>
      </c>
      <c r="L251" s="80">
        <v>1</v>
      </c>
      <c r="M251" s="80" t="s">
        <v>32</v>
      </c>
      <c r="N251" s="80" t="s">
        <v>34</v>
      </c>
      <c r="O251" s="80" t="s">
        <v>34</v>
      </c>
      <c r="P251" s="80" t="s">
        <v>34</v>
      </c>
      <c r="Q251" s="80" t="s">
        <v>34</v>
      </c>
      <c r="R251" s="80" t="s">
        <v>34</v>
      </c>
      <c r="S251" s="80" t="s">
        <v>34</v>
      </c>
      <c r="T251" s="80" t="s">
        <v>34</v>
      </c>
      <c r="U251" s="80" t="s">
        <v>32</v>
      </c>
      <c r="V251" s="80">
        <v>1</v>
      </c>
      <c r="W251" s="80" t="s">
        <v>32</v>
      </c>
      <c r="X251" s="80" t="s">
        <v>32</v>
      </c>
      <c r="Y251" s="80" t="s">
        <v>32</v>
      </c>
      <c r="Z251" s="80" t="s">
        <v>32</v>
      </c>
      <c r="AA251" s="80">
        <v>17331476</v>
      </c>
      <c r="AB251" s="80">
        <v>1</v>
      </c>
      <c r="AC251" s="80"/>
      <c r="AD251" s="80">
        <v>3</v>
      </c>
      <c r="AE251" s="80">
        <f t="shared" si="16"/>
        <v>17</v>
      </c>
      <c r="AF251" s="80">
        <v>10</v>
      </c>
      <c r="AG251" s="80">
        <v>7</v>
      </c>
      <c r="AH251" s="80" t="s">
        <v>1642</v>
      </c>
      <c r="AI251" s="80" t="s">
        <v>1642</v>
      </c>
      <c r="AJ251" s="80">
        <v>34.299999999999997</v>
      </c>
      <c r="AK251" s="80">
        <v>4.55</v>
      </c>
      <c r="AL251" s="80">
        <v>40.57</v>
      </c>
      <c r="AM251" s="80">
        <v>5.26</v>
      </c>
      <c r="AN251" s="80" t="s">
        <v>3188</v>
      </c>
      <c r="AO251" s="80" t="s">
        <v>1770</v>
      </c>
      <c r="AP251" s="80" t="s">
        <v>3288</v>
      </c>
      <c r="AQ251" s="80" t="s">
        <v>3039</v>
      </c>
      <c r="AR251" s="80" t="s">
        <v>1646</v>
      </c>
      <c r="AS251" s="80" t="s">
        <v>2920</v>
      </c>
      <c r="AT251" s="80" t="s">
        <v>1646</v>
      </c>
      <c r="AU251" s="80" t="s">
        <v>3637</v>
      </c>
      <c r="AV251" s="80" t="s">
        <v>2907</v>
      </c>
      <c r="AW251" s="80">
        <v>43</v>
      </c>
      <c r="AX251" s="80">
        <v>44</v>
      </c>
      <c r="AY251" s="80" t="s">
        <v>3640</v>
      </c>
      <c r="AZ251" s="80">
        <v>3.9</v>
      </c>
      <c r="BA251" s="80">
        <v>2.0299999999999998</v>
      </c>
      <c r="BB251" s="80"/>
      <c r="BC251" s="80" t="s">
        <v>3643</v>
      </c>
      <c r="BD251" s="80">
        <v>4.71</v>
      </c>
      <c r="BE251" s="80">
        <v>2.63</v>
      </c>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c r="CJ251" s="80"/>
      <c r="CK251" s="80"/>
      <c r="CL251" s="80"/>
      <c r="CM251" s="80"/>
      <c r="CN251" s="80"/>
      <c r="CO251" s="80"/>
      <c r="CP251" s="80"/>
      <c r="CQ251" s="80"/>
      <c r="CR251" s="80"/>
      <c r="CS251" s="80"/>
      <c r="CT251" s="80"/>
      <c r="CU251" s="80"/>
      <c r="CV251" s="80"/>
      <c r="CW251" s="80"/>
      <c r="CX251" s="80"/>
      <c r="CY251" s="80"/>
      <c r="CZ251" s="80"/>
      <c r="DA251" s="80"/>
      <c r="DB251" s="80"/>
      <c r="DC251" s="80"/>
      <c r="DD251" s="80"/>
      <c r="DE251" s="80"/>
      <c r="DF251" s="80"/>
      <c r="DG251" s="80"/>
      <c r="DH251" s="80"/>
      <c r="DI251" s="80"/>
      <c r="DJ251" s="80"/>
      <c r="DK251" s="80"/>
      <c r="DL251" s="80"/>
      <c r="DM251" s="80"/>
      <c r="DN251" s="80"/>
      <c r="DO251" s="80"/>
      <c r="DP251" s="80"/>
      <c r="DQ251" s="80"/>
      <c r="DR251" s="80"/>
      <c r="DS251" s="80"/>
      <c r="DT251" s="80"/>
      <c r="DU251" s="80"/>
      <c r="DV251" s="80"/>
      <c r="DW251" s="80"/>
      <c r="DX251" s="80"/>
      <c r="DY251" s="80"/>
      <c r="DZ251" s="80"/>
      <c r="EA251" s="80"/>
      <c r="EB251" s="80"/>
      <c r="EC251" s="80"/>
      <c r="ED251" s="80"/>
      <c r="EE251" s="80"/>
      <c r="EF251" s="80"/>
      <c r="EG251" s="80"/>
      <c r="EH251" s="80"/>
      <c r="EI251" s="80"/>
      <c r="EJ251" s="80"/>
      <c r="EK251" s="80"/>
      <c r="EL251" s="80"/>
      <c r="EM251" s="80"/>
      <c r="EN251" s="80"/>
      <c r="EO251" s="80"/>
      <c r="EP251" s="80"/>
      <c r="EQ251" s="80"/>
      <c r="ER251" s="80"/>
      <c r="ES251" s="80"/>
      <c r="ET251" s="80"/>
      <c r="EU251" s="80"/>
      <c r="EV251" s="80"/>
      <c r="EW251" s="80"/>
      <c r="EX251" s="80"/>
      <c r="EY251" s="80"/>
      <c r="EZ251" s="80"/>
      <c r="FA251" s="80"/>
      <c r="FB251" s="80"/>
      <c r="FC251" s="80"/>
      <c r="FD251" s="80"/>
      <c r="FE251" s="80"/>
      <c r="FF251" s="80"/>
      <c r="FG251" s="80"/>
      <c r="FH251" s="80"/>
      <c r="FI251" s="80"/>
      <c r="FJ251" s="80"/>
      <c r="FK251" s="80"/>
      <c r="FL251" s="80"/>
      <c r="FM251" s="80"/>
      <c r="FN251" s="80"/>
      <c r="FO251" s="80"/>
      <c r="FP251" s="80"/>
      <c r="FQ251" s="80"/>
      <c r="FR251" s="80"/>
      <c r="FS251" s="80"/>
      <c r="FT251" s="80"/>
      <c r="FU251" s="80"/>
      <c r="FV251" s="80"/>
      <c r="FW251" s="80"/>
      <c r="FX251" s="80"/>
      <c r="FY251" s="80"/>
      <c r="FZ251" s="80"/>
      <c r="GA251" s="80"/>
      <c r="GB251" s="80"/>
      <c r="GC251" s="80"/>
      <c r="GD251" s="80"/>
      <c r="GE251" s="80"/>
      <c r="GF251" s="80"/>
      <c r="GG251" s="80"/>
      <c r="GH251" s="80"/>
      <c r="GI251" s="80"/>
      <c r="GJ251" s="80"/>
      <c r="GK251" s="80"/>
      <c r="GL251" s="80"/>
      <c r="GM251" s="80"/>
      <c r="GN251" s="80"/>
      <c r="GO251" s="80"/>
      <c r="GP251" s="80"/>
      <c r="GQ251" s="80"/>
      <c r="GR251" s="80"/>
      <c r="GS251" s="80"/>
      <c r="GT251" s="80"/>
      <c r="GU251" s="80"/>
      <c r="GV251" s="80"/>
      <c r="GW251" s="80"/>
      <c r="GX251" s="80"/>
      <c r="GY251" s="80"/>
      <c r="GZ251" s="80"/>
      <c r="HA251" s="80"/>
      <c r="HB251" s="80"/>
      <c r="HC251" s="80"/>
      <c r="HD251" s="80"/>
      <c r="HE251" s="80"/>
      <c r="HF251" s="80"/>
      <c r="HG251" s="80"/>
      <c r="HH251" s="80"/>
      <c r="HI251" s="80"/>
      <c r="HJ251" s="80"/>
      <c r="HK251" s="80"/>
      <c r="HL251" s="80"/>
      <c r="HM251" s="80"/>
      <c r="HN251" s="80"/>
      <c r="HO251" s="80"/>
      <c r="HP251" s="80"/>
      <c r="HQ251" s="80"/>
      <c r="HR251" s="80"/>
      <c r="HS251" s="80"/>
      <c r="HT251" s="80"/>
      <c r="HU251" s="80"/>
      <c r="HV251" s="80"/>
      <c r="HW251" s="80"/>
      <c r="HX251" s="80"/>
      <c r="HY251" s="80"/>
      <c r="HZ251" s="80"/>
      <c r="IA251" s="80"/>
      <c r="IB251" s="80"/>
      <c r="IC251" s="80"/>
      <c r="ID251" s="80"/>
      <c r="IE251" s="80"/>
      <c r="IF251" s="80"/>
      <c r="IG251" s="80"/>
      <c r="IH251" s="80"/>
      <c r="II251" s="80"/>
      <c r="IJ251" s="80"/>
      <c r="IK251" s="80"/>
      <c r="IL251" s="80"/>
      <c r="IM251" s="80"/>
      <c r="IN251" s="80"/>
      <c r="IO251" s="80"/>
      <c r="IP251" s="80"/>
      <c r="IQ251" s="80"/>
      <c r="IR251" s="80"/>
      <c r="IS251" s="80"/>
      <c r="IT251" s="80"/>
      <c r="IU251" s="80"/>
      <c r="IV251" s="80"/>
      <c r="IW251" s="80"/>
      <c r="IX251" s="80"/>
      <c r="IY251" s="80"/>
      <c r="IZ251" s="80"/>
      <c r="JA251" s="80"/>
      <c r="JB251" s="80"/>
      <c r="JC251" s="80"/>
      <c r="JD251" s="80"/>
      <c r="JE251" s="80"/>
      <c r="JF251" s="80"/>
      <c r="JG251" s="80"/>
      <c r="JH251" s="80"/>
      <c r="JI251" s="80"/>
      <c r="JJ251" s="80"/>
      <c r="JK251" s="80"/>
      <c r="JL251" s="80"/>
      <c r="JM251" s="80"/>
      <c r="JN251" s="80"/>
      <c r="JO251" s="80"/>
      <c r="JP251" s="80"/>
      <c r="JQ251" s="80"/>
      <c r="JR251" s="80"/>
      <c r="JS251" s="80"/>
      <c r="JT251" s="80"/>
      <c r="JU251" s="80"/>
      <c r="JV251" s="80"/>
      <c r="JW251" s="80"/>
      <c r="JX251" s="80"/>
      <c r="JY251" s="80"/>
      <c r="JZ251" s="80"/>
      <c r="KA251" s="80"/>
      <c r="KB251" s="80"/>
      <c r="KC251" s="80"/>
      <c r="KD251" s="80"/>
      <c r="KE251" s="80"/>
      <c r="KF251" s="80"/>
      <c r="KG251" s="80"/>
      <c r="KH251" s="80"/>
      <c r="KI251" s="80"/>
      <c r="KJ251" s="80"/>
      <c r="KK251" s="80"/>
      <c r="KL251" s="80"/>
      <c r="KM251" s="80"/>
      <c r="KN251" s="80"/>
      <c r="KO251" s="80"/>
      <c r="KP251" s="80"/>
      <c r="KQ251" s="80"/>
      <c r="KR251" s="80"/>
      <c r="KS251" s="80"/>
      <c r="KT251" s="80"/>
      <c r="KU251" s="80"/>
      <c r="KV251" s="80"/>
      <c r="KW251" s="80"/>
      <c r="KX251" s="80"/>
      <c r="KY251" s="80"/>
      <c r="KZ251" s="80"/>
      <c r="LA251" s="80"/>
      <c r="LB251" s="80"/>
      <c r="LC251" s="80"/>
      <c r="LD251" s="80"/>
      <c r="LE251" s="80"/>
      <c r="LF251" s="80"/>
      <c r="LG251" s="80"/>
      <c r="LH251" s="80"/>
      <c r="LI251" s="80"/>
      <c r="LJ251" s="80"/>
      <c r="LK251" s="80"/>
      <c r="LL251" s="80"/>
      <c r="LM251" s="80"/>
      <c r="LN251" s="80"/>
      <c r="LO251" s="80"/>
      <c r="LP251" s="80"/>
      <c r="LQ251" s="80"/>
      <c r="LR251" s="80"/>
      <c r="LS251" s="80"/>
      <c r="LT251" s="80"/>
      <c r="LU251" s="80"/>
      <c r="LV251" s="80"/>
      <c r="LW251" s="80"/>
      <c r="LX251" s="80"/>
      <c r="LY251" s="80"/>
      <c r="LZ251" s="80"/>
      <c r="MA251" s="80"/>
      <c r="MB251" s="80"/>
      <c r="MC251" s="80"/>
      <c r="MD251" s="80"/>
      <c r="ME251" s="80"/>
      <c r="MF251" s="80"/>
      <c r="MG251" s="80"/>
      <c r="MH251" s="80"/>
      <c r="MI251" s="80"/>
      <c r="MJ251" s="80"/>
      <c r="MK251" s="80"/>
      <c r="ML251" s="80"/>
      <c r="MM251" s="80"/>
      <c r="MN251" s="80"/>
      <c r="MO251" s="80"/>
      <c r="MP251" s="80"/>
      <c r="MQ251" s="80"/>
      <c r="MR251" s="80"/>
      <c r="MS251" s="80"/>
      <c r="MT251" s="80"/>
      <c r="MU251" s="80"/>
      <c r="MV251" s="80"/>
      <c r="MW251" s="80"/>
      <c r="MX251" s="80"/>
      <c r="MY251" s="80"/>
      <c r="MZ251" s="80"/>
      <c r="NA251" s="80"/>
      <c r="NB251" s="80"/>
      <c r="NC251" s="80"/>
      <c r="ND251" s="80"/>
      <c r="NE251" s="80"/>
      <c r="NF251" s="80"/>
      <c r="NG251" s="80"/>
      <c r="NH251" s="80"/>
      <c r="NI251" s="80"/>
      <c r="NJ251" s="80"/>
      <c r="NK251" s="80"/>
      <c r="NL251" s="80"/>
      <c r="NM251" s="80"/>
      <c r="NN251" s="80"/>
      <c r="NO251" s="80"/>
      <c r="NP251" s="80"/>
      <c r="NQ251" s="80"/>
      <c r="NR251" s="80"/>
      <c r="NS251" s="80"/>
      <c r="NT251" s="80"/>
      <c r="NU251" s="80"/>
      <c r="NV251" s="80"/>
      <c r="NW251" s="80"/>
      <c r="NX251" s="80"/>
      <c r="NY251" s="80"/>
      <c r="NZ251" s="80"/>
      <c r="OA251" s="80"/>
      <c r="OB251" s="80"/>
      <c r="OC251" s="80"/>
      <c r="OD251" s="80"/>
      <c r="OE251" s="80"/>
      <c r="OF251" s="80"/>
      <c r="OG251" s="80"/>
      <c r="OH251" s="80"/>
      <c r="OI251" s="80"/>
      <c r="OJ251" s="80"/>
      <c r="OK251" s="80"/>
      <c r="OL251" s="80"/>
      <c r="OM251" s="80"/>
      <c r="ON251" s="80"/>
      <c r="OO251" s="80"/>
      <c r="OP251" s="80"/>
      <c r="OQ251" s="80"/>
      <c r="OR251" s="80"/>
      <c r="OS251" s="80"/>
      <c r="OT251" s="80"/>
      <c r="OU251" s="80"/>
      <c r="OV251" s="80"/>
      <c r="OW251" s="80"/>
      <c r="OX251" s="80"/>
      <c r="OY251" s="80"/>
      <c r="OZ251" s="80"/>
      <c r="PA251" s="80"/>
      <c r="PB251" s="80"/>
      <c r="PC251" s="80"/>
      <c r="PD251" s="80"/>
      <c r="PE251" s="80"/>
      <c r="PF251" s="80"/>
      <c r="PG251" s="80"/>
      <c r="PH251" s="80"/>
      <c r="PI251" s="80"/>
      <c r="PJ251" s="80"/>
      <c r="PK251" s="80"/>
      <c r="PL251" s="80"/>
      <c r="PM251" s="80"/>
      <c r="PN251" s="80"/>
      <c r="PO251" s="80"/>
      <c r="PP251" s="80"/>
      <c r="PQ251" s="80"/>
      <c r="PR251" s="80"/>
      <c r="PS251" s="80"/>
      <c r="PT251" s="80"/>
      <c r="PU251" s="80"/>
      <c r="PV251" s="80"/>
      <c r="PW251" s="80"/>
      <c r="PX251" s="80"/>
      <c r="PY251" s="80"/>
      <c r="PZ251" s="80"/>
      <c r="QA251" s="80"/>
      <c r="QB251" s="80"/>
      <c r="QC251" s="80"/>
      <c r="QD251" s="80"/>
      <c r="QE251" s="80"/>
      <c r="QF251" s="80"/>
      <c r="QG251" s="80"/>
      <c r="QH251" s="80"/>
      <c r="QI251" s="80"/>
      <c r="QJ251" s="80"/>
      <c r="QK251" s="80"/>
      <c r="QL251" s="80"/>
      <c r="QM251" s="80"/>
      <c r="QN251" s="80"/>
      <c r="QO251" s="80"/>
      <c r="QP251" s="80"/>
      <c r="QQ251" s="80"/>
      <c r="QR251" s="80"/>
      <c r="QS251" s="80"/>
      <c r="QT251" s="80"/>
      <c r="QU251" s="80"/>
      <c r="QV251" s="80"/>
      <c r="QW251" s="80"/>
      <c r="QX251" s="80"/>
      <c r="QY251" s="80"/>
      <c r="QZ251" s="80"/>
      <c r="RA251" s="80"/>
      <c r="RB251" s="80"/>
      <c r="RC251" s="80"/>
      <c r="RD251" s="80"/>
      <c r="RE251" s="80"/>
      <c r="RF251" s="80"/>
      <c r="RG251" s="80"/>
      <c r="RH251" s="80"/>
      <c r="RI251" s="80"/>
      <c r="RJ251" s="80"/>
      <c r="RK251" s="80"/>
      <c r="RL251" s="80"/>
      <c r="RM251" s="80"/>
      <c r="RN251" s="80"/>
      <c r="RO251" s="80"/>
      <c r="RP251" s="80"/>
      <c r="RQ251" s="80"/>
      <c r="RR251" s="80"/>
      <c r="RS251" s="80"/>
      <c r="RT251" s="80"/>
      <c r="RU251" s="80"/>
      <c r="RV251" s="80"/>
      <c r="RW251" s="80"/>
      <c r="RX251" s="80"/>
      <c r="RY251" s="80"/>
      <c r="RZ251" s="80"/>
      <c r="SA251" s="80"/>
      <c r="SB251" s="80"/>
      <c r="SC251" s="80"/>
      <c r="SD251" s="80"/>
      <c r="SE251" s="80"/>
      <c r="SF251" s="80"/>
      <c r="SG251" s="80"/>
      <c r="SH251" s="80"/>
      <c r="SI251" s="80"/>
      <c r="SJ251" s="80"/>
      <c r="SK251" s="80"/>
      <c r="SL251" s="80"/>
      <c r="SM251" s="80"/>
      <c r="SN251" s="80"/>
      <c r="SO251" s="80"/>
      <c r="SP251" s="80"/>
      <c r="SQ251" s="80"/>
      <c r="SR251" s="80"/>
      <c r="SS251" s="80"/>
      <c r="ST251" s="80"/>
      <c r="SU251" s="80"/>
      <c r="SV251" s="80"/>
      <c r="SW251" s="80"/>
      <c r="SX251" s="80"/>
      <c r="SY251" s="80"/>
      <c r="SZ251" s="80"/>
      <c r="TA251" s="80"/>
      <c r="TB251" s="80"/>
      <c r="TC251" s="80"/>
      <c r="TD251" s="80"/>
      <c r="TE251" s="80"/>
      <c r="TF251" s="80"/>
      <c r="TG251" s="80"/>
      <c r="TH251" s="80"/>
      <c r="TI251" s="80"/>
      <c r="TJ251" s="80"/>
      <c r="TK251" s="80"/>
      <c r="TL251" s="80"/>
      <c r="TM251" s="80"/>
      <c r="TN251" s="80"/>
      <c r="TO251" s="80"/>
      <c r="TP251" s="80"/>
      <c r="TQ251" s="80"/>
      <c r="TR251" s="80"/>
      <c r="TS251" s="80"/>
      <c r="TT251" s="80"/>
      <c r="TU251" s="80"/>
      <c r="TV251" s="80"/>
      <c r="TW251" s="80"/>
      <c r="TX251" s="80"/>
      <c r="TY251" s="80"/>
      <c r="TZ251" s="80"/>
      <c r="UA251" s="80"/>
      <c r="UB251" s="80"/>
      <c r="UC251" s="80"/>
      <c r="UD251" s="80"/>
      <c r="UE251" s="80"/>
      <c r="UF251" s="80"/>
      <c r="UG251" s="80"/>
      <c r="UH251" s="80"/>
      <c r="UI251" s="80"/>
      <c r="UJ251" s="80"/>
      <c r="UK251" s="80"/>
      <c r="UL251" s="80"/>
      <c r="UM251" s="80"/>
      <c r="UN251" s="80"/>
      <c r="UO251" s="80"/>
      <c r="UP251" s="80"/>
      <c r="UQ251" s="80"/>
      <c r="UR251" s="80"/>
      <c r="US251" s="80"/>
      <c r="UT251" s="80"/>
      <c r="UU251" s="80"/>
      <c r="UV251" s="80"/>
      <c r="UW251" s="80"/>
      <c r="UX251" s="80"/>
      <c r="UY251" s="80"/>
      <c r="UZ251" s="80"/>
      <c r="VA251" s="80"/>
      <c r="VB251" s="80"/>
      <c r="VC251" s="80"/>
      <c r="VD251" s="80"/>
      <c r="VE251" s="80"/>
      <c r="VF251" s="80"/>
      <c r="VG251" s="80"/>
      <c r="VH251" s="80"/>
      <c r="VI251" s="80"/>
      <c r="VJ251" s="80"/>
      <c r="VK251" s="80"/>
      <c r="VL251" s="80"/>
      <c r="VM251" s="80"/>
      <c r="VN251" s="80"/>
      <c r="VO251" s="80"/>
      <c r="VP251" s="80"/>
      <c r="VQ251" s="80"/>
      <c r="VR251" s="80"/>
      <c r="VS251" s="80"/>
      <c r="VT251" s="80"/>
      <c r="VU251" s="80"/>
      <c r="VV251" s="80"/>
      <c r="VW251" s="80"/>
      <c r="VX251" s="80"/>
      <c r="VY251" s="80"/>
      <c r="VZ251" s="80"/>
      <c r="WA251" s="80"/>
      <c r="WB251" s="80"/>
      <c r="WC251" s="80"/>
      <c r="WD251" s="80"/>
      <c r="WE251" s="80"/>
      <c r="WF251" s="80"/>
      <c r="WG251" s="80"/>
      <c r="WH251" s="80"/>
      <c r="WI251" s="80"/>
      <c r="WJ251" s="80"/>
      <c r="WK251" s="80"/>
      <c r="WL251" s="80"/>
      <c r="WM251" s="80"/>
      <c r="WN251" s="80"/>
      <c r="WO251" s="80"/>
      <c r="WP251" s="80"/>
      <c r="WQ251" s="80"/>
      <c r="WR251" s="80"/>
      <c r="WS251" s="80"/>
      <c r="WT251" s="80"/>
      <c r="WU251" s="80"/>
      <c r="WV251" s="80"/>
      <c r="WW251" s="80"/>
      <c r="WX251" s="80"/>
      <c r="WY251" s="80"/>
      <c r="WZ251" s="80"/>
      <c r="XA251" s="80"/>
      <c r="XB251" s="80"/>
      <c r="XC251" s="80"/>
      <c r="XD251" s="80"/>
      <c r="XE251" s="80"/>
      <c r="XF251" s="80"/>
      <c r="XG251" s="80"/>
      <c r="XH251" s="80"/>
      <c r="XI251" s="80"/>
      <c r="XJ251" s="80"/>
      <c r="XK251" s="80"/>
      <c r="XL251" s="80"/>
      <c r="XM251" s="80"/>
      <c r="XN251" s="80"/>
      <c r="XO251" s="80"/>
      <c r="XP251" s="80"/>
      <c r="XQ251" s="80"/>
      <c r="XR251" s="80"/>
      <c r="XS251" s="80"/>
      <c r="XT251" s="80"/>
      <c r="XU251" s="80"/>
      <c r="XV251" s="80"/>
      <c r="XW251" s="80"/>
      <c r="XX251" s="80"/>
      <c r="XY251" s="80"/>
      <c r="XZ251" s="80"/>
      <c r="YA251" s="80"/>
      <c r="YB251" s="80"/>
      <c r="YC251" s="80"/>
      <c r="YD251" s="80"/>
      <c r="YE251" s="80"/>
      <c r="YF251" s="80"/>
      <c r="YG251" s="80"/>
      <c r="YH251" s="80"/>
      <c r="YI251" s="80"/>
      <c r="YJ251" s="80"/>
      <c r="YK251" s="80"/>
      <c r="YL251" s="80"/>
      <c r="YM251" s="80"/>
      <c r="YN251" s="80"/>
      <c r="YO251" s="80"/>
      <c r="YP251" s="80"/>
      <c r="YQ251" s="80"/>
      <c r="YR251" s="80"/>
      <c r="YS251" s="80"/>
      <c r="YT251" s="80"/>
      <c r="YU251" s="80"/>
      <c r="YV251" s="80"/>
      <c r="YW251" s="80"/>
      <c r="YX251" s="80"/>
      <c r="YY251" s="80"/>
      <c r="YZ251" s="80"/>
      <c r="ZA251" s="80"/>
      <c r="ZB251" s="80"/>
      <c r="ZC251" s="80"/>
      <c r="ZD251" s="80"/>
      <c r="ZE251" s="80"/>
      <c r="ZF251" s="80"/>
      <c r="ZG251" s="80"/>
      <c r="ZH251" s="80"/>
      <c r="ZI251" s="80"/>
      <c r="ZJ251" s="80"/>
      <c r="ZK251" s="80"/>
      <c r="ZL251" s="80"/>
      <c r="ZM251" s="80"/>
      <c r="ZN251" s="80"/>
      <c r="ZO251" s="80"/>
      <c r="ZP251" s="80"/>
      <c r="ZQ251" s="80"/>
      <c r="ZR251" s="80"/>
      <c r="ZS251" s="80"/>
      <c r="ZT251" s="80"/>
      <c r="ZU251" s="80"/>
      <c r="ZV251" s="80"/>
      <c r="ZW251" s="80"/>
      <c r="ZX251" s="80"/>
      <c r="ZY251" s="80"/>
      <c r="ZZ251" s="80"/>
      <c r="AAA251" s="80"/>
      <c r="AAB251" s="80"/>
      <c r="AAC251" s="80"/>
      <c r="AAD251" s="80"/>
      <c r="AAE251" s="80"/>
      <c r="AAF251" s="80"/>
      <c r="AAG251" s="80"/>
      <c r="AAH251" s="80"/>
      <c r="AAI251" s="80"/>
      <c r="AAJ251" s="80"/>
      <c r="AAK251" s="80"/>
      <c r="AAL251" s="80"/>
      <c r="AAM251" s="80"/>
      <c r="AAN251" s="80"/>
      <c r="AAO251" s="80"/>
      <c r="AAP251" s="80"/>
      <c r="AAQ251" s="80"/>
      <c r="AAR251" s="80"/>
      <c r="AAS251" s="80"/>
      <c r="AAT251" s="80"/>
      <c r="AAU251" s="80"/>
      <c r="AAV251" s="80"/>
      <c r="AAW251" s="80"/>
      <c r="AAX251" s="80"/>
      <c r="AAY251" s="80"/>
      <c r="AAZ251" s="80"/>
      <c r="ABA251" s="80"/>
      <c r="ABB251" s="80"/>
      <c r="ABC251" s="80"/>
      <c r="ABD251" s="80"/>
      <c r="ABE251" s="80"/>
      <c r="ABF251" s="80"/>
      <c r="ABG251" s="80"/>
      <c r="ABH251" s="80"/>
      <c r="ABI251" s="80"/>
      <c r="ABJ251" s="80"/>
      <c r="ABK251" s="80"/>
      <c r="ABL251" s="80"/>
      <c r="ABM251" s="80"/>
      <c r="ABN251" s="80"/>
      <c r="ABO251" s="80"/>
      <c r="ABP251" s="80"/>
      <c r="ABQ251" s="80"/>
      <c r="ABR251" s="80"/>
      <c r="ABS251" s="80"/>
      <c r="ABT251" s="80"/>
      <c r="ABU251" s="80"/>
      <c r="ABV251" s="80"/>
      <c r="ABW251" s="80"/>
      <c r="ABX251" s="80"/>
      <c r="ABY251" s="80"/>
      <c r="ABZ251" s="80"/>
      <c r="ACA251" s="80"/>
      <c r="ACB251" s="80"/>
      <c r="ACC251" s="80"/>
      <c r="ACD251" s="80"/>
      <c r="ACE251" s="80"/>
      <c r="ACF251" s="80"/>
      <c r="ACG251" s="80"/>
      <c r="ACH251" s="80"/>
      <c r="ACI251" s="80"/>
      <c r="ACJ251" s="80"/>
      <c r="ACK251" s="80"/>
      <c r="ACL251" s="80"/>
      <c r="ACM251" s="80"/>
      <c r="ACN251" s="80"/>
      <c r="ACO251" s="80"/>
      <c r="ACP251" s="80"/>
      <c r="ACQ251" s="80"/>
      <c r="ACR251" s="80"/>
      <c r="ACS251" s="80"/>
      <c r="ACT251" s="80"/>
      <c r="ACU251" s="80"/>
      <c r="ACV251" s="80"/>
      <c r="ACW251" s="80"/>
      <c r="ACX251" s="80"/>
      <c r="ACY251" s="80"/>
      <c r="ACZ251" s="80"/>
      <c r="ADA251" s="80"/>
      <c r="ADB251" s="80"/>
      <c r="ADC251" s="80"/>
      <c r="ADD251" s="80"/>
      <c r="ADE251" s="80"/>
      <c r="ADF251" s="80"/>
      <c r="ADG251" s="80"/>
      <c r="ADH251" s="80"/>
      <c r="ADI251" s="80"/>
      <c r="ADJ251" s="80"/>
      <c r="ADK251" s="80"/>
      <c r="ADL251" s="80"/>
      <c r="ADM251" s="80"/>
      <c r="ADN251" s="80"/>
      <c r="ADO251" s="80"/>
      <c r="ADP251" s="80"/>
      <c r="ADQ251" s="80"/>
      <c r="ADR251" s="80"/>
      <c r="ADS251" s="80"/>
      <c r="ADT251" s="80"/>
      <c r="ADU251" s="80"/>
      <c r="ADV251" s="80"/>
      <c r="ADW251" s="80"/>
      <c r="ADX251" s="80"/>
      <c r="ADY251" s="80"/>
      <c r="ADZ251" s="80"/>
      <c r="AEA251" s="80"/>
      <c r="AEB251" s="80"/>
      <c r="AEC251" s="80"/>
      <c r="AED251" s="80"/>
      <c r="AEE251" s="80"/>
      <c r="AEF251" s="80"/>
      <c r="AEG251" s="80"/>
      <c r="AEH251" s="80"/>
      <c r="AEI251" s="80"/>
      <c r="AEJ251" s="80"/>
      <c r="AEK251" s="80"/>
      <c r="AEL251" s="80"/>
      <c r="AEM251" s="80"/>
      <c r="AEN251" s="80"/>
      <c r="AEO251" s="80"/>
      <c r="AEP251" s="80"/>
      <c r="AEQ251" s="80"/>
      <c r="AER251" s="80"/>
      <c r="AES251" s="80"/>
      <c r="AET251" s="80"/>
      <c r="AEU251" s="80"/>
      <c r="AEV251" s="80"/>
      <c r="AEW251" s="80"/>
      <c r="AEX251" s="80"/>
      <c r="AEY251" s="80"/>
      <c r="AEZ251" s="80"/>
      <c r="AFA251" s="80"/>
      <c r="AFB251" s="80"/>
      <c r="AFC251" s="80"/>
      <c r="AFD251" s="80"/>
      <c r="AFE251" s="80"/>
      <c r="AFF251" s="80"/>
      <c r="AFG251" s="80"/>
      <c r="AFH251" s="80"/>
      <c r="AFI251" s="80"/>
      <c r="AFJ251" s="80"/>
      <c r="AFK251" s="80"/>
      <c r="AFL251" s="80"/>
      <c r="AFM251" s="80"/>
      <c r="AFN251" s="80"/>
      <c r="AFO251" s="80"/>
      <c r="AFP251" s="80"/>
      <c r="AFQ251" s="80"/>
      <c r="AFR251" s="80"/>
      <c r="AFS251" s="80"/>
      <c r="AFT251" s="80"/>
      <c r="AFU251" s="80"/>
      <c r="AFV251" s="80"/>
      <c r="AFW251" s="80"/>
      <c r="AFX251" s="80"/>
      <c r="AFY251" s="80"/>
      <c r="AFZ251" s="80"/>
      <c r="AGA251" s="80"/>
      <c r="AGB251" s="80"/>
      <c r="AGC251" s="80"/>
      <c r="AGD251" s="80"/>
      <c r="AGE251" s="80"/>
      <c r="AGF251" s="80"/>
      <c r="AGG251" s="80"/>
      <c r="AGH251" s="80"/>
      <c r="AGI251" s="80"/>
      <c r="AGJ251" s="80"/>
      <c r="AGK251" s="80"/>
      <c r="AGL251" s="80"/>
      <c r="AGM251" s="80"/>
      <c r="AGN251" s="80"/>
      <c r="AGO251" s="80"/>
      <c r="AGP251" s="80"/>
      <c r="AGQ251" s="80"/>
      <c r="AGR251" s="80"/>
      <c r="AGS251" s="80"/>
      <c r="AGT251" s="80"/>
      <c r="AGU251" s="80"/>
      <c r="AGV251" s="80"/>
      <c r="AGW251" s="80"/>
      <c r="AGX251" s="80"/>
      <c r="AGY251" s="80"/>
      <c r="AGZ251" s="80"/>
      <c r="AHA251" s="80"/>
      <c r="AHB251" s="80"/>
      <c r="AHC251" s="80"/>
      <c r="AHD251" s="80"/>
      <c r="AHE251" s="80"/>
      <c r="AHF251" s="80"/>
      <c r="AHG251" s="80"/>
      <c r="AHH251" s="80"/>
      <c r="AHI251" s="80"/>
      <c r="AHJ251" s="80"/>
      <c r="AHK251" s="80"/>
      <c r="AHL251" s="80"/>
      <c r="AHM251" s="80"/>
      <c r="AHN251" s="80"/>
      <c r="AHO251" s="80"/>
      <c r="AHP251" s="80"/>
      <c r="AHQ251" s="80"/>
      <c r="AHR251" s="80"/>
      <c r="AHS251" s="80"/>
      <c r="AHT251" s="80"/>
      <c r="AHU251" s="80"/>
      <c r="AHV251" s="80"/>
      <c r="AHW251" s="80"/>
      <c r="AHX251" s="80"/>
      <c r="AHY251" s="80"/>
      <c r="AHZ251" s="80"/>
      <c r="AIA251" s="80"/>
      <c r="AIB251" s="80"/>
      <c r="AIC251" s="80"/>
      <c r="AID251" s="80"/>
      <c r="AIE251" s="80"/>
      <c r="AIF251" s="80"/>
      <c r="AIG251" s="80"/>
      <c r="AIH251" s="80"/>
      <c r="AII251" s="80"/>
      <c r="AIJ251" s="80"/>
      <c r="AIK251" s="80"/>
      <c r="AIL251" s="80"/>
      <c r="AIM251" s="80"/>
      <c r="AIN251" s="80"/>
      <c r="AIO251" s="80"/>
      <c r="AIP251" s="80"/>
      <c r="AIQ251" s="80"/>
      <c r="AIR251" s="80"/>
      <c r="AIS251" s="80"/>
      <c r="AIT251" s="80"/>
      <c r="AIU251" s="80"/>
      <c r="AIV251" s="80"/>
      <c r="AIW251" s="80"/>
      <c r="AIX251" s="80"/>
      <c r="AIY251" s="80"/>
      <c r="AIZ251" s="80"/>
      <c r="AJA251" s="80"/>
      <c r="AJB251" s="80"/>
      <c r="AJC251" s="80"/>
      <c r="AJD251" s="80"/>
      <c r="AJE251" s="80"/>
      <c r="AJF251" s="80"/>
      <c r="AJG251" s="80"/>
      <c r="AJH251" s="80"/>
      <c r="AJI251" s="80"/>
      <c r="AJJ251" s="80"/>
      <c r="AJK251" s="80"/>
      <c r="AJL251" s="80"/>
      <c r="AJM251" s="80"/>
      <c r="AJN251" s="80"/>
      <c r="AJO251" s="80"/>
      <c r="AJP251" s="80"/>
      <c r="AJQ251" s="80"/>
      <c r="AJR251" s="80"/>
      <c r="AJS251" s="80"/>
      <c r="AJT251" s="80"/>
      <c r="AJU251" s="80"/>
      <c r="AJV251" s="80"/>
      <c r="AJW251" s="80"/>
      <c r="AJX251" s="80"/>
      <c r="AJY251" s="80"/>
      <c r="AJZ251" s="80"/>
      <c r="AKA251" s="80"/>
      <c r="AKB251" s="80"/>
      <c r="AKC251" s="80"/>
      <c r="AKD251" s="80"/>
      <c r="AKE251" s="80"/>
      <c r="AKF251" s="80"/>
      <c r="AKG251" s="80"/>
      <c r="AKH251" s="80"/>
      <c r="AKI251" s="80"/>
      <c r="AKJ251" s="80"/>
      <c r="AKK251" s="80"/>
      <c r="AKL251" s="80"/>
      <c r="AKM251" s="80"/>
      <c r="AKN251" s="80"/>
      <c r="AKO251" s="80"/>
      <c r="AKP251" s="80"/>
      <c r="AKQ251" s="80"/>
      <c r="AKR251" s="80"/>
      <c r="AKS251" s="80"/>
      <c r="AKT251" s="80"/>
      <c r="AKU251" s="80"/>
      <c r="AKV251" s="80"/>
      <c r="AKW251" s="80"/>
      <c r="AKX251" s="80"/>
      <c r="AKY251" s="80"/>
      <c r="AKZ251" s="80"/>
      <c r="ALA251" s="80"/>
      <c r="ALB251" s="80"/>
      <c r="ALC251" s="80"/>
      <c r="ALD251" s="80"/>
      <c r="ALE251" s="80"/>
      <c r="ALF251" s="80"/>
      <c r="ALG251" s="80"/>
      <c r="ALH251" s="80"/>
      <c r="ALI251" s="80"/>
      <c r="ALJ251" s="80"/>
      <c r="ALK251" s="80"/>
      <c r="ALL251" s="80"/>
      <c r="ALM251" s="80"/>
      <c r="ALN251" s="80"/>
      <c r="ALO251" s="80"/>
      <c r="ALP251" s="80"/>
      <c r="ALQ251" s="80"/>
      <c r="ALR251" s="80"/>
      <c r="ALS251" s="80"/>
      <c r="ALT251" s="80"/>
      <c r="ALU251" s="80"/>
      <c r="ALV251" s="80"/>
      <c r="ALW251" s="80"/>
      <c r="ALX251" s="80"/>
      <c r="ALY251" s="80"/>
      <c r="ALZ251" s="80"/>
      <c r="AMA251" s="80"/>
      <c r="AMB251" s="80"/>
      <c r="AMC251" s="80"/>
      <c r="AMD251" s="80"/>
      <c r="AME251" s="80"/>
      <c r="AMF251" s="80"/>
      <c r="AMG251" s="80"/>
      <c r="AMH251" s="80"/>
      <c r="AMI251" s="80"/>
      <c r="AMJ251" s="80"/>
      <c r="AMK251" s="80"/>
      <c r="AML251" s="80"/>
      <c r="AMM251" s="80"/>
      <c r="AMN251" s="80"/>
      <c r="AMO251" s="80"/>
      <c r="AMP251" s="80"/>
      <c r="AMQ251" s="80"/>
      <c r="AMR251" s="80"/>
      <c r="AMS251" s="80"/>
      <c r="AMT251" s="80"/>
      <c r="AMU251" s="80"/>
      <c r="AMV251" s="80"/>
      <c r="AMW251" s="80"/>
      <c r="AMX251" s="80"/>
      <c r="AMY251" s="80"/>
      <c r="AMZ251" s="80"/>
      <c r="ANA251" s="80"/>
      <c r="ANB251" s="80"/>
      <c r="ANC251" s="80"/>
      <c r="AND251" s="80"/>
      <c r="ANE251" s="80"/>
      <c r="ANF251" s="80"/>
      <c r="ANG251" s="80"/>
      <c r="ANH251" s="80"/>
      <c r="ANI251" s="80"/>
      <c r="ANJ251" s="80"/>
      <c r="ANK251" s="80"/>
      <c r="ANL251" s="80"/>
      <c r="ANM251" s="80"/>
      <c r="ANN251" s="80"/>
      <c r="ANO251" s="80"/>
      <c r="ANP251" s="80"/>
      <c r="ANQ251" s="80"/>
      <c r="ANR251" s="80"/>
      <c r="ANS251" s="80"/>
      <c r="ANT251" s="80"/>
      <c r="ANU251" s="80"/>
      <c r="ANV251" s="80"/>
      <c r="ANW251" s="80"/>
      <c r="ANX251" s="80"/>
      <c r="ANY251" s="80"/>
      <c r="ANZ251" s="80"/>
      <c r="AOA251" s="80"/>
      <c r="AOB251" s="80"/>
      <c r="AOC251" s="80"/>
      <c r="AOD251" s="80"/>
      <c r="AOE251" s="80"/>
      <c r="AOF251" s="80"/>
      <c r="AOG251" s="80"/>
      <c r="AOH251" s="80"/>
      <c r="AOI251" s="80"/>
      <c r="AOJ251" s="80"/>
      <c r="AOK251" s="80"/>
      <c r="AOL251" s="80"/>
      <c r="AOM251" s="80"/>
      <c r="AON251" s="80"/>
      <c r="AOO251" s="80"/>
      <c r="AOP251" s="80"/>
      <c r="AOQ251" s="80"/>
      <c r="AOR251" s="80"/>
      <c r="AOS251" s="80"/>
      <c r="AOT251" s="80"/>
      <c r="AOU251" s="80"/>
      <c r="AOV251" s="80"/>
      <c r="AOW251" s="80"/>
      <c r="AOX251" s="80"/>
      <c r="AOY251" s="80"/>
      <c r="AOZ251" s="80"/>
      <c r="APA251" s="80"/>
      <c r="APB251" s="80"/>
      <c r="APC251" s="80"/>
      <c r="APD251" s="80"/>
      <c r="APE251" s="80"/>
      <c r="APF251" s="80"/>
      <c r="APG251" s="80"/>
      <c r="APH251" s="80"/>
      <c r="API251" s="80"/>
      <c r="APJ251" s="80"/>
      <c r="APK251" s="80"/>
      <c r="APL251" s="80"/>
      <c r="APM251" s="80"/>
      <c r="APN251" s="80"/>
      <c r="APO251" s="80"/>
      <c r="APP251" s="80"/>
      <c r="APQ251" s="80"/>
      <c r="APR251" s="80"/>
      <c r="APS251" s="80"/>
      <c r="APT251" s="80"/>
      <c r="APU251" s="80"/>
      <c r="APV251" s="80"/>
      <c r="APW251" s="80"/>
      <c r="APX251" s="80"/>
      <c r="APY251" s="80"/>
      <c r="APZ251" s="80"/>
      <c r="AQA251" s="80"/>
      <c r="AQB251" s="80"/>
      <c r="AQC251" s="80"/>
      <c r="AQD251" s="80"/>
      <c r="AQE251" s="80"/>
      <c r="AQF251" s="80"/>
      <c r="AQG251" s="80"/>
      <c r="AQH251" s="80"/>
      <c r="AQI251" s="80"/>
      <c r="AQJ251" s="80"/>
      <c r="AQK251" s="80"/>
      <c r="AQL251" s="80"/>
      <c r="AQM251" s="80"/>
      <c r="AQN251" s="80"/>
      <c r="AQO251" s="80"/>
      <c r="AQP251" s="80"/>
      <c r="AQQ251" s="80"/>
      <c r="AQR251" s="80"/>
      <c r="AQS251" s="80"/>
      <c r="AQT251" s="80"/>
      <c r="AQU251" s="80"/>
      <c r="AQV251" s="80"/>
      <c r="AQW251" s="80"/>
      <c r="AQX251" s="80"/>
      <c r="AQY251" s="80"/>
      <c r="AQZ251" s="80"/>
      <c r="ARA251" s="80"/>
      <c r="ARB251" s="80"/>
      <c r="ARC251" s="80"/>
      <c r="ARD251" s="80"/>
      <c r="ARE251" s="80"/>
      <c r="ARF251" s="80"/>
      <c r="ARG251" s="80"/>
      <c r="ARH251" s="80"/>
      <c r="ARI251" s="80"/>
      <c r="ARJ251" s="80"/>
      <c r="ARK251" s="80"/>
      <c r="ARL251" s="80"/>
      <c r="ARM251" s="80"/>
      <c r="ARN251" s="80"/>
      <c r="ARO251" s="80"/>
      <c r="ARP251" s="80"/>
      <c r="ARQ251" s="80"/>
      <c r="ARR251" s="80"/>
      <c r="ARS251" s="80"/>
      <c r="ART251" s="80"/>
      <c r="ARU251" s="80"/>
      <c r="ARV251" s="80"/>
      <c r="ARW251" s="80"/>
      <c r="ARX251" s="80"/>
      <c r="ARY251" s="80"/>
      <c r="ARZ251" s="80"/>
      <c r="ASA251" s="80"/>
      <c r="ASB251" s="80"/>
      <c r="ASC251" s="80"/>
      <c r="ASD251" s="80"/>
      <c r="ASE251" s="80"/>
      <c r="ASF251" s="80"/>
      <c r="ASG251" s="80"/>
      <c r="ASH251" s="80"/>
      <c r="ASI251" s="80"/>
      <c r="ASJ251" s="80"/>
      <c r="ASK251" s="80"/>
      <c r="ASL251" s="80"/>
      <c r="ASM251" s="80"/>
      <c r="ASN251" s="80"/>
      <c r="ASO251" s="80"/>
      <c r="ASP251" s="80"/>
      <c r="ASQ251" s="80"/>
      <c r="ASR251" s="80"/>
      <c r="ASS251" s="80"/>
      <c r="AST251" s="80"/>
      <c r="ASU251" s="80"/>
      <c r="ASV251" s="80"/>
      <c r="ASW251" s="80"/>
      <c r="ASX251" s="80"/>
      <c r="ASY251" s="80"/>
      <c r="ASZ251" s="80"/>
      <c r="ATA251" s="80"/>
      <c r="ATB251" s="80"/>
      <c r="ATC251" s="80"/>
      <c r="ATD251" s="80"/>
      <c r="ATE251" s="80"/>
      <c r="ATF251" s="80"/>
      <c r="ATG251" s="80"/>
      <c r="ATH251" s="80"/>
      <c r="ATI251" s="80"/>
      <c r="ATJ251" s="80"/>
      <c r="ATK251" s="80"/>
      <c r="ATL251" s="80"/>
      <c r="ATM251" s="80"/>
      <c r="ATN251" s="80"/>
      <c r="ATO251" s="80"/>
      <c r="ATP251" s="80"/>
      <c r="ATQ251" s="80"/>
      <c r="ATR251" s="80"/>
      <c r="ATS251" s="80"/>
      <c r="ATT251" s="80"/>
      <c r="ATU251" s="80"/>
      <c r="ATV251" s="80"/>
      <c r="ATW251" s="80"/>
      <c r="ATX251" s="80"/>
      <c r="ATY251" s="80"/>
      <c r="ATZ251" s="80"/>
      <c r="AUA251" s="80"/>
      <c r="AUB251" s="80"/>
      <c r="AUC251" s="80"/>
      <c r="AUD251" s="80"/>
      <c r="AUE251" s="80"/>
      <c r="AUF251" s="80"/>
      <c r="AUG251" s="80"/>
      <c r="AUH251" s="80"/>
      <c r="AUI251" s="80"/>
      <c r="AUJ251" s="80"/>
      <c r="AUK251" s="80"/>
      <c r="AUL251" s="80"/>
      <c r="AUM251" s="80"/>
      <c r="AUN251" s="80"/>
      <c r="AUO251" s="80"/>
      <c r="AUP251" s="80"/>
      <c r="AUQ251" s="80"/>
      <c r="AUR251" s="80"/>
      <c r="AUS251" s="80"/>
      <c r="AUT251" s="80"/>
      <c r="AUU251" s="80"/>
      <c r="AUV251" s="80"/>
      <c r="AUW251" s="80"/>
      <c r="AUX251" s="80"/>
      <c r="AUY251" s="80"/>
      <c r="AUZ251" s="80"/>
      <c r="AVA251" s="80"/>
      <c r="AVB251" s="80"/>
      <c r="AVC251" s="80"/>
      <c r="AVD251" s="80"/>
      <c r="AVE251" s="80"/>
      <c r="AVF251" s="80"/>
      <c r="AVG251" s="80"/>
      <c r="AVH251" s="80"/>
      <c r="AVI251" s="80"/>
      <c r="AVJ251" s="80"/>
      <c r="AVK251" s="80"/>
      <c r="AVL251" s="80"/>
      <c r="AVM251" s="80"/>
      <c r="AVN251" s="80"/>
      <c r="AVO251" s="80"/>
      <c r="AVP251" s="80"/>
      <c r="AVQ251" s="80"/>
      <c r="AVR251" s="80"/>
      <c r="AVS251" s="80"/>
      <c r="AVT251" s="80"/>
      <c r="AVU251" s="80"/>
      <c r="AVV251" s="80"/>
      <c r="AVW251" s="80"/>
      <c r="AVX251" s="80"/>
      <c r="AVY251" s="80"/>
      <c r="AVZ251" s="80"/>
      <c r="AWA251" s="80"/>
      <c r="AWB251" s="80"/>
      <c r="AWC251" s="80"/>
      <c r="AWD251" s="80"/>
      <c r="AWE251" s="80"/>
      <c r="AWF251" s="80"/>
      <c r="AWG251" s="80"/>
      <c r="AWH251" s="80"/>
      <c r="AWI251" s="80"/>
      <c r="AWJ251" s="80"/>
      <c r="AWK251" s="80"/>
      <c r="AWL251" s="80"/>
      <c r="AWM251" s="80"/>
      <c r="AWN251" s="80"/>
      <c r="AWO251" s="80"/>
      <c r="AWP251" s="80"/>
      <c r="AWQ251" s="80"/>
      <c r="AWR251" s="80"/>
      <c r="AWS251" s="80"/>
      <c r="AWT251" s="80"/>
      <c r="AWU251" s="80"/>
      <c r="AWV251" s="80"/>
      <c r="AWW251" s="80"/>
      <c r="AWX251" s="80"/>
      <c r="AWY251" s="80"/>
      <c r="AWZ251" s="80"/>
      <c r="AXA251" s="80"/>
      <c r="AXB251" s="80"/>
      <c r="AXC251" s="80"/>
      <c r="AXD251" s="80"/>
      <c r="AXE251" s="80"/>
      <c r="AXF251" s="80"/>
      <c r="AXG251" s="80"/>
      <c r="AXH251" s="80"/>
      <c r="AXI251" s="80"/>
      <c r="AXJ251" s="80"/>
      <c r="AXK251" s="80"/>
      <c r="AXL251" s="80"/>
      <c r="AXM251" s="80"/>
      <c r="AXN251" s="80"/>
      <c r="AXO251" s="80"/>
      <c r="AXP251" s="80"/>
      <c r="AXQ251" s="80"/>
      <c r="AXR251" s="80"/>
      <c r="AXS251" s="80"/>
      <c r="AXT251" s="80"/>
      <c r="AXU251" s="80"/>
      <c r="AXV251" s="80"/>
      <c r="AXW251" s="80"/>
      <c r="AXX251" s="80"/>
      <c r="AXY251" s="80"/>
      <c r="AXZ251" s="80"/>
      <c r="AYA251" s="80"/>
      <c r="AYB251" s="80"/>
      <c r="AYC251" s="80"/>
      <c r="AYD251" s="80"/>
      <c r="AYE251" s="80"/>
      <c r="AYF251" s="80"/>
      <c r="AYG251" s="80"/>
      <c r="AYH251" s="80"/>
      <c r="AYI251" s="80"/>
      <c r="AYJ251" s="80"/>
      <c r="AYK251" s="80"/>
      <c r="AYL251" s="80"/>
      <c r="AYM251" s="80"/>
      <c r="AYN251" s="80"/>
      <c r="AYO251" s="80"/>
      <c r="AYP251" s="80"/>
      <c r="AYQ251" s="80"/>
      <c r="AYR251" s="80"/>
      <c r="AYS251" s="80"/>
      <c r="AYT251" s="80"/>
      <c r="AYU251" s="80"/>
      <c r="AYV251" s="80"/>
      <c r="AYW251" s="80"/>
      <c r="AYX251" s="80"/>
      <c r="AYY251" s="80"/>
      <c r="AYZ251" s="80"/>
      <c r="AZA251" s="80"/>
      <c r="AZB251" s="80"/>
      <c r="AZC251" s="80"/>
      <c r="AZD251" s="80"/>
      <c r="AZE251" s="80"/>
      <c r="AZF251" s="80"/>
      <c r="AZG251" s="80"/>
      <c r="AZH251" s="80"/>
      <c r="AZI251" s="80"/>
      <c r="AZJ251" s="80"/>
      <c r="AZK251" s="80"/>
      <c r="AZL251" s="80"/>
      <c r="AZM251" s="80"/>
      <c r="AZN251" s="80"/>
      <c r="AZO251" s="80"/>
      <c r="AZP251" s="80"/>
      <c r="AZQ251" s="80"/>
      <c r="AZR251" s="80"/>
      <c r="AZS251" s="80"/>
      <c r="AZT251" s="80"/>
      <c r="AZU251" s="80"/>
      <c r="AZV251" s="80"/>
      <c r="AZW251" s="80"/>
      <c r="AZX251" s="80"/>
      <c r="AZY251" s="80"/>
      <c r="AZZ251" s="80"/>
      <c r="BAA251" s="80"/>
      <c r="BAB251" s="80"/>
      <c r="BAC251" s="80"/>
      <c r="BAD251" s="80"/>
      <c r="BAE251" s="80"/>
      <c r="BAF251" s="80"/>
      <c r="BAG251" s="80"/>
      <c r="BAH251" s="80"/>
      <c r="BAI251" s="80"/>
      <c r="BAJ251" s="80"/>
      <c r="BAK251" s="80"/>
      <c r="BAL251" s="80"/>
      <c r="BAM251" s="80"/>
      <c r="BAN251" s="80"/>
      <c r="BAO251" s="80"/>
      <c r="BAP251" s="80"/>
      <c r="BAQ251" s="80"/>
      <c r="BAR251" s="80"/>
      <c r="BAS251" s="80"/>
      <c r="BAT251" s="80"/>
      <c r="BAU251" s="80"/>
      <c r="BAV251" s="80"/>
      <c r="BAW251" s="80"/>
      <c r="BAX251" s="80"/>
      <c r="BAY251" s="80"/>
      <c r="BAZ251" s="80"/>
      <c r="BBA251" s="80"/>
      <c r="BBB251" s="80"/>
      <c r="BBC251" s="80"/>
      <c r="BBD251" s="80"/>
      <c r="BBE251" s="80"/>
      <c r="BBF251" s="80"/>
      <c r="BBG251" s="80"/>
      <c r="BBH251" s="80"/>
      <c r="BBI251" s="80"/>
      <c r="BBJ251" s="80"/>
      <c r="BBK251" s="80"/>
      <c r="BBL251" s="80"/>
      <c r="BBM251" s="80"/>
      <c r="BBN251" s="80"/>
      <c r="BBO251" s="80"/>
      <c r="BBP251" s="80"/>
      <c r="BBQ251" s="80"/>
      <c r="BBR251" s="80"/>
      <c r="BBS251" s="80"/>
      <c r="BBT251" s="80"/>
      <c r="BBU251" s="80"/>
      <c r="BBV251" s="80"/>
      <c r="BBW251" s="80"/>
      <c r="BBX251" s="80"/>
      <c r="BBY251" s="80"/>
      <c r="BBZ251" s="80"/>
      <c r="BCA251" s="80"/>
      <c r="BCB251" s="80"/>
      <c r="BCC251" s="80"/>
      <c r="BCD251" s="80"/>
      <c r="BCE251" s="80"/>
      <c r="BCF251" s="80"/>
      <c r="BCG251" s="80"/>
      <c r="BCH251" s="80"/>
      <c r="BCI251" s="80"/>
      <c r="BCJ251" s="80"/>
      <c r="BCK251" s="80"/>
      <c r="BCL251" s="80"/>
      <c r="BCM251" s="80"/>
      <c r="BCN251" s="80"/>
      <c r="BCO251" s="80"/>
      <c r="BCP251" s="80"/>
      <c r="BCQ251" s="80"/>
      <c r="BCR251" s="80"/>
      <c r="BCS251" s="80"/>
      <c r="BCT251" s="80"/>
      <c r="BCU251" s="80"/>
      <c r="BCV251" s="80"/>
      <c r="BCW251" s="80"/>
      <c r="BCX251" s="80"/>
      <c r="BCY251" s="80"/>
      <c r="BCZ251" s="80"/>
      <c r="BDA251" s="80"/>
      <c r="BDB251" s="80"/>
      <c r="BDC251" s="80"/>
      <c r="BDD251" s="80"/>
      <c r="BDE251" s="80"/>
      <c r="BDF251" s="80"/>
      <c r="BDG251" s="80"/>
      <c r="BDH251" s="80"/>
      <c r="BDI251" s="80"/>
      <c r="BDJ251" s="80"/>
      <c r="BDK251" s="80"/>
      <c r="BDL251" s="80"/>
      <c r="BDM251" s="80"/>
      <c r="BDN251" s="80"/>
      <c r="BDO251" s="80"/>
      <c r="BDP251" s="80"/>
      <c r="BDQ251" s="80"/>
      <c r="BDR251" s="80"/>
      <c r="BDS251" s="80"/>
      <c r="BDT251" s="80"/>
      <c r="BDU251" s="80"/>
      <c r="BDV251" s="80"/>
      <c r="BDW251" s="80"/>
      <c r="BDX251" s="80"/>
      <c r="BDY251" s="80"/>
      <c r="BDZ251" s="80"/>
      <c r="BEA251" s="80"/>
      <c r="BEB251" s="80"/>
      <c r="BEC251" s="80"/>
      <c r="BED251" s="80"/>
      <c r="BEE251" s="80"/>
      <c r="BEF251" s="80"/>
      <c r="BEG251" s="80"/>
      <c r="BEH251" s="80"/>
      <c r="BEI251" s="80"/>
      <c r="BEJ251" s="80"/>
      <c r="BEK251" s="80"/>
      <c r="BEL251" s="80"/>
      <c r="BEM251" s="80"/>
      <c r="BEN251" s="80"/>
      <c r="BEO251" s="80"/>
      <c r="BEP251" s="80"/>
      <c r="BEQ251" s="80"/>
      <c r="BER251" s="80"/>
      <c r="BES251" s="80"/>
      <c r="BET251" s="80"/>
      <c r="BEU251" s="80"/>
      <c r="BEV251" s="80"/>
      <c r="BEW251" s="80"/>
      <c r="BEX251" s="80"/>
      <c r="BEY251" s="80"/>
      <c r="BEZ251" s="80"/>
      <c r="BFA251" s="80"/>
      <c r="BFB251" s="80"/>
      <c r="BFC251" s="80"/>
      <c r="BFD251" s="80"/>
      <c r="BFE251" s="80"/>
      <c r="BFF251" s="80"/>
      <c r="BFG251" s="80"/>
      <c r="BFH251" s="80"/>
      <c r="BFI251" s="80"/>
      <c r="BFJ251" s="80"/>
      <c r="BFK251" s="80"/>
      <c r="BFL251" s="80"/>
      <c r="BFM251" s="80"/>
      <c r="BFN251" s="80"/>
      <c r="BFO251" s="80"/>
      <c r="BFP251" s="80"/>
      <c r="BFQ251" s="80"/>
      <c r="BFR251" s="80"/>
      <c r="BFS251" s="80"/>
      <c r="BFT251" s="80"/>
      <c r="BFU251" s="80"/>
      <c r="BFV251" s="80"/>
      <c r="BFW251" s="80"/>
      <c r="BFX251" s="80"/>
      <c r="BFY251" s="80"/>
      <c r="BFZ251" s="80"/>
      <c r="BGA251" s="80"/>
      <c r="BGB251" s="80"/>
      <c r="BGC251" s="80"/>
      <c r="BGD251" s="80"/>
      <c r="BGE251" s="80"/>
      <c r="BGF251" s="80"/>
      <c r="BGG251" s="80"/>
      <c r="BGH251" s="80"/>
      <c r="BGI251" s="80"/>
      <c r="BGJ251" s="80"/>
      <c r="BGK251" s="80"/>
      <c r="BGL251" s="80"/>
      <c r="BGM251" s="80"/>
      <c r="BGN251" s="80"/>
      <c r="BGO251" s="80"/>
      <c r="BGP251" s="80"/>
      <c r="BGQ251" s="80"/>
      <c r="BGR251" s="80"/>
      <c r="BGS251" s="80"/>
      <c r="BGT251" s="80"/>
      <c r="BGU251" s="80"/>
      <c r="BGV251" s="80"/>
      <c r="BGW251" s="80"/>
      <c r="BGX251" s="80"/>
      <c r="BGY251" s="80"/>
      <c r="BGZ251" s="80"/>
      <c r="BHA251" s="80"/>
      <c r="BHB251" s="80"/>
      <c r="BHC251" s="80"/>
      <c r="BHD251" s="80"/>
      <c r="BHE251" s="80"/>
      <c r="BHF251" s="80"/>
      <c r="BHG251" s="80"/>
      <c r="BHH251" s="80"/>
      <c r="BHI251" s="80"/>
      <c r="BHJ251" s="80"/>
      <c r="BHK251" s="80"/>
      <c r="BHL251" s="80"/>
      <c r="BHM251" s="80"/>
      <c r="BHN251" s="80"/>
      <c r="BHO251" s="80"/>
      <c r="BHP251" s="80"/>
      <c r="BHQ251" s="80"/>
      <c r="BHR251" s="80"/>
      <c r="BHS251" s="80"/>
      <c r="BHT251" s="80"/>
      <c r="BHU251" s="80"/>
      <c r="BHV251" s="80"/>
      <c r="BHW251" s="80"/>
      <c r="BHX251" s="80"/>
      <c r="BHY251" s="80"/>
      <c r="BHZ251" s="80"/>
      <c r="BIA251" s="80"/>
      <c r="BIB251" s="80"/>
      <c r="BIC251" s="80"/>
      <c r="BID251" s="80"/>
      <c r="BIE251" s="80"/>
      <c r="BIF251" s="80"/>
      <c r="BIG251" s="80"/>
      <c r="BIH251" s="80"/>
      <c r="BII251" s="80"/>
      <c r="BIJ251" s="80"/>
      <c r="BIK251" s="80"/>
      <c r="BIL251" s="80"/>
      <c r="BIM251" s="80"/>
      <c r="BIN251" s="80"/>
      <c r="BIO251" s="80"/>
      <c r="BIP251" s="80"/>
      <c r="BIQ251" s="80"/>
      <c r="BIR251" s="80"/>
      <c r="BIS251" s="80"/>
      <c r="BIT251" s="80"/>
      <c r="BIU251" s="80"/>
      <c r="BIV251" s="80"/>
      <c r="BIW251" s="80"/>
      <c r="BIX251" s="80"/>
      <c r="BIY251" s="80"/>
      <c r="BIZ251" s="80"/>
      <c r="BJA251" s="80"/>
      <c r="BJB251" s="80"/>
      <c r="BJC251" s="80"/>
      <c r="BJD251" s="80"/>
      <c r="BJE251" s="80"/>
      <c r="BJF251" s="80"/>
      <c r="BJG251" s="80"/>
      <c r="BJH251" s="80"/>
      <c r="BJI251" s="80"/>
      <c r="BJJ251" s="80"/>
      <c r="BJK251" s="80"/>
      <c r="BJL251" s="80"/>
      <c r="BJM251" s="80"/>
      <c r="BJN251" s="80"/>
      <c r="BJO251" s="80"/>
      <c r="BJP251" s="80"/>
      <c r="BJQ251" s="80"/>
      <c r="BJR251" s="80"/>
      <c r="BJS251" s="80"/>
      <c r="BJT251" s="80"/>
      <c r="BJU251" s="80"/>
      <c r="BJV251" s="80"/>
      <c r="BJW251" s="80"/>
      <c r="BJX251" s="80"/>
      <c r="BJY251" s="80"/>
      <c r="BJZ251" s="80"/>
      <c r="BKA251" s="80"/>
      <c r="BKB251" s="80"/>
      <c r="BKC251" s="80"/>
      <c r="BKD251" s="80"/>
      <c r="BKE251" s="80"/>
      <c r="BKF251" s="80"/>
      <c r="BKG251" s="80"/>
      <c r="BKH251" s="80"/>
      <c r="BKI251" s="80"/>
      <c r="BKJ251" s="80"/>
      <c r="BKK251" s="80"/>
      <c r="BKL251" s="80"/>
      <c r="BKM251" s="80"/>
      <c r="BKN251" s="80"/>
      <c r="BKO251" s="80"/>
      <c r="BKP251" s="80"/>
      <c r="BKQ251" s="80"/>
      <c r="BKR251" s="80"/>
      <c r="BKS251" s="80"/>
      <c r="BKT251" s="80"/>
      <c r="BKU251" s="80"/>
      <c r="BKV251" s="80"/>
      <c r="BKW251" s="80"/>
      <c r="BKX251" s="80"/>
      <c r="BKY251" s="80"/>
      <c r="BKZ251" s="80"/>
      <c r="BLA251" s="80"/>
      <c r="BLB251" s="80"/>
      <c r="BLC251" s="80"/>
      <c r="BLD251" s="80"/>
      <c r="BLE251" s="80"/>
      <c r="BLF251" s="80"/>
      <c r="BLG251" s="80"/>
      <c r="BLH251" s="80"/>
      <c r="BLI251" s="80"/>
      <c r="BLJ251" s="80"/>
      <c r="BLK251" s="80"/>
      <c r="BLL251" s="80"/>
      <c r="BLM251" s="80"/>
      <c r="BLN251" s="80"/>
      <c r="BLO251" s="80"/>
      <c r="BLP251" s="80"/>
      <c r="BLQ251" s="80"/>
      <c r="BLR251" s="80"/>
      <c r="BLS251" s="80"/>
      <c r="BLT251" s="80"/>
      <c r="BLU251" s="80"/>
      <c r="BLV251" s="80"/>
      <c r="BLW251" s="80"/>
      <c r="BLX251" s="80"/>
      <c r="BLY251" s="80"/>
      <c r="BLZ251" s="80"/>
      <c r="BMA251" s="80"/>
      <c r="BMB251" s="80"/>
      <c r="BMC251" s="80"/>
      <c r="BMD251" s="80"/>
      <c r="BME251" s="80"/>
      <c r="BMF251" s="80"/>
      <c r="BMG251" s="80"/>
      <c r="BMH251" s="80"/>
      <c r="BMI251" s="80"/>
      <c r="BMJ251" s="80"/>
      <c r="BMK251" s="80"/>
      <c r="BML251" s="80"/>
      <c r="BMM251" s="80"/>
      <c r="BMN251" s="80"/>
      <c r="BMO251" s="80"/>
      <c r="BMP251" s="80"/>
      <c r="BMQ251" s="80"/>
      <c r="BMR251" s="80"/>
      <c r="BMS251" s="80"/>
      <c r="BMT251" s="80"/>
      <c r="BMU251" s="80"/>
      <c r="BMV251" s="80"/>
      <c r="BMW251" s="80"/>
      <c r="BMX251" s="80"/>
      <c r="BMY251" s="80"/>
      <c r="BMZ251" s="80"/>
      <c r="BNA251" s="80"/>
      <c r="BNB251" s="80"/>
      <c r="BNC251" s="80"/>
      <c r="BND251" s="80"/>
      <c r="BNE251" s="80"/>
      <c r="BNF251" s="80"/>
      <c r="BNG251" s="80"/>
      <c r="BNH251" s="80"/>
      <c r="BNI251" s="80"/>
      <c r="BNJ251" s="80"/>
      <c r="BNK251" s="80"/>
      <c r="BNL251" s="80"/>
      <c r="BNM251" s="80"/>
      <c r="BNN251" s="80"/>
      <c r="BNO251" s="80"/>
      <c r="BNP251" s="80"/>
      <c r="BNQ251" s="80"/>
      <c r="BNR251" s="80"/>
      <c r="BNS251" s="80"/>
      <c r="BNT251" s="80"/>
      <c r="BNU251" s="80"/>
      <c r="BNV251" s="80"/>
      <c r="BNW251" s="80"/>
      <c r="BNX251" s="80"/>
      <c r="BNY251" s="80"/>
      <c r="BNZ251" s="80"/>
      <c r="BOA251" s="80"/>
      <c r="BOB251" s="80"/>
      <c r="BOC251" s="80"/>
      <c r="BOD251" s="80"/>
      <c r="BOE251" s="80"/>
      <c r="BOF251" s="80"/>
      <c r="BOG251" s="80"/>
      <c r="BOH251" s="80"/>
      <c r="BOI251" s="80"/>
      <c r="BOJ251" s="80"/>
      <c r="BOK251" s="80"/>
      <c r="BOL251" s="80"/>
      <c r="BOM251" s="80"/>
      <c r="BON251" s="80"/>
      <c r="BOO251" s="80"/>
      <c r="BOP251" s="80"/>
      <c r="BOQ251" s="80"/>
      <c r="BOR251" s="80"/>
      <c r="BOS251" s="80"/>
      <c r="BOT251" s="80"/>
      <c r="BOU251" s="80"/>
      <c r="BOV251" s="80"/>
      <c r="BOW251" s="80"/>
      <c r="BOX251" s="80"/>
      <c r="BOY251" s="80"/>
      <c r="BOZ251" s="80"/>
      <c r="BPA251" s="80"/>
      <c r="BPB251" s="80"/>
      <c r="BPC251" s="80"/>
      <c r="BPD251" s="80"/>
      <c r="BPE251" s="80"/>
      <c r="BPF251" s="80"/>
      <c r="BPG251" s="80"/>
      <c r="BPH251" s="80"/>
      <c r="BPI251" s="80"/>
      <c r="BPJ251" s="80"/>
      <c r="BPK251" s="80"/>
      <c r="BPL251" s="80"/>
      <c r="BPM251" s="80"/>
      <c r="BPN251" s="80"/>
      <c r="BPO251" s="80"/>
      <c r="BPP251" s="80"/>
      <c r="BPQ251" s="80"/>
      <c r="BPR251" s="80"/>
      <c r="BPS251" s="80"/>
      <c r="BPT251" s="80"/>
      <c r="BPU251" s="80"/>
      <c r="BPV251" s="80"/>
      <c r="BPW251" s="80"/>
      <c r="BPX251" s="80"/>
      <c r="BPY251" s="80"/>
      <c r="BPZ251" s="80"/>
      <c r="BQA251" s="80"/>
      <c r="BQB251" s="80"/>
      <c r="BQC251" s="80"/>
      <c r="BQD251" s="80"/>
      <c r="BQE251" s="80"/>
      <c r="BQF251" s="80"/>
      <c r="BQG251" s="80"/>
      <c r="BQH251" s="80"/>
      <c r="BQI251" s="80"/>
      <c r="BQJ251" s="80"/>
      <c r="BQK251" s="80"/>
      <c r="BQL251" s="80"/>
      <c r="BQM251" s="80"/>
      <c r="BQN251" s="80"/>
      <c r="BQO251" s="80"/>
      <c r="BQP251" s="80"/>
      <c r="BQQ251" s="80"/>
      <c r="BQR251" s="80"/>
      <c r="BQS251" s="80"/>
      <c r="BQT251" s="80"/>
      <c r="BQU251" s="80"/>
      <c r="BQV251" s="80"/>
      <c r="BQW251" s="80"/>
      <c r="BQX251" s="80"/>
      <c r="BQY251" s="80"/>
      <c r="BQZ251" s="80"/>
      <c r="BRA251" s="80"/>
      <c r="BRB251" s="80"/>
      <c r="BRC251" s="80"/>
      <c r="BRD251" s="80"/>
      <c r="BRE251" s="80"/>
      <c r="BRF251" s="80"/>
      <c r="BRG251" s="80"/>
      <c r="BRH251" s="80"/>
      <c r="BRI251" s="80"/>
      <c r="BRJ251" s="80"/>
      <c r="BRK251" s="80"/>
      <c r="BRL251" s="80"/>
      <c r="BRM251" s="80"/>
      <c r="BRN251" s="80"/>
      <c r="BRO251" s="80"/>
      <c r="BRP251" s="80"/>
      <c r="BRQ251" s="80"/>
      <c r="BRR251" s="80"/>
      <c r="BRS251" s="80"/>
      <c r="BRT251" s="80"/>
      <c r="BRU251" s="80"/>
      <c r="BRV251" s="80"/>
      <c r="BRW251" s="80"/>
      <c r="BRX251" s="80"/>
      <c r="BRY251" s="80"/>
      <c r="BRZ251" s="80"/>
      <c r="BSA251" s="80"/>
      <c r="BSB251" s="80"/>
      <c r="BSC251" s="80"/>
      <c r="BSD251" s="80"/>
      <c r="BSE251" s="80"/>
      <c r="BSF251" s="80"/>
      <c r="BSG251" s="80"/>
      <c r="BSH251" s="80"/>
      <c r="BSI251" s="80"/>
      <c r="BSJ251" s="80"/>
      <c r="BSK251" s="80"/>
      <c r="BSL251" s="80"/>
      <c r="BSM251" s="80"/>
      <c r="BSN251" s="80"/>
      <c r="BSO251" s="80"/>
      <c r="BSP251" s="80"/>
      <c r="BSQ251" s="80"/>
      <c r="BSR251" s="80"/>
      <c r="BSS251" s="80"/>
      <c r="BST251" s="80"/>
      <c r="BSU251" s="80"/>
      <c r="BSV251" s="80"/>
      <c r="BSW251" s="80"/>
      <c r="BSX251" s="80"/>
      <c r="BSY251" s="80"/>
      <c r="BSZ251" s="80"/>
      <c r="BTA251" s="80"/>
      <c r="BTB251" s="80"/>
      <c r="BTC251" s="80"/>
      <c r="BTD251" s="80"/>
      <c r="BTE251" s="80"/>
      <c r="BTF251" s="80"/>
      <c r="BTG251" s="80"/>
      <c r="BTH251" s="80"/>
      <c r="BTI251" s="80"/>
      <c r="BTJ251" s="80"/>
      <c r="BTK251" s="80"/>
      <c r="BTL251" s="80"/>
      <c r="BTM251" s="80"/>
      <c r="BTN251" s="80"/>
      <c r="BTO251" s="80"/>
      <c r="BTP251" s="80"/>
      <c r="BTQ251" s="80"/>
      <c r="BTR251" s="80"/>
      <c r="BTS251" s="80"/>
      <c r="BTT251" s="80"/>
      <c r="BTU251" s="80"/>
      <c r="BTV251" s="80"/>
      <c r="BTW251" s="80"/>
      <c r="BTX251" s="80"/>
      <c r="BTY251" s="80"/>
      <c r="BTZ251" s="80"/>
      <c r="BUA251" s="80"/>
      <c r="BUB251" s="80"/>
      <c r="BUC251" s="80"/>
      <c r="BUD251" s="80"/>
      <c r="BUE251" s="80"/>
      <c r="BUF251" s="80"/>
      <c r="BUG251" s="80"/>
      <c r="BUH251" s="80"/>
      <c r="BUI251" s="80"/>
      <c r="BUJ251" s="80"/>
      <c r="BUK251" s="80"/>
      <c r="BUL251" s="80"/>
      <c r="BUM251" s="80"/>
      <c r="BUN251" s="80"/>
      <c r="BUO251" s="80"/>
      <c r="BUP251" s="80"/>
      <c r="BUQ251" s="80"/>
      <c r="BUR251" s="80"/>
      <c r="BUS251" s="80"/>
      <c r="BUT251" s="80"/>
      <c r="BUU251" s="80"/>
      <c r="BUV251" s="80"/>
      <c r="BUW251" s="80"/>
      <c r="BUX251" s="80"/>
      <c r="BUY251" s="80"/>
      <c r="BUZ251" s="80"/>
      <c r="BVA251" s="80"/>
      <c r="BVB251" s="80"/>
      <c r="BVC251" s="80"/>
      <c r="BVD251" s="80"/>
      <c r="BVE251" s="80"/>
      <c r="BVF251" s="80"/>
      <c r="BVG251" s="80"/>
      <c r="BVH251" s="80"/>
      <c r="BVI251" s="80"/>
      <c r="BVJ251" s="80"/>
      <c r="BVK251" s="80"/>
      <c r="BVL251" s="80"/>
      <c r="BVM251" s="80"/>
      <c r="BVN251" s="80"/>
      <c r="BVO251" s="80"/>
      <c r="BVP251" s="80"/>
      <c r="BVQ251" s="80"/>
      <c r="BVR251" s="80"/>
      <c r="BVS251" s="80"/>
      <c r="BVT251" s="80"/>
      <c r="BVU251" s="80"/>
      <c r="BVV251" s="80"/>
      <c r="BVW251" s="80"/>
      <c r="BVX251" s="80"/>
      <c r="BVY251" s="80"/>
      <c r="BVZ251" s="80"/>
      <c r="BWA251" s="80"/>
      <c r="BWB251" s="80"/>
      <c r="BWC251" s="80"/>
      <c r="BWD251" s="80"/>
      <c r="BWE251" s="80"/>
      <c r="BWF251" s="80"/>
      <c r="BWG251" s="80"/>
      <c r="BWH251" s="80"/>
      <c r="BWI251" s="80"/>
      <c r="BWJ251" s="80"/>
      <c r="BWK251" s="80"/>
      <c r="BWL251" s="80"/>
      <c r="BWM251" s="80"/>
      <c r="BWN251" s="80"/>
      <c r="BWO251" s="80"/>
      <c r="BWP251" s="80"/>
      <c r="BWQ251" s="80"/>
      <c r="BWR251" s="80"/>
      <c r="BWS251" s="80"/>
      <c r="BWT251" s="80"/>
      <c r="BWU251" s="80"/>
      <c r="BWV251" s="80"/>
      <c r="BWW251" s="80"/>
      <c r="BWX251" s="80"/>
      <c r="BWY251" s="80"/>
      <c r="BWZ251" s="80"/>
      <c r="BXA251" s="80"/>
      <c r="BXB251" s="80"/>
      <c r="BXC251" s="80"/>
      <c r="BXD251" s="80"/>
      <c r="BXE251" s="80"/>
      <c r="BXF251" s="80"/>
      <c r="BXG251" s="80"/>
      <c r="BXH251" s="80"/>
      <c r="BXI251" s="80"/>
      <c r="BXJ251" s="80"/>
      <c r="BXK251" s="80"/>
      <c r="BXL251" s="80"/>
      <c r="BXM251" s="80"/>
      <c r="BXN251" s="80"/>
      <c r="BXO251" s="80"/>
      <c r="BXP251" s="80"/>
      <c r="BXQ251" s="80"/>
      <c r="BXR251" s="80"/>
      <c r="BXS251" s="80"/>
      <c r="BXT251" s="80"/>
      <c r="BXU251" s="80"/>
      <c r="BXV251" s="80"/>
      <c r="BXW251" s="80"/>
      <c r="BXX251" s="80"/>
      <c r="BXY251" s="80"/>
      <c r="BXZ251" s="80"/>
      <c r="BYA251" s="80"/>
      <c r="BYB251" s="80"/>
      <c r="BYC251" s="80"/>
      <c r="BYD251" s="80"/>
      <c r="BYE251" s="80"/>
      <c r="BYF251" s="80"/>
      <c r="BYG251" s="80"/>
      <c r="BYH251" s="80"/>
      <c r="BYI251" s="80"/>
      <c r="BYJ251" s="80"/>
      <c r="BYK251" s="80"/>
      <c r="BYL251" s="80"/>
      <c r="BYM251" s="80"/>
      <c r="BYN251" s="80"/>
      <c r="BYO251" s="80"/>
      <c r="BYP251" s="80"/>
      <c r="BYQ251" s="80"/>
      <c r="BYR251" s="80"/>
      <c r="BYS251" s="80"/>
      <c r="BYT251" s="80"/>
      <c r="BYU251" s="80"/>
      <c r="BYV251" s="80"/>
      <c r="BYW251" s="80"/>
      <c r="BYX251" s="80"/>
      <c r="BYY251" s="80"/>
      <c r="BYZ251" s="80"/>
      <c r="BZA251" s="80"/>
      <c r="BZB251" s="80"/>
      <c r="BZC251" s="80"/>
      <c r="BZD251" s="80"/>
      <c r="BZE251" s="80"/>
      <c r="BZF251" s="80"/>
      <c r="BZG251" s="80"/>
      <c r="BZH251" s="80"/>
      <c r="BZI251" s="80"/>
      <c r="BZJ251" s="80"/>
      <c r="BZK251" s="80"/>
      <c r="BZL251" s="80"/>
      <c r="BZM251" s="80"/>
      <c r="BZN251" s="80"/>
      <c r="BZO251" s="80"/>
      <c r="BZP251" s="80"/>
      <c r="BZQ251" s="80"/>
      <c r="BZR251" s="80"/>
      <c r="BZS251" s="80"/>
      <c r="BZT251" s="80"/>
      <c r="BZU251" s="80"/>
      <c r="BZV251" s="80"/>
      <c r="BZW251" s="80"/>
      <c r="BZX251" s="80"/>
      <c r="BZY251" s="80"/>
      <c r="BZZ251" s="80"/>
      <c r="CAA251" s="80"/>
      <c r="CAB251" s="80"/>
      <c r="CAC251" s="80"/>
      <c r="CAD251" s="80"/>
      <c r="CAE251" s="80"/>
      <c r="CAF251" s="80"/>
      <c r="CAG251" s="80"/>
      <c r="CAH251" s="80"/>
      <c r="CAI251" s="80"/>
      <c r="CAJ251" s="80"/>
      <c r="CAK251" s="80"/>
      <c r="CAL251" s="80"/>
      <c r="CAM251" s="80"/>
      <c r="CAN251" s="80"/>
      <c r="CAO251" s="80"/>
      <c r="CAP251" s="80"/>
      <c r="CAQ251" s="80"/>
      <c r="CAR251" s="80"/>
      <c r="CAS251" s="80"/>
      <c r="CAT251" s="80"/>
      <c r="CAU251" s="80"/>
      <c r="CAV251" s="80"/>
      <c r="CAW251" s="80"/>
      <c r="CAX251" s="80"/>
      <c r="CAY251" s="80"/>
      <c r="CAZ251" s="80"/>
      <c r="CBA251" s="80"/>
      <c r="CBB251" s="80"/>
      <c r="CBC251" s="80"/>
      <c r="CBD251" s="80"/>
      <c r="CBE251" s="80"/>
      <c r="CBF251" s="80"/>
      <c r="CBG251" s="80"/>
      <c r="CBH251" s="80"/>
      <c r="CBI251" s="80"/>
      <c r="CBJ251" s="80"/>
      <c r="CBK251" s="80"/>
      <c r="CBL251" s="80"/>
      <c r="CBM251" s="80"/>
      <c r="CBN251" s="80"/>
      <c r="CBO251" s="80"/>
      <c r="CBP251" s="80"/>
      <c r="CBQ251" s="80"/>
      <c r="CBR251" s="80"/>
      <c r="CBS251" s="80"/>
      <c r="CBT251" s="80"/>
      <c r="CBU251" s="80"/>
      <c r="CBV251" s="80"/>
      <c r="CBW251" s="80"/>
      <c r="CBX251" s="80"/>
      <c r="CBY251" s="80"/>
      <c r="CBZ251" s="80"/>
      <c r="CCA251" s="80"/>
      <c r="CCB251" s="80"/>
      <c r="CCC251" s="80"/>
      <c r="CCD251" s="80"/>
      <c r="CCE251" s="80"/>
      <c r="CCF251" s="80"/>
      <c r="CCG251" s="80"/>
      <c r="CCH251" s="80"/>
      <c r="CCI251" s="80"/>
      <c r="CCJ251" s="80"/>
      <c r="CCK251" s="80"/>
      <c r="CCL251" s="80"/>
      <c r="CCM251" s="80"/>
      <c r="CCN251" s="80"/>
      <c r="CCO251" s="80"/>
      <c r="CCP251" s="80"/>
      <c r="CCQ251" s="80"/>
      <c r="CCR251" s="80"/>
      <c r="CCS251" s="80"/>
      <c r="CCT251" s="80"/>
      <c r="CCU251" s="80"/>
      <c r="CCV251" s="80"/>
      <c r="CCW251" s="80"/>
      <c r="CCX251" s="80"/>
      <c r="CCY251" s="80"/>
      <c r="CCZ251" s="80"/>
      <c r="CDA251" s="80"/>
      <c r="CDB251" s="80"/>
      <c r="CDC251" s="80"/>
      <c r="CDD251" s="80"/>
      <c r="CDE251" s="80"/>
      <c r="CDF251" s="80"/>
      <c r="CDG251" s="80"/>
      <c r="CDH251" s="80"/>
      <c r="CDI251" s="80"/>
      <c r="CDJ251" s="80"/>
      <c r="CDK251" s="80"/>
      <c r="CDL251" s="80"/>
      <c r="CDM251" s="80"/>
      <c r="CDN251" s="80"/>
      <c r="CDO251" s="80"/>
      <c r="CDP251" s="80"/>
      <c r="CDQ251" s="80"/>
      <c r="CDR251" s="80"/>
      <c r="CDS251" s="80"/>
      <c r="CDT251" s="80"/>
      <c r="CDU251" s="80"/>
      <c r="CDV251" s="80"/>
      <c r="CDW251" s="80"/>
      <c r="CDX251" s="80"/>
      <c r="CDY251" s="80"/>
      <c r="CDZ251" s="80"/>
      <c r="CEA251" s="80"/>
      <c r="CEB251" s="80"/>
      <c r="CEC251" s="80"/>
      <c r="CED251" s="80"/>
      <c r="CEE251" s="80"/>
      <c r="CEF251" s="80"/>
      <c r="CEG251" s="80"/>
      <c r="CEH251" s="80"/>
      <c r="CEI251" s="80"/>
      <c r="CEJ251" s="80"/>
      <c r="CEK251" s="80"/>
      <c r="CEL251" s="80"/>
      <c r="CEM251" s="80"/>
      <c r="CEN251" s="80"/>
      <c r="CEO251" s="80"/>
      <c r="CEP251" s="80"/>
      <c r="CEQ251" s="80"/>
      <c r="CER251" s="80"/>
      <c r="CES251" s="80"/>
      <c r="CET251" s="80"/>
      <c r="CEU251" s="80"/>
      <c r="CEV251" s="80"/>
      <c r="CEW251" s="80"/>
      <c r="CEX251" s="80"/>
      <c r="CEY251" s="80"/>
      <c r="CEZ251" s="80"/>
      <c r="CFA251" s="80"/>
      <c r="CFB251" s="80"/>
      <c r="CFC251" s="80"/>
      <c r="CFD251" s="80"/>
      <c r="CFE251" s="80"/>
      <c r="CFF251" s="80"/>
      <c r="CFG251" s="80"/>
      <c r="CFH251" s="80"/>
      <c r="CFI251" s="80"/>
      <c r="CFJ251" s="80"/>
      <c r="CFK251" s="80"/>
      <c r="CFL251" s="80"/>
      <c r="CFM251" s="80"/>
      <c r="CFN251" s="80"/>
      <c r="CFO251" s="80"/>
      <c r="CFP251" s="80"/>
      <c r="CFQ251" s="80"/>
      <c r="CFR251" s="80"/>
      <c r="CFS251" s="80"/>
      <c r="CFT251" s="80"/>
      <c r="CFU251" s="80"/>
      <c r="CFV251" s="80"/>
      <c r="CFW251" s="80"/>
      <c r="CFX251" s="80"/>
      <c r="CFY251" s="80"/>
      <c r="CFZ251" s="80"/>
      <c r="CGA251" s="80"/>
      <c r="CGB251" s="80"/>
      <c r="CGC251" s="80"/>
      <c r="CGD251" s="80"/>
      <c r="CGE251" s="80"/>
      <c r="CGF251" s="80"/>
      <c r="CGG251" s="80"/>
      <c r="CGH251" s="80"/>
      <c r="CGI251" s="80"/>
      <c r="CGJ251" s="80"/>
      <c r="CGK251" s="80"/>
      <c r="CGL251" s="80"/>
      <c r="CGM251" s="80"/>
      <c r="CGN251" s="80"/>
      <c r="CGO251" s="80"/>
      <c r="CGP251" s="80"/>
      <c r="CGQ251" s="80"/>
      <c r="CGR251" s="80"/>
      <c r="CGS251" s="80"/>
      <c r="CGT251" s="80"/>
      <c r="CGU251" s="80"/>
      <c r="CGV251" s="80"/>
      <c r="CGW251" s="80"/>
      <c r="CGX251" s="80"/>
      <c r="CGY251" s="80"/>
      <c r="CGZ251" s="80"/>
      <c r="CHA251" s="80"/>
      <c r="CHB251" s="80"/>
      <c r="CHC251" s="80"/>
      <c r="CHD251" s="80"/>
      <c r="CHE251" s="80"/>
      <c r="CHF251" s="80"/>
      <c r="CHG251" s="80"/>
      <c r="CHH251" s="80"/>
      <c r="CHI251" s="80"/>
      <c r="CHJ251" s="80"/>
      <c r="CHK251" s="80"/>
      <c r="CHL251" s="80"/>
      <c r="CHM251" s="80"/>
      <c r="CHN251" s="80"/>
      <c r="CHO251" s="80"/>
      <c r="CHP251" s="80"/>
      <c r="CHQ251" s="80"/>
      <c r="CHR251" s="80"/>
      <c r="CHS251" s="80"/>
      <c r="CHT251" s="80"/>
      <c r="CHU251" s="80"/>
      <c r="CHV251" s="80"/>
      <c r="CHW251" s="80"/>
      <c r="CHX251" s="80"/>
      <c r="CHY251" s="80"/>
      <c r="CHZ251" s="80"/>
      <c r="CIA251" s="80"/>
      <c r="CIB251" s="80"/>
      <c r="CIC251" s="80"/>
      <c r="CID251" s="80"/>
      <c r="CIE251" s="80"/>
      <c r="CIF251" s="80"/>
      <c r="CIG251" s="80"/>
      <c r="CIH251" s="80"/>
      <c r="CII251" s="80"/>
      <c r="CIJ251" s="80"/>
      <c r="CIK251" s="80"/>
      <c r="CIL251" s="80"/>
      <c r="CIM251" s="80"/>
      <c r="CIN251" s="80"/>
      <c r="CIO251" s="80"/>
      <c r="CIP251" s="80"/>
      <c r="CIQ251" s="80"/>
      <c r="CIR251" s="80"/>
      <c r="CIS251" s="80"/>
      <c r="CIT251" s="80"/>
      <c r="CIU251" s="80"/>
      <c r="CIV251" s="80"/>
      <c r="CIW251" s="80"/>
      <c r="CIX251" s="80"/>
      <c r="CIY251" s="80"/>
      <c r="CIZ251" s="80"/>
      <c r="CJA251" s="80"/>
      <c r="CJB251" s="80"/>
      <c r="CJC251" s="80"/>
      <c r="CJD251" s="80"/>
      <c r="CJE251" s="80"/>
      <c r="CJF251" s="80"/>
      <c r="CJG251" s="80"/>
      <c r="CJH251" s="80"/>
      <c r="CJI251" s="80"/>
      <c r="CJJ251" s="80"/>
      <c r="CJK251" s="80"/>
      <c r="CJL251" s="80"/>
      <c r="CJM251" s="80"/>
      <c r="CJN251" s="80"/>
      <c r="CJO251" s="80"/>
      <c r="CJP251" s="80"/>
      <c r="CJQ251" s="80"/>
      <c r="CJR251" s="80"/>
      <c r="CJS251" s="80"/>
      <c r="CJT251" s="80"/>
      <c r="CJU251" s="80"/>
      <c r="CJV251" s="80"/>
      <c r="CJW251" s="80"/>
      <c r="CJX251" s="80"/>
      <c r="CJY251" s="80"/>
      <c r="CJZ251" s="80"/>
      <c r="CKA251" s="80"/>
      <c r="CKB251" s="80"/>
      <c r="CKC251" s="80"/>
      <c r="CKD251" s="80"/>
      <c r="CKE251" s="80"/>
      <c r="CKF251" s="80"/>
      <c r="CKG251" s="80"/>
      <c r="CKH251" s="80"/>
      <c r="CKI251" s="80"/>
      <c r="CKJ251" s="80"/>
      <c r="CKK251" s="80"/>
      <c r="CKL251" s="80"/>
      <c r="CKM251" s="80"/>
      <c r="CKN251" s="80"/>
      <c r="CKO251" s="80"/>
      <c r="CKP251" s="80"/>
      <c r="CKQ251" s="80"/>
      <c r="CKR251" s="80"/>
      <c r="CKS251" s="80"/>
      <c r="CKT251" s="80"/>
      <c r="CKU251" s="80"/>
      <c r="CKV251" s="80"/>
      <c r="CKW251" s="80"/>
      <c r="CKX251" s="80"/>
      <c r="CKY251" s="80"/>
      <c r="CKZ251" s="80"/>
      <c r="CLA251" s="80"/>
      <c r="CLB251" s="80"/>
      <c r="CLC251" s="80"/>
      <c r="CLD251" s="80"/>
      <c r="CLE251" s="80"/>
      <c r="CLF251" s="80"/>
      <c r="CLG251" s="80"/>
      <c r="CLH251" s="80"/>
      <c r="CLI251" s="80"/>
      <c r="CLJ251" s="80"/>
      <c r="CLK251" s="80"/>
      <c r="CLL251" s="80"/>
      <c r="CLM251" s="80"/>
      <c r="CLN251" s="80"/>
      <c r="CLO251" s="80"/>
      <c r="CLP251" s="80"/>
      <c r="CLQ251" s="80"/>
      <c r="CLR251" s="80"/>
      <c r="CLS251" s="80"/>
      <c r="CLT251" s="80"/>
      <c r="CLU251" s="80"/>
      <c r="CLV251" s="80"/>
      <c r="CLW251" s="80"/>
      <c r="CLX251" s="80"/>
      <c r="CLY251" s="80"/>
      <c r="CLZ251" s="80"/>
      <c r="CMA251" s="80"/>
      <c r="CMB251" s="80"/>
      <c r="CMC251" s="80"/>
      <c r="CMD251" s="80"/>
      <c r="CME251" s="80"/>
      <c r="CMF251" s="80"/>
      <c r="CMG251" s="80"/>
      <c r="CMH251" s="80"/>
      <c r="CMI251" s="80"/>
      <c r="CMJ251" s="80"/>
      <c r="CMK251" s="80"/>
      <c r="CML251" s="80"/>
      <c r="CMM251" s="80"/>
      <c r="CMN251" s="80"/>
      <c r="CMO251" s="80"/>
      <c r="CMP251" s="80"/>
      <c r="CMQ251" s="80"/>
      <c r="CMR251" s="80"/>
      <c r="CMS251" s="80"/>
      <c r="CMT251" s="80"/>
      <c r="CMU251" s="80"/>
      <c r="CMV251" s="80"/>
      <c r="CMW251" s="80"/>
      <c r="CMX251" s="80"/>
      <c r="CMY251" s="80"/>
      <c r="CMZ251" s="80"/>
      <c r="CNA251" s="80"/>
      <c r="CNB251" s="80"/>
      <c r="CNC251" s="80"/>
      <c r="CND251" s="80"/>
      <c r="CNE251" s="80"/>
      <c r="CNF251" s="80"/>
      <c r="CNG251" s="80"/>
      <c r="CNH251" s="80"/>
      <c r="CNI251" s="80"/>
      <c r="CNJ251" s="80"/>
      <c r="CNK251" s="80"/>
      <c r="CNL251" s="80"/>
      <c r="CNM251" s="80"/>
      <c r="CNN251" s="80"/>
      <c r="CNO251" s="80"/>
      <c r="CNP251" s="80"/>
      <c r="CNQ251" s="80"/>
      <c r="CNR251" s="80"/>
      <c r="CNS251" s="80"/>
      <c r="CNT251" s="80"/>
      <c r="CNU251" s="80"/>
      <c r="CNV251" s="80"/>
      <c r="CNW251" s="80"/>
      <c r="CNX251" s="80"/>
      <c r="CNY251" s="80"/>
      <c r="CNZ251" s="80"/>
      <c r="COA251" s="80"/>
      <c r="COB251" s="80"/>
      <c r="COC251" s="80"/>
      <c r="COD251" s="80"/>
      <c r="COE251" s="80"/>
      <c r="COF251" s="80"/>
      <c r="COG251" s="80"/>
      <c r="COH251" s="80"/>
      <c r="COI251" s="80"/>
      <c r="COJ251" s="80"/>
      <c r="COK251" s="80"/>
      <c r="COL251" s="80"/>
      <c r="COM251" s="80"/>
      <c r="CON251" s="80"/>
      <c r="COO251" s="80"/>
      <c r="COP251" s="80"/>
      <c r="COQ251" s="80"/>
      <c r="COR251" s="80"/>
      <c r="COS251" s="80"/>
      <c r="COT251" s="80"/>
      <c r="COU251" s="80"/>
      <c r="COV251" s="80"/>
      <c r="COW251" s="80"/>
      <c r="COX251" s="80"/>
      <c r="COY251" s="80"/>
      <c r="COZ251" s="80"/>
      <c r="CPA251" s="80"/>
      <c r="CPB251" s="80"/>
      <c r="CPC251" s="80"/>
      <c r="CPD251" s="80"/>
      <c r="CPE251" s="80"/>
      <c r="CPF251" s="80"/>
      <c r="CPG251" s="80"/>
      <c r="CPH251" s="80"/>
      <c r="CPI251" s="80"/>
      <c r="CPJ251" s="80"/>
      <c r="CPK251" s="80"/>
      <c r="CPL251" s="80"/>
      <c r="CPM251" s="80"/>
      <c r="CPN251" s="80"/>
      <c r="CPO251" s="80"/>
      <c r="CPP251" s="80"/>
      <c r="CPQ251" s="80"/>
      <c r="CPR251" s="80"/>
      <c r="CPS251" s="80"/>
      <c r="CPT251" s="80"/>
      <c r="CPU251" s="80"/>
      <c r="CPV251" s="80"/>
      <c r="CPW251" s="80"/>
      <c r="CPX251" s="80"/>
      <c r="CPY251" s="80"/>
      <c r="CPZ251" s="80"/>
      <c r="CQA251" s="80"/>
      <c r="CQB251" s="80"/>
      <c r="CQC251" s="80"/>
      <c r="CQD251" s="80"/>
      <c r="CQE251" s="80"/>
      <c r="CQF251" s="80"/>
      <c r="CQG251" s="80"/>
      <c r="CQH251" s="80"/>
      <c r="CQI251" s="80"/>
      <c r="CQJ251" s="80"/>
      <c r="CQK251" s="80"/>
      <c r="CQL251" s="80"/>
      <c r="CQM251" s="80"/>
      <c r="CQN251" s="80"/>
      <c r="CQO251" s="80"/>
      <c r="CQP251" s="80"/>
      <c r="CQQ251" s="80"/>
      <c r="CQR251" s="80"/>
      <c r="CQS251" s="80"/>
      <c r="CQT251" s="80"/>
      <c r="CQU251" s="80"/>
      <c r="CQV251" s="80"/>
      <c r="CQW251" s="80"/>
      <c r="CQX251" s="80"/>
      <c r="CQY251" s="80"/>
      <c r="CQZ251" s="80"/>
      <c r="CRA251" s="80"/>
      <c r="CRB251" s="80"/>
      <c r="CRC251" s="80"/>
      <c r="CRD251" s="80"/>
      <c r="CRE251" s="80"/>
      <c r="CRF251" s="80"/>
      <c r="CRG251" s="80"/>
      <c r="CRH251" s="80"/>
      <c r="CRI251" s="80"/>
      <c r="CRJ251" s="80"/>
      <c r="CRK251" s="80"/>
      <c r="CRL251" s="80"/>
      <c r="CRM251" s="80"/>
      <c r="CRN251" s="80"/>
      <c r="CRO251" s="80"/>
      <c r="CRP251" s="80"/>
      <c r="CRQ251" s="80"/>
      <c r="CRR251" s="80"/>
      <c r="CRS251" s="80"/>
      <c r="CRT251" s="80"/>
      <c r="CRU251" s="80"/>
      <c r="CRV251" s="80"/>
      <c r="CRW251" s="80"/>
      <c r="CRX251" s="80"/>
      <c r="CRY251" s="80"/>
      <c r="CRZ251" s="80"/>
      <c r="CSA251" s="80"/>
      <c r="CSB251" s="80"/>
      <c r="CSC251" s="80"/>
      <c r="CSD251" s="80"/>
      <c r="CSE251" s="80"/>
      <c r="CSF251" s="80"/>
      <c r="CSG251" s="80"/>
      <c r="CSH251" s="80"/>
      <c r="CSI251" s="80"/>
      <c r="CSJ251" s="80"/>
      <c r="CSK251" s="80"/>
      <c r="CSL251" s="80"/>
      <c r="CSM251" s="80"/>
      <c r="CSN251" s="80"/>
      <c r="CSO251" s="80"/>
      <c r="CSP251" s="80"/>
      <c r="CSQ251" s="80"/>
      <c r="CSR251" s="80"/>
      <c r="CSS251" s="80"/>
      <c r="CST251" s="80"/>
      <c r="CSU251" s="80"/>
      <c r="CSV251" s="80"/>
      <c r="CSW251" s="80"/>
      <c r="CSX251" s="80"/>
      <c r="CSY251" s="80"/>
      <c r="CSZ251" s="80"/>
      <c r="CTA251" s="80"/>
      <c r="CTB251" s="80"/>
      <c r="CTC251" s="80"/>
      <c r="CTD251" s="80"/>
      <c r="CTE251" s="80"/>
      <c r="CTF251" s="80"/>
      <c r="CTG251" s="80"/>
      <c r="CTH251" s="80"/>
      <c r="CTI251" s="80"/>
      <c r="CTJ251" s="80"/>
      <c r="CTK251" s="80"/>
      <c r="CTL251" s="80"/>
      <c r="CTM251" s="80"/>
      <c r="CTN251" s="80"/>
      <c r="CTO251" s="80"/>
      <c r="CTP251" s="80"/>
      <c r="CTQ251" s="80"/>
      <c r="CTR251" s="80"/>
      <c r="CTS251" s="80"/>
      <c r="CTT251" s="80"/>
      <c r="CTU251" s="80"/>
      <c r="CTV251" s="80"/>
      <c r="CTW251" s="80"/>
      <c r="CTX251" s="80"/>
      <c r="CTY251" s="80"/>
      <c r="CTZ251" s="80"/>
      <c r="CUA251" s="80"/>
      <c r="CUB251" s="80"/>
      <c r="CUC251" s="80"/>
      <c r="CUD251" s="80"/>
      <c r="CUE251" s="80"/>
      <c r="CUF251" s="80"/>
      <c r="CUG251" s="80"/>
      <c r="CUH251" s="80"/>
      <c r="CUI251" s="80"/>
      <c r="CUJ251" s="80"/>
      <c r="CUK251" s="80"/>
      <c r="CUL251" s="80"/>
      <c r="CUM251" s="80"/>
      <c r="CUN251" s="80"/>
      <c r="CUO251" s="80"/>
      <c r="CUP251" s="80"/>
      <c r="CUQ251" s="80"/>
      <c r="CUR251" s="80"/>
      <c r="CUS251" s="80"/>
      <c r="CUT251" s="80"/>
      <c r="CUU251" s="80"/>
      <c r="CUV251" s="80"/>
      <c r="CUW251" s="80"/>
      <c r="CUX251" s="80"/>
      <c r="CUY251" s="80"/>
      <c r="CUZ251" s="80"/>
      <c r="CVA251" s="80"/>
      <c r="CVB251" s="80"/>
      <c r="CVC251" s="80"/>
      <c r="CVD251" s="80"/>
      <c r="CVE251" s="80"/>
      <c r="CVF251" s="80"/>
      <c r="CVG251" s="80"/>
      <c r="CVH251" s="80"/>
      <c r="CVI251" s="80"/>
      <c r="CVJ251" s="80"/>
      <c r="CVK251" s="80"/>
      <c r="CVL251" s="80"/>
      <c r="CVM251" s="80"/>
      <c r="CVN251" s="80"/>
      <c r="CVO251" s="80"/>
      <c r="CVP251" s="80"/>
      <c r="CVQ251" s="80"/>
      <c r="CVR251" s="80"/>
      <c r="CVS251" s="80"/>
      <c r="CVT251" s="80"/>
      <c r="CVU251" s="80"/>
      <c r="CVV251" s="80"/>
      <c r="CVW251" s="80"/>
      <c r="CVX251" s="80"/>
      <c r="CVY251" s="80"/>
      <c r="CVZ251" s="80"/>
      <c r="CWA251" s="80"/>
      <c r="CWB251" s="80"/>
      <c r="CWC251" s="80"/>
      <c r="CWD251" s="80"/>
      <c r="CWE251" s="80"/>
      <c r="CWF251" s="80"/>
      <c r="CWG251" s="80"/>
      <c r="CWH251" s="80"/>
      <c r="CWI251" s="80"/>
      <c r="CWJ251" s="80"/>
      <c r="CWK251" s="80"/>
      <c r="CWL251" s="80"/>
      <c r="CWM251" s="80"/>
      <c r="CWN251" s="80"/>
      <c r="CWO251" s="80"/>
      <c r="CWP251" s="80"/>
      <c r="CWQ251" s="80"/>
      <c r="CWR251" s="80"/>
      <c r="CWS251" s="80"/>
      <c r="CWT251" s="80"/>
      <c r="CWU251" s="80"/>
      <c r="CWV251" s="80"/>
      <c r="CWW251" s="80"/>
      <c r="CWX251" s="80"/>
      <c r="CWY251" s="80"/>
      <c r="CWZ251" s="80"/>
      <c r="CXA251" s="80"/>
      <c r="CXB251" s="80"/>
      <c r="CXC251" s="80"/>
      <c r="CXD251" s="80"/>
      <c r="CXE251" s="80"/>
      <c r="CXF251" s="80"/>
      <c r="CXG251" s="80"/>
      <c r="CXH251" s="80"/>
      <c r="CXI251" s="80"/>
      <c r="CXJ251" s="80"/>
      <c r="CXK251" s="80"/>
      <c r="CXL251" s="80"/>
      <c r="CXM251" s="80"/>
      <c r="CXN251" s="80"/>
      <c r="CXO251" s="80"/>
      <c r="CXP251" s="80"/>
      <c r="CXQ251" s="80"/>
      <c r="CXR251" s="80"/>
      <c r="CXS251" s="80"/>
      <c r="CXT251" s="80"/>
      <c r="CXU251" s="80"/>
      <c r="CXV251" s="80"/>
      <c r="CXW251" s="80"/>
      <c r="CXX251" s="80"/>
      <c r="CXY251" s="80"/>
      <c r="CXZ251" s="80"/>
      <c r="CYA251" s="80"/>
      <c r="CYB251" s="80"/>
      <c r="CYC251" s="80"/>
      <c r="CYD251" s="80"/>
      <c r="CYE251" s="80"/>
      <c r="CYF251" s="80"/>
      <c r="CYG251" s="80"/>
      <c r="CYH251" s="80"/>
      <c r="CYI251" s="80"/>
      <c r="CYJ251" s="80"/>
      <c r="CYK251" s="80"/>
      <c r="CYL251" s="80"/>
      <c r="CYM251" s="80"/>
      <c r="CYN251" s="80"/>
      <c r="CYO251" s="80"/>
      <c r="CYP251" s="80"/>
      <c r="CYQ251" s="80"/>
      <c r="CYR251" s="80"/>
      <c r="CYS251" s="80"/>
      <c r="CYT251" s="80"/>
      <c r="CYU251" s="80"/>
      <c r="CYV251" s="80"/>
      <c r="CYW251" s="80"/>
      <c r="CYX251" s="80"/>
      <c r="CYY251" s="80"/>
      <c r="CYZ251" s="80"/>
      <c r="CZA251" s="80"/>
      <c r="CZB251" s="80"/>
      <c r="CZC251" s="80"/>
      <c r="CZD251" s="80"/>
      <c r="CZE251" s="80"/>
      <c r="CZF251" s="80"/>
      <c r="CZG251" s="80"/>
      <c r="CZH251" s="80"/>
      <c r="CZI251" s="80"/>
      <c r="CZJ251" s="80"/>
      <c r="CZK251" s="80"/>
      <c r="CZL251" s="80"/>
      <c r="CZM251" s="80"/>
      <c r="CZN251" s="80"/>
      <c r="CZO251" s="80"/>
      <c r="CZP251" s="80"/>
      <c r="CZQ251" s="80"/>
      <c r="CZR251" s="80"/>
      <c r="CZS251" s="80"/>
      <c r="CZT251" s="80"/>
      <c r="CZU251" s="80"/>
      <c r="CZV251" s="80"/>
      <c r="CZW251" s="80"/>
      <c r="CZX251" s="80"/>
      <c r="CZY251" s="80"/>
      <c r="CZZ251" s="80"/>
      <c r="DAA251" s="80"/>
      <c r="DAB251" s="80"/>
      <c r="DAC251" s="80"/>
      <c r="DAD251" s="80"/>
      <c r="DAE251" s="80"/>
      <c r="DAF251" s="80"/>
      <c r="DAG251" s="80"/>
      <c r="DAH251" s="80"/>
      <c r="DAI251" s="80"/>
      <c r="DAJ251" s="80"/>
      <c r="DAK251" s="80"/>
      <c r="DAL251" s="80"/>
      <c r="DAM251" s="80"/>
      <c r="DAN251" s="80"/>
      <c r="DAO251" s="80"/>
      <c r="DAP251" s="80"/>
      <c r="DAQ251" s="80"/>
      <c r="DAR251" s="80"/>
      <c r="DAS251" s="80"/>
      <c r="DAT251" s="80"/>
      <c r="DAU251" s="80"/>
      <c r="DAV251" s="80"/>
      <c r="DAW251" s="80"/>
      <c r="DAX251" s="80"/>
      <c r="DAY251" s="80"/>
      <c r="DAZ251" s="80"/>
      <c r="DBA251" s="80"/>
      <c r="DBB251" s="80"/>
      <c r="DBC251" s="80"/>
      <c r="DBD251" s="80"/>
      <c r="DBE251" s="80"/>
      <c r="DBF251" s="80"/>
      <c r="DBG251" s="80"/>
      <c r="DBH251" s="80"/>
      <c r="DBI251" s="80"/>
      <c r="DBJ251" s="80"/>
      <c r="DBK251" s="80"/>
      <c r="DBL251" s="80"/>
      <c r="DBM251" s="80"/>
      <c r="DBN251" s="80"/>
      <c r="DBO251" s="80"/>
      <c r="DBP251" s="80"/>
      <c r="DBQ251" s="80"/>
      <c r="DBR251" s="80"/>
      <c r="DBS251" s="80"/>
      <c r="DBT251" s="80"/>
      <c r="DBU251" s="80"/>
      <c r="DBV251" s="80"/>
      <c r="DBW251" s="80"/>
      <c r="DBX251" s="80"/>
      <c r="DBY251" s="80"/>
      <c r="DBZ251" s="80"/>
      <c r="DCA251" s="80"/>
      <c r="DCB251" s="80"/>
      <c r="DCC251" s="80"/>
      <c r="DCD251" s="80"/>
      <c r="DCE251" s="80"/>
      <c r="DCF251" s="80"/>
      <c r="DCG251" s="80"/>
      <c r="DCH251" s="80"/>
      <c r="DCI251" s="80"/>
      <c r="DCJ251" s="80"/>
      <c r="DCK251" s="80"/>
      <c r="DCL251" s="80"/>
      <c r="DCM251" s="80"/>
      <c r="DCN251" s="80"/>
      <c r="DCO251" s="80"/>
      <c r="DCP251" s="80"/>
      <c r="DCQ251" s="80"/>
      <c r="DCR251" s="80"/>
      <c r="DCS251" s="80"/>
      <c r="DCT251" s="80"/>
      <c r="DCU251" s="80"/>
      <c r="DCV251" s="80"/>
      <c r="DCW251" s="80"/>
      <c r="DCX251" s="80"/>
      <c r="DCY251" s="80"/>
      <c r="DCZ251" s="80"/>
      <c r="DDA251" s="80"/>
      <c r="DDB251" s="80"/>
      <c r="DDC251" s="80"/>
      <c r="DDD251" s="80"/>
      <c r="DDE251" s="80"/>
      <c r="DDF251" s="80"/>
      <c r="DDG251" s="80"/>
      <c r="DDH251" s="80"/>
      <c r="DDI251" s="80"/>
      <c r="DDJ251" s="80"/>
      <c r="DDK251" s="80"/>
      <c r="DDL251" s="80"/>
      <c r="DDM251" s="80"/>
      <c r="DDN251" s="80"/>
      <c r="DDO251" s="80"/>
      <c r="DDP251" s="80"/>
      <c r="DDQ251" s="80"/>
      <c r="DDR251" s="80"/>
      <c r="DDS251" s="80"/>
      <c r="DDT251" s="80"/>
      <c r="DDU251" s="80"/>
      <c r="DDV251" s="80"/>
      <c r="DDW251" s="80"/>
      <c r="DDX251" s="80"/>
      <c r="DDY251" s="80"/>
      <c r="DDZ251" s="80"/>
      <c r="DEA251" s="80"/>
      <c r="DEB251" s="80"/>
      <c r="DEC251" s="80"/>
      <c r="DED251" s="80"/>
      <c r="DEE251" s="80"/>
      <c r="DEF251" s="80"/>
      <c r="DEG251" s="80"/>
      <c r="DEH251" s="80"/>
      <c r="DEI251" s="80"/>
      <c r="DEJ251" s="80"/>
      <c r="DEK251" s="80"/>
      <c r="DEL251" s="80"/>
      <c r="DEM251" s="80"/>
      <c r="DEN251" s="80"/>
      <c r="DEO251" s="80"/>
      <c r="DEP251" s="80"/>
      <c r="DEQ251" s="80"/>
      <c r="DER251" s="80"/>
      <c r="DES251" s="80"/>
      <c r="DET251" s="80"/>
      <c r="DEU251" s="80"/>
      <c r="DEV251" s="80"/>
      <c r="DEW251" s="80"/>
      <c r="DEX251" s="80"/>
      <c r="DEY251" s="80"/>
      <c r="DEZ251" s="80"/>
      <c r="DFA251" s="80"/>
      <c r="DFB251" s="80"/>
      <c r="DFC251" s="80"/>
      <c r="DFD251" s="80"/>
      <c r="DFE251" s="80"/>
      <c r="DFF251" s="80"/>
      <c r="DFG251" s="80"/>
      <c r="DFH251" s="80"/>
      <c r="DFI251" s="80"/>
      <c r="DFJ251" s="80"/>
      <c r="DFK251" s="80"/>
      <c r="DFL251" s="80"/>
      <c r="DFM251" s="80"/>
      <c r="DFN251" s="80"/>
      <c r="DFO251" s="80"/>
      <c r="DFP251" s="80"/>
      <c r="DFQ251" s="80"/>
      <c r="DFR251" s="80"/>
      <c r="DFS251" s="80"/>
      <c r="DFT251" s="80"/>
      <c r="DFU251" s="80"/>
      <c r="DFV251" s="80"/>
      <c r="DFW251" s="80"/>
      <c r="DFX251" s="80"/>
      <c r="DFY251" s="80"/>
      <c r="DFZ251" s="80"/>
      <c r="DGA251" s="80"/>
      <c r="DGB251" s="80"/>
      <c r="DGC251" s="80"/>
      <c r="DGD251" s="80"/>
      <c r="DGE251" s="80"/>
      <c r="DGF251" s="80"/>
      <c r="DGG251" s="80"/>
      <c r="DGH251" s="80"/>
      <c r="DGI251" s="80"/>
      <c r="DGJ251" s="80"/>
      <c r="DGK251" s="80"/>
      <c r="DGL251" s="80"/>
      <c r="DGM251" s="80"/>
      <c r="DGN251" s="80"/>
      <c r="DGO251" s="80"/>
      <c r="DGP251" s="80"/>
      <c r="DGQ251" s="80"/>
      <c r="DGR251" s="80"/>
      <c r="DGS251" s="80"/>
      <c r="DGT251" s="80"/>
      <c r="DGU251" s="80"/>
      <c r="DGV251" s="80"/>
      <c r="DGW251" s="80"/>
      <c r="DGX251" s="80"/>
      <c r="DGY251" s="80"/>
      <c r="DGZ251" s="80"/>
      <c r="DHA251" s="80"/>
      <c r="DHB251" s="80"/>
      <c r="DHC251" s="80"/>
      <c r="DHD251" s="80"/>
      <c r="DHE251" s="80"/>
      <c r="DHF251" s="80"/>
      <c r="DHG251" s="80"/>
      <c r="DHH251" s="80"/>
      <c r="DHI251" s="80"/>
      <c r="DHJ251" s="80"/>
      <c r="DHK251" s="80"/>
      <c r="DHL251" s="80"/>
      <c r="DHM251" s="80"/>
      <c r="DHN251" s="80"/>
      <c r="DHO251" s="80"/>
      <c r="DHP251" s="80"/>
      <c r="DHQ251" s="80"/>
      <c r="DHR251" s="80"/>
      <c r="DHS251" s="80"/>
      <c r="DHT251" s="80"/>
      <c r="DHU251" s="80"/>
      <c r="DHV251" s="80"/>
      <c r="DHW251" s="80"/>
      <c r="DHX251" s="80"/>
      <c r="DHY251" s="80"/>
      <c r="DHZ251" s="80"/>
      <c r="DIA251" s="80"/>
      <c r="DIB251" s="80"/>
      <c r="DIC251" s="80"/>
      <c r="DID251" s="80"/>
      <c r="DIE251" s="80"/>
      <c r="DIF251" s="80"/>
      <c r="DIG251" s="80"/>
      <c r="DIH251" s="80"/>
      <c r="DII251" s="80"/>
      <c r="DIJ251" s="80"/>
      <c r="DIK251" s="80"/>
      <c r="DIL251" s="80"/>
      <c r="DIM251" s="80"/>
      <c r="DIN251" s="80"/>
      <c r="DIO251" s="80"/>
      <c r="DIP251" s="80"/>
      <c r="DIQ251" s="80"/>
      <c r="DIR251" s="80"/>
      <c r="DIS251" s="80"/>
      <c r="DIT251" s="80"/>
      <c r="DIU251" s="80"/>
      <c r="DIV251" s="80"/>
      <c r="DIW251" s="80"/>
      <c r="DIX251" s="80"/>
      <c r="DIY251" s="80"/>
      <c r="DIZ251" s="80"/>
      <c r="DJA251" s="80"/>
      <c r="DJB251" s="80"/>
      <c r="DJC251" s="80"/>
      <c r="DJD251" s="80"/>
      <c r="DJE251" s="80"/>
      <c r="DJF251" s="80"/>
      <c r="DJG251" s="80"/>
      <c r="DJH251" s="80"/>
      <c r="DJI251" s="80"/>
      <c r="DJJ251" s="80"/>
      <c r="DJK251" s="80"/>
      <c r="DJL251" s="80"/>
      <c r="DJM251" s="80"/>
      <c r="DJN251" s="80"/>
      <c r="DJO251" s="80"/>
      <c r="DJP251" s="80"/>
      <c r="DJQ251" s="80"/>
      <c r="DJR251" s="80"/>
      <c r="DJS251" s="80"/>
      <c r="DJT251" s="80"/>
      <c r="DJU251" s="80"/>
      <c r="DJV251" s="80"/>
      <c r="DJW251" s="80"/>
      <c r="DJX251" s="80"/>
      <c r="DJY251" s="80"/>
      <c r="DJZ251" s="80"/>
      <c r="DKA251" s="80"/>
      <c r="DKB251" s="80"/>
      <c r="DKC251" s="80"/>
      <c r="DKD251" s="80"/>
      <c r="DKE251" s="80"/>
      <c r="DKF251" s="80"/>
      <c r="DKG251" s="80"/>
      <c r="DKH251" s="80"/>
      <c r="DKI251" s="80"/>
      <c r="DKJ251" s="80"/>
      <c r="DKK251" s="80"/>
      <c r="DKL251" s="80"/>
      <c r="DKM251" s="80"/>
      <c r="DKN251" s="80"/>
      <c r="DKO251" s="80"/>
      <c r="DKP251" s="80"/>
      <c r="DKQ251" s="80"/>
      <c r="DKR251" s="80"/>
      <c r="DKS251" s="80"/>
      <c r="DKT251" s="80"/>
      <c r="DKU251" s="80"/>
      <c r="DKV251" s="80"/>
      <c r="DKW251" s="80"/>
      <c r="DKX251" s="80"/>
      <c r="DKY251" s="80"/>
      <c r="DKZ251" s="80"/>
      <c r="DLA251" s="80"/>
      <c r="DLB251" s="80"/>
      <c r="DLC251" s="80"/>
      <c r="DLD251" s="80"/>
      <c r="DLE251" s="80"/>
      <c r="DLF251" s="80"/>
      <c r="DLG251" s="80"/>
      <c r="DLH251" s="80"/>
      <c r="DLI251" s="80"/>
      <c r="DLJ251" s="80"/>
      <c r="DLK251" s="80"/>
      <c r="DLL251" s="80"/>
      <c r="DLM251" s="80"/>
      <c r="DLN251" s="80"/>
      <c r="DLO251" s="80"/>
      <c r="DLP251" s="80"/>
      <c r="DLQ251" s="80"/>
      <c r="DLR251" s="80"/>
      <c r="DLS251" s="80"/>
      <c r="DLT251" s="80"/>
      <c r="DLU251" s="80"/>
      <c r="DLV251" s="80"/>
      <c r="DLW251" s="80"/>
      <c r="DLX251" s="80"/>
      <c r="DLY251" s="80"/>
      <c r="DLZ251" s="80"/>
      <c r="DMA251" s="80"/>
      <c r="DMB251" s="80"/>
      <c r="DMC251" s="80"/>
      <c r="DMD251" s="80"/>
      <c r="DME251" s="80"/>
      <c r="DMF251" s="80"/>
      <c r="DMG251" s="80"/>
      <c r="DMH251" s="80"/>
      <c r="DMI251" s="80"/>
      <c r="DMJ251" s="80"/>
      <c r="DMK251" s="80"/>
      <c r="DML251" s="80"/>
      <c r="DMM251" s="80"/>
      <c r="DMN251" s="80"/>
      <c r="DMO251" s="80"/>
      <c r="DMP251" s="80"/>
      <c r="DMQ251" s="80"/>
      <c r="DMR251" s="80"/>
      <c r="DMS251" s="80"/>
      <c r="DMT251" s="80"/>
      <c r="DMU251" s="80"/>
      <c r="DMV251" s="80"/>
      <c r="DMW251" s="80"/>
      <c r="DMX251" s="80"/>
      <c r="DMY251" s="80"/>
      <c r="DMZ251" s="80"/>
      <c r="DNA251" s="80"/>
      <c r="DNB251" s="80"/>
      <c r="DNC251" s="80"/>
      <c r="DND251" s="80"/>
      <c r="DNE251" s="80"/>
      <c r="DNF251" s="80"/>
      <c r="DNG251" s="80"/>
      <c r="DNH251" s="80"/>
      <c r="DNI251" s="80"/>
      <c r="DNJ251" s="80"/>
      <c r="DNK251" s="80"/>
      <c r="DNL251" s="80"/>
      <c r="DNM251" s="80"/>
      <c r="DNN251" s="80"/>
      <c r="DNO251" s="80"/>
      <c r="DNP251" s="80"/>
      <c r="DNQ251" s="80"/>
      <c r="DNR251" s="80"/>
      <c r="DNS251" s="80"/>
      <c r="DNT251" s="80"/>
      <c r="DNU251" s="80"/>
      <c r="DNV251" s="80"/>
      <c r="DNW251" s="80"/>
      <c r="DNX251" s="80"/>
      <c r="DNY251" s="80"/>
      <c r="DNZ251" s="80"/>
      <c r="DOA251" s="80"/>
      <c r="DOB251" s="80"/>
      <c r="DOC251" s="80"/>
      <c r="DOD251" s="80"/>
      <c r="DOE251" s="80"/>
      <c r="DOF251" s="80"/>
      <c r="DOG251" s="80"/>
      <c r="DOH251" s="80"/>
      <c r="DOI251" s="80"/>
      <c r="DOJ251" s="80"/>
      <c r="DOK251" s="80"/>
      <c r="DOL251" s="80"/>
      <c r="DOM251" s="80"/>
      <c r="DON251" s="80"/>
      <c r="DOO251" s="80"/>
      <c r="DOP251" s="80"/>
      <c r="DOQ251" s="80"/>
      <c r="DOR251" s="80"/>
      <c r="DOS251" s="80"/>
      <c r="DOT251" s="80"/>
      <c r="DOU251" s="80"/>
      <c r="DOV251" s="80"/>
      <c r="DOW251" s="80"/>
      <c r="DOX251" s="80"/>
      <c r="DOY251" s="80"/>
      <c r="DOZ251" s="80"/>
      <c r="DPA251" s="80"/>
      <c r="DPB251" s="80"/>
      <c r="DPC251" s="80"/>
      <c r="DPD251" s="80"/>
      <c r="DPE251" s="80"/>
      <c r="DPF251" s="80"/>
      <c r="DPG251" s="80"/>
      <c r="DPH251" s="80"/>
      <c r="DPI251" s="80"/>
      <c r="DPJ251" s="80"/>
      <c r="DPK251" s="80"/>
      <c r="DPL251" s="80"/>
      <c r="DPM251" s="80"/>
      <c r="DPN251" s="80"/>
      <c r="DPO251" s="80"/>
      <c r="DPP251" s="80"/>
      <c r="DPQ251" s="80"/>
      <c r="DPR251" s="80"/>
      <c r="DPS251" s="80"/>
      <c r="DPT251" s="80"/>
      <c r="DPU251" s="80"/>
      <c r="DPV251" s="80"/>
      <c r="DPW251" s="80"/>
      <c r="DPX251" s="80"/>
      <c r="DPY251" s="80"/>
      <c r="DPZ251" s="80"/>
      <c r="DQA251" s="80"/>
      <c r="DQB251" s="80"/>
      <c r="DQC251" s="80"/>
      <c r="DQD251" s="80"/>
      <c r="DQE251" s="80"/>
      <c r="DQF251" s="80"/>
      <c r="DQG251" s="80"/>
      <c r="DQH251" s="80"/>
      <c r="DQI251" s="80"/>
      <c r="DQJ251" s="80"/>
      <c r="DQK251" s="80"/>
      <c r="DQL251" s="80"/>
      <c r="DQM251" s="80"/>
      <c r="DQN251" s="80"/>
      <c r="DQO251" s="80"/>
      <c r="DQP251" s="80"/>
      <c r="DQQ251" s="80"/>
      <c r="DQR251" s="80"/>
      <c r="DQS251" s="80"/>
      <c r="DQT251" s="80"/>
      <c r="DQU251" s="80"/>
      <c r="DQV251" s="80"/>
      <c r="DQW251" s="80"/>
      <c r="DQX251" s="80"/>
      <c r="DQY251" s="80"/>
      <c r="DQZ251" s="80"/>
      <c r="DRA251" s="80"/>
      <c r="DRB251" s="80"/>
      <c r="DRC251" s="80"/>
      <c r="DRD251" s="80"/>
      <c r="DRE251" s="80"/>
      <c r="DRF251" s="80"/>
      <c r="DRG251" s="80"/>
      <c r="DRH251" s="80"/>
      <c r="DRI251" s="80"/>
      <c r="DRJ251" s="80"/>
      <c r="DRK251" s="80"/>
      <c r="DRL251" s="80"/>
      <c r="DRM251" s="80"/>
      <c r="DRN251" s="80"/>
      <c r="DRO251" s="80"/>
      <c r="DRP251" s="80"/>
      <c r="DRQ251" s="80"/>
      <c r="DRR251" s="80"/>
      <c r="DRS251" s="80"/>
      <c r="DRT251" s="80"/>
      <c r="DRU251" s="80"/>
      <c r="DRV251" s="80"/>
      <c r="DRW251" s="80"/>
      <c r="DRX251" s="80"/>
      <c r="DRY251" s="80"/>
      <c r="DRZ251" s="80"/>
      <c r="DSA251" s="80"/>
      <c r="DSB251" s="80"/>
      <c r="DSC251" s="80"/>
      <c r="DSD251" s="80"/>
      <c r="DSE251" s="80"/>
      <c r="DSF251" s="80"/>
      <c r="DSG251" s="80"/>
      <c r="DSH251" s="80"/>
      <c r="DSI251" s="80"/>
      <c r="DSJ251" s="80"/>
      <c r="DSK251" s="80"/>
      <c r="DSL251" s="80"/>
      <c r="DSM251" s="80"/>
      <c r="DSN251" s="80"/>
      <c r="DSO251" s="80"/>
      <c r="DSP251" s="80"/>
      <c r="DSQ251" s="80"/>
      <c r="DSR251" s="80"/>
      <c r="DSS251" s="80"/>
      <c r="DST251" s="80"/>
      <c r="DSU251" s="80"/>
      <c r="DSV251" s="80"/>
      <c r="DSW251" s="80"/>
      <c r="DSX251" s="80"/>
      <c r="DSY251" s="80"/>
      <c r="DSZ251" s="80"/>
      <c r="DTA251" s="80"/>
      <c r="DTB251" s="80"/>
      <c r="DTC251" s="80"/>
      <c r="DTD251" s="80"/>
      <c r="DTE251" s="80"/>
      <c r="DTF251" s="80"/>
      <c r="DTG251" s="80"/>
      <c r="DTH251" s="80"/>
      <c r="DTI251" s="80"/>
      <c r="DTJ251" s="80"/>
      <c r="DTK251" s="80"/>
      <c r="DTL251" s="80"/>
      <c r="DTM251" s="80"/>
      <c r="DTN251" s="80"/>
      <c r="DTO251" s="80"/>
      <c r="DTP251" s="80"/>
      <c r="DTQ251" s="80"/>
      <c r="DTR251" s="80"/>
      <c r="DTS251" s="80"/>
      <c r="DTT251" s="80"/>
      <c r="DTU251" s="80"/>
      <c r="DTV251" s="80"/>
      <c r="DTW251" s="80"/>
      <c r="DTX251" s="80"/>
      <c r="DTY251" s="80"/>
      <c r="DTZ251" s="80"/>
      <c r="DUA251" s="80"/>
      <c r="DUB251" s="80"/>
      <c r="DUC251" s="80"/>
      <c r="DUD251" s="80"/>
      <c r="DUE251" s="80"/>
      <c r="DUF251" s="80"/>
      <c r="DUG251" s="80"/>
      <c r="DUH251" s="80"/>
      <c r="DUI251" s="80"/>
      <c r="DUJ251" s="80"/>
      <c r="DUK251" s="80"/>
      <c r="DUL251" s="80"/>
      <c r="DUM251" s="80"/>
      <c r="DUN251" s="80"/>
      <c r="DUO251" s="80"/>
      <c r="DUP251" s="80"/>
      <c r="DUQ251" s="80"/>
      <c r="DUR251" s="80"/>
      <c r="DUS251" s="80"/>
      <c r="DUT251" s="80"/>
      <c r="DUU251" s="80"/>
      <c r="DUV251" s="80"/>
      <c r="DUW251" s="80"/>
      <c r="DUX251" s="80"/>
      <c r="DUY251" s="80"/>
      <c r="DUZ251" s="80"/>
      <c r="DVA251" s="80"/>
      <c r="DVB251" s="80"/>
      <c r="DVC251" s="80"/>
      <c r="DVD251" s="80"/>
      <c r="DVE251" s="80"/>
      <c r="DVF251" s="80"/>
      <c r="DVG251" s="80"/>
      <c r="DVH251" s="80"/>
      <c r="DVI251" s="80"/>
      <c r="DVJ251" s="80"/>
      <c r="DVK251" s="80"/>
      <c r="DVL251" s="80"/>
      <c r="DVM251" s="80"/>
      <c r="DVN251" s="80"/>
      <c r="DVO251" s="80"/>
      <c r="DVP251" s="80"/>
      <c r="DVQ251" s="80"/>
      <c r="DVR251" s="80"/>
      <c r="DVS251" s="80"/>
      <c r="DVT251" s="80"/>
      <c r="DVU251" s="80"/>
      <c r="DVV251" s="80"/>
      <c r="DVW251" s="80"/>
      <c r="DVX251" s="80"/>
      <c r="DVY251" s="80"/>
      <c r="DVZ251" s="80"/>
      <c r="DWA251" s="80"/>
      <c r="DWB251" s="80"/>
      <c r="DWC251" s="80"/>
      <c r="DWD251" s="80"/>
      <c r="DWE251" s="80"/>
      <c r="DWF251" s="80"/>
      <c r="DWG251" s="80"/>
      <c r="DWH251" s="80"/>
      <c r="DWI251" s="80"/>
      <c r="DWJ251" s="80"/>
      <c r="DWK251" s="80"/>
      <c r="DWL251" s="80"/>
      <c r="DWM251" s="80"/>
      <c r="DWN251" s="80"/>
      <c r="DWO251" s="80"/>
      <c r="DWP251" s="80"/>
      <c r="DWQ251" s="80"/>
      <c r="DWR251" s="80"/>
      <c r="DWS251" s="80"/>
      <c r="DWT251" s="80"/>
      <c r="DWU251" s="80"/>
      <c r="DWV251" s="80"/>
      <c r="DWW251" s="80"/>
      <c r="DWX251" s="80"/>
      <c r="DWY251" s="80"/>
      <c r="DWZ251" s="80"/>
      <c r="DXA251" s="80"/>
      <c r="DXB251" s="80"/>
      <c r="DXC251" s="80"/>
      <c r="DXD251" s="80"/>
      <c r="DXE251" s="80"/>
      <c r="DXF251" s="80"/>
      <c r="DXG251" s="80"/>
      <c r="DXH251" s="80"/>
      <c r="DXI251" s="80"/>
      <c r="DXJ251" s="80"/>
      <c r="DXK251" s="80"/>
      <c r="DXL251" s="80"/>
      <c r="DXM251" s="80"/>
      <c r="DXN251" s="80"/>
      <c r="DXO251" s="80"/>
      <c r="DXP251" s="80"/>
      <c r="DXQ251" s="80"/>
      <c r="DXR251" s="80"/>
      <c r="DXS251" s="80"/>
      <c r="DXT251" s="80"/>
      <c r="DXU251" s="80"/>
      <c r="DXV251" s="80"/>
      <c r="DXW251" s="80"/>
      <c r="DXX251" s="80"/>
      <c r="DXY251" s="80"/>
      <c r="DXZ251" s="80"/>
      <c r="DYA251" s="80"/>
      <c r="DYB251" s="80"/>
      <c r="DYC251" s="80"/>
      <c r="DYD251" s="80"/>
      <c r="DYE251" s="80"/>
      <c r="DYF251" s="80"/>
      <c r="DYG251" s="80"/>
      <c r="DYH251" s="80"/>
      <c r="DYI251" s="80"/>
      <c r="DYJ251" s="80"/>
      <c r="DYK251" s="80"/>
      <c r="DYL251" s="80"/>
      <c r="DYM251" s="80"/>
      <c r="DYN251" s="80"/>
      <c r="DYO251" s="80"/>
      <c r="DYP251" s="80"/>
      <c r="DYQ251" s="80"/>
      <c r="DYR251" s="80"/>
      <c r="DYS251" s="80"/>
      <c r="DYT251" s="80"/>
      <c r="DYU251" s="80"/>
      <c r="DYV251" s="80"/>
      <c r="DYW251" s="80"/>
      <c r="DYX251" s="80"/>
      <c r="DYY251" s="80"/>
      <c r="DYZ251" s="80"/>
      <c r="DZA251" s="80"/>
      <c r="DZB251" s="80"/>
      <c r="DZC251" s="80"/>
      <c r="DZD251" s="80"/>
      <c r="DZE251" s="80"/>
      <c r="DZF251" s="80"/>
      <c r="DZG251" s="80"/>
      <c r="DZH251" s="80"/>
      <c r="DZI251" s="80"/>
      <c r="DZJ251" s="80"/>
      <c r="DZK251" s="80"/>
      <c r="DZL251" s="80"/>
      <c r="DZM251" s="80"/>
      <c r="DZN251" s="80"/>
      <c r="DZO251" s="80"/>
      <c r="DZP251" s="80"/>
      <c r="DZQ251" s="80"/>
      <c r="DZR251" s="80"/>
      <c r="DZS251" s="80"/>
      <c r="DZT251" s="80"/>
      <c r="DZU251" s="80"/>
      <c r="DZV251" s="80"/>
      <c r="DZW251" s="80"/>
      <c r="DZX251" s="80"/>
      <c r="DZY251" s="80"/>
      <c r="DZZ251" s="80"/>
      <c r="EAA251" s="80"/>
      <c r="EAB251" s="80"/>
      <c r="EAC251" s="80"/>
      <c r="EAD251" s="80"/>
      <c r="EAE251" s="80"/>
      <c r="EAF251" s="80"/>
      <c r="EAG251" s="80"/>
      <c r="EAH251" s="80"/>
      <c r="EAI251" s="80"/>
      <c r="EAJ251" s="80"/>
      <c r="EAK251" s="80"/>
      <c r="EAL251" s="80"/>
      <c r="EAM251" s="80"/>
      <c r="EAN251" s="80"/>
      <c r="EAO251" s="80"/>
      <c r="EAP251" s="80"/>
      <c r="EAQ251" s="80"/>
      <c r="EAR251" s="80"/>
      <c r="EAS251" s="80"/>
      <c r="EAT251" s="80"/>
      <c r="EAU251" s="80"/>
      <c r="EAV251" s="80"/>
      <c r="EAW251" s="80"/>
      <c r="EAX251" s="80"/>
      <c r="EAY251" s="80"/>
      <c r="EAZ251" s="80"/>
      <c r="EBA251" s="80"/>
      <c r="EBB251" s="80"/>
      <c r="EBC251" s="80"/>
      <c r="EBD251" s="80"/>
      <c r="EBE251" s="80"/>
      <c r="EBF251" s="80"/>
      <c r="EBG251" s="80"/>
      <c r="EBH251" s="80"/>
      <c r="EBI251" s="80"/>
      <c r="EBJ251" s="80"/>
      <c r="EBK251" s="80"/>
      <c r="EBL251" s="80"/>
      <c r="EBM251" s="80"/>
      <c r="EBN251" s="80"/>
      <c r="EBO251" s="80"/>
      <c r="EBP251" s="80"/>
      <c r="EBQ251" s="80"/>
      <c r="EBR251" s="80"/>
      <c r="EBS251" s="80"/>
      <c r="EBT251" s="80"/>
      <c r="EBU251" s="80"/>
      <c r="EBV251" s="80"/>
      <c r="EBW251" s="80"/>
      <c r="EBX251" s="80"/>
      <c r="EBY251" s="80"/>
      <c r="EBZ251" s="80"/>
      <c r="ECA251" s="80"/>
      <c r="ECB251" s="80"/>
      <c r="ECC251" s="80"/>
      <c r="ECD251" s="80"/>
      <c r="ECE251" s="80"/>
      <c r="ECF251" s="80"/>
      <c r="ECG251" s="80"/>
      <c r="ECH251" s="80"/>
      <c r="ECI251" s="80"/>
      <c r="ECJ251" s="80"/>
      <c r="ECK251" s="80"/>
      <c r="ECL251" s="80"/>
      <c r="ECM251" s="80"/>
      <c r="ECN251" s="80"/>
      <c r="ECO251" s="80"/>
      <c r="ECP251" s="80"/>
      <c r="ECQ251" s="80"/>
      <c r="ECR251" s="80"/>
      <c r="ECS251" s="80"/>
      <c r="ECT251" s="80"/>
      <c r="ECU251" s="80"/>
      <c r="ECV251" s="80"/>
      <c r="ECW251" s="80"/>
      <c r="ECX251" s="80"/>
      <c r="ECY251" s="80"/>
      <c r="ECZ251" s="80"/>
      <c r="EDA251" s="80"/>
      <c r="EDB251" s="80"/>
      <c r="EDC251" s="80"/>
      <c r="EDD251" s="80"/>
      <c r="EDE251" s="80"/>
      <c r="EDF251" s="80"/>
      <c r="EDG251" s="80"/>
      <c r="EDH251" s="80"/>
      <c r="EDI251" s="80"/>
      <c r="EDJ251" s="80"/>
      <c r="EDK251" s="80"/>
      <c r="EDL251" s="80"/>
      <c r="EDM251" s="80"/>
      <c r="EDN251" s="80"/>
      <c r="EDO251" s="80"/>
      <c r="EDP251" s="80"/>
      <c r="EDQ251" s="80"/>
      <c r="EDR251" s="80"/>
      <c r="EDS251" s="80"/>
      <c r="EDT251" s="80"/>
      <c r="EDU251" s="80"/>
      <c r="EDV251" s="80"/>
      <c r="EDW251" s="80"/>
      <c r="EDX251" s="80"/>
      <c r="EDY251" s="80"/>
      <c r="EDZ251" s="80"/>
      <c r="EEA251" s="80"/>
      <c r="EEB251" s="80"/>
      <c r="EEC251" s="80"/>
      <c r="EED251" s="80"/>
      <c r="EEE251" s="80"/>
      <c r="EEF251" s="80"/>
      <c r="EEG251" s="80"/>
      <c r="EEH251" s="80"/>
      <c r="EEI251" s="80"/>
      <c r="EEJ251" s="80"/>
      <c r="EEK251" s="80"/>
      <c r="EEL251" s="80"/>
      <c r="EEM251" s="80"/>
      <c r="EEN251" s="80"/>
      <c r="EEO251" s="80"/>
      <c r="EEP251" s="80"/>
      <c r="EEQ251" s="80"/>
      <c r="EER251" s="80"/>
      <c r="EES251" s="80"/>
      <c r="EET251" s="80"/>
      <c r="EEU251" s="80"/>
      <c r="EEV251" s="80"/>
      <c r="EEW251" s="80"/>
      <c r="EEX251" s="80"/>
      <c r="EEY251" s="80"/>
      <c r="EEZ251" s="80"/>
      <c r="EFA251" s="80"/>
      <c r="EFB251" s="80"/>
      <c r="EFC251" s="80"/>
      <c r="EFD251" s="80"/>
      <c r="EFE251" s="80"/>
      <c r="EFF251" s="80"/>
      <c r="EFG251" s="80"/>
      <c r="EFH251" s="80"/>
      <c r="EFI251" s="80"/>
      <c r="EFJ251" s="80"/>
      <c r="EFK251" s="80"/>
      <c r="EFL251" s="80"/>
      <c r="EFM251" s="80"/>
      <c r="EFN251" s="80"/>
      <c r="EFO251" s="80"/>
      <c r="EFP251" s="80"/>
      <c r="EFQ251" s="80"/>
      <c r="EFR251" s="80"/>
      <c r="EFS251" s="80"/>
      <c r="EFT251" s="80"/>
      <c r="EFU251" s="80"/>
      <c r="EFV251" s="80"/>
      <c r="EFW251" s="80"/>
      <c r="EFX251" s="80"/>
      <c r="EFY251" s="80"/>
      <c r="EFZ251" s="80"/>
      <c r="EGA251" s="80"/>
      <c r="EGB251" s="80"/>
      <c r="EGC251" s="80"/>
      <c r="EGD251" s="80"/>
      <c r="EGE251" s="80"/>
      <c r="EGF251" s="80"/>
      <c r="EGG251" s="80"/>
      <c r="EGH251" s="80"/>
      <c r="EGI251" s="80"/>
      <c r="EGJ251" s="80"/>
      <c r="EGK251" s="80"/>
      <c r="EGL251" s="80"/>
      <c r="EGM251" s="80"/>
      <c r="EGN251" s="80"/>
      <c r="EGO251" s="80"/>
      <c r="EGP251" s="80"/>
      <c r="EGQ251" s="80"/>
      <c r="EGR251" s="80"/>
      <c r="EGS251" s="80"/>
      <c r="EGT251" s="80"/>
      <c r="EGU251" s="80"/>
      <c r="EGV251" s="80"/>
      <c r="EGW251" s="80"/>
      <c r="EGX251" s="80"/>
      <c r="EGY251" s="80"/>
      <c r="EGZ251" s="80"/>
      <c r="EHA251" s="80"/>
      <c r="EHB251" s="80"/>
      <c r="EHC251" s="80"/>
      <c r="EHD251" s="80"/>
      <c r="EHE251" s="80"/>
      <c r="EHF251" s="80"/>
      <c r="EHG251" s="80"/>
      <c r="EHH251" s="80"/>
      <c r="EHI251" s="80"/>
      <c r="EHJ251" s="80"/>
      <c r="EHK251" s="80"/>
      <c r="EHL251" s="80"/>
      <c r="EHM251" s="80"/>
      <c r="EHN251" s="80"/>
      <c r="EHO251" s="80"/>
      <c r="EHP251" s="80"/>
      <c r="EHQ251" s="80"/>
      <c r="EHR251" s="80"/>
      <c r="EHS251" s="80"/>
      <c r="EHT251" s="80"/>
      <c r="EHU251" s="80"/>
      <c r="EHV251" s="80"/>
      <c r="EHW251" s="80"/>
      <c r="EHX251" s="80"/>
      <c r="EHY251" s="80"/>
      <c r="EHZ251" s="80"/>
      <c r="EIA251" s="80"/>
      <c r="EIB251" s="80"/>
      <c r="EIC251" s="80"/>
      <c r="EID251" s="80"/>
      <c r="EIE251" s="80"/>
      <c r="EIF251" s="80"/>
      <c r="EIG251" s="80"/>
      <c r="EIH251" s="80"/>
      <c r="EII251" s="80"/>
      <c r="EIJ251" s="80"/>
      <c r="EIK251" s="80"/>
      <c r="EIL251" s="80"/>
      <c r="EIM251" s="80"/>
      <c r="EIN251" s="80"/>
      <c r="EIO251" s="80"/>
      <c r="EIP251" s="80"/>
      <c r="EIQ251" s="80"/>
      <c r="EIR251" s="80"/>
      <c r="EIS251" s="80"/>
      <c r="EIT251" s="80"/>
      <c r="EIU251" s="80"/>
      <c r="EIV251" s="80"/>
      <c r="EIW251" s="80"/>
      <c r="EIX251" s="80"/>
      <c r="EIY251" s="80"/>
      <c r="EIZ251" s="80"/>
      <c r="EJA251" s="80"/>
      <c r="EJB251" s="80"/>
      <c r="EJC251" s="80"/>
      <c r="EJD251" s="80"/>
      <c r="EJE251" s="80"/>
      <c r="EJF251" s="80"/>
      <c r="EJG251" s="80"/>
      <c r="EJH251" s="80"/>
      <c r="EJI251" s="80"/>
      <c r="EJJ251" s="80"/>
      <c r="EJK251" s="80"/>
      <c r="EJL251" s="80"/>
      <c r="EJM251" s="80"/>
      <c r="EJN251" s="80"/>
      <c r="EJO251" s="80"/>
      <c r="EJP251" s="80"/>
      <c r="EJQ251" s="80"/>
      <c r="EJR251" s="80"/>
      <c r="EJS251" s="80"/>
      <c r="EJT251" s="80"/>
      <c r="EJU251" s="80"/>
      <c r="EJV251" s="80"/>
      <c r="EJW251" s="80"/>
      <c r="EJX251" s="80"/>
      <c r="EJY251" s="80"/>
      <c r="EJZ251" s="80"/>
      <c r="EKA251" s="80"/>
      <c r="EKB251" s="80"/>
      <c r="EKC251" s="80"/>
      <c r="EKD251" s="80"/>
      <c r="EKE251" s="80"/>
      <c r="EKF251" s="80"/>
      <c r="EKG251" s="80"/>
      <c r="EKH251" s="80"/>
      <c r="EKI251" s="80"/>
      <c r="EKJ251" s="80"/>
      <c r="EKK251" s="80"/>
      <c r="EKL251" s="80"/>
      <c r="EKM251" s="80"/>
      <c r="EKN251" s="80"/>
      <c r="EKO251" s="80"/>
      <c r="EKP251" s="80"/>
      <c r="EKQ251" s="80"/>
      <c r="EKR251" s="80"/>
      <c r="EKS251" s="80"/>
      <c r="EKT251" s="80"/>
      <c r="EKU251" s="80"/>
      <c r="EKV251" s="80"/>
      <c r="EKW251" s="80"/>
      <c r="EKX251" s="80"/>
      <c r="EKY251" s="80"/>
      <c r="EKZ251" s="80"/>
      <c r="ELA251" s="80"/>
      <c r="ELB251" s="80"/>
      <c r="ELC251" s="80"/>
      <c r="ELD251" s="80"/>
      <c r="ELE251" s="80"/>
      <c r="ELF251" s="80"/>
      <c r="ELG251" s="80"/>
      <c r="ELH251" s="80"/>
      <c r="ELI251" s="80"/>
      <c r="ELJ251" s="80"/>
      <c r="ELK251" s="80"/>
      <c r="ELL251" s="80"/>
      <c r="ELM251" s="80"/>
      <c r="ELN251" s="80"/>
      <c r="ELO251" s="80"/>
      <c r="ELP251" s="80"/>
      <c r="ELQ251" s="80"/>
      <c r="ELR251" s="80"/>
      <c r="ELS251" s="80"/>
      <c r="ELT251" s="80"/>
      <c r="ELU251" s="80"/>
      <c r="ELV251" s="80"/>
      <c r="ELW251" s="80"/>
      <c r="ELX251" s="80"/>
      <c r="ELY251" s="80"/>
      <c r="ELZ251" s="80"/>
      <c r="EMA251" s="80"/>
      <c r="EMB251" s="80"/>
      <c r="EMC251" s="80"/>
      <c r="EMD251" s="80"/>
      <c r="EME251" s="80"/>
      <c r="EMF251" s="80"/>
      <c r="EMG251" s="80"/>
      <c r="EMH251" s="80"/>
      <c r="EMI251" s="80"/>
      <c r="EMJ251" s="80"/>
      <c r="EMK251" s="80"/>
      <c r="EML251" s="80"/>
      <c r="EMM251" s="80"/>
      <c r="EMN251" s="80"/>
      <c r="EMO251" s="80"/>
      <c r="EMP251" s="80"/>
      <c r="EMQ251" s="80"/>
      <c r="EMR251" s="80"/>
      <c r="EMS251" s="80"/>
      <c r="EMT251" s="80"/>
      <c r="EMU251" s="80"/>
      <c r="EMV251" s="80"/>
      <c r="EMW251" s="80"/>
      <c r="EMX251" s="80"/>
      <c r="EMY251" s="80"/>
      <c r="EMZ251" s="80"/>
      <c r="ENA251" s="80"/>
      <c r="ENB251" s="80"/>
      <c r="ENC251" s="80"/>
      <c r="END251" s="80"/>
      <c r="ENE251" s="80"/>
      <c r="ENF251" s="80"/>
      <c r="ENG251" s="80"/>
      <c r="ENH251" s="80"/>
      <c r="ENI251" s="80"/>
      <c r="ENJ251" s="80"/>
      <c r="ENK251" s="80"/>
      <c r="ENL251" s="80"/>
      <c r="ENM251" s="80"/>
      <c r="ENN251" s="80"/>
      <c r="ENO251" s="80"/>
      <c r="ENP251" s="80"/>
      <c r="ENQ251" s="80"/>
      <c r="ENR251" s="80"/>
      <c r="ENS251" s="80"/>
      <c r="ENT251" s="80"/>
      <c r="ENU251" s="80"/>
      <c r="ENV251" s="80"/>
      <c r="ENW251" s="80"/>
      <c r="ENX251" s="80"/>
      <c r="ENY251" s="80"/>
      <c r="ENZ251" s="80"/>
      <c r="EOA251" s="80"/>
      <c r="EOB251" s="80"/>
      <c r="EOC251" s="80"/>
      <c r="EOD251" s="80"/>
      <c r="EOE251" s="80"/>
      <c r="EOF251" s="80"/>
      <c r="EOG251" s="80"/>
      <c r="EOH251" s="80"/>
      <c r="EOI251" s="80"/>
      <c r="EOJ251" s="80"/>
      <c r="EOK251" s="80"/>
      <c r="EOL251" s="80"/>
      <c r="EOM251" s="80"/>
      <c r="EON251" s="80"/>
      <c r="EOO251" s="80"/>
      <c r="EOP251" s="80"/>
      <c r="EOQ251" s="80"/>
      <c r="EOR251" s="80"/>
      <c r="EOS251" s="80"/>
      <c r="EOT251" s="80"/>
      <c r="EOU251" s="80"/>
      <c r="EOV251" s="80"/>
      <c r="EOW251" s="80"/>
      <c r="EOX251" s="80"/>
      <c r="EOY251" s="80"/>
      <c r="EOZ251" s="80"/>
      <c r="EPA251" s="80"/>
      <c r="EPB251" s="80"/>
      <c r="EPC251" s="80"/>
      <c r="EPD251" s="80"/>
      <c r="EPE251" s="80"/>
      <c r="EPF251" s="80"/>
      <c r="EPG251" s="80"/>
      <c r="EPH251" s="80"/>
      <c r="EPI251" s="80"/>
      <c r="EPJ251" s="80"/>
      <c r="EPK251" s="80"/>
      <c r="EPL251" s="80"/>
      <c r="EPM251" s="80"/>
      <c r="EPN251" s="80"/>
      <c r="EPO251" s="80"/>
      <c r="EPP251" s="80"/>
      <c r="EPQ251" s="80"/>
      <c r="EPR251" s="80"/>
      <c r="EPS251" s="80"/>
      <c r="EPT251" s="80"/>
      <c r="EPU251" s="80"/>
      <c r="EPV251" s="80"/>
      <c r="EPW251" s="80"/>
      <c r="EPX251" s="80"/>
      <c r="EPY251" s="80"/>
      <c r="EPZ251" s="80"/>
      <c r="EQA251" s="80"/>
      <c r="EQB251" s="80"/>
      <c r="EQC251" s="80"/>
      <c r="EQD251" s="80"/>
      <c r="EQE251" s="80"/>
      <c r="EQF251" s="80"/>
      <c r="EQG251" s="80"/>
      <c r="EQH251" s="80"/>
      <c r="EQI251" s="80"/>
      <c r="EQJ251" s="80"/>
      <c r="EQK251" s="80"/>
      <c r="EQL251" s="80"/>
      <c r="EQM251" s="80"/>
      <c r="EQN251" s="80"/>
      <c r="EQO251" s="80"/>
      <c r="EQP251" s="80"/>
      <c r="EQQ251" s="80"/>
      <c r="EQR251" s="80"/>
      <c r="EQS251" s="80"/>
      <c r="EQT251" s="80"/>
      <c r="EQU251" s="80"/>
      <c r="EQV251" s="80"/>
      <c r="EQW251" s="80"/>
      <c r="EQX251" s="80"/>
      <c r="EQY251" s="80"/>
      <c r="EQZ251" s="80"/>
      <c r="ERA251" s="80"/>
      <c r="ERB251" s="80"/>
      <c r="ERC251" s="80"/>
      <c r="ERD251" s="80"/>
      <c r="ERE251" s="80"/>
      <c r="ERF251" s="80"/>
      <c r="ERG251" s="80"/>
      <c r="ERH251" s="80"/>
      <c r="ERI251" s="80"/>
      <c r="ERJ251" s="80"/>
      <c r="ERK251" s="80"/>
      <c r="ERL251" s="80"/>
      <c r="ERM251" s="80"/>
      <c r="ERN251" s="80"/>
      <c r="ERO251" s="80"/>
      <c r="ERP251" s="80"/>
      <c r="ERQ251" s="80"/>
      <c r="ERR251" s="80"/>
      <c r="ERS251" s="80"/>
      <c r="ERT251" s="80"/>
      <c r="ERU251" s="80"/>
      <c r="ERV251" s="80"/>
      <c r="ERW251" s="80"/>
      <c r="ERX251" s="80"/>
      <c r="ERY251" s="80"/>
      <c r="ERZ251" s="80"/>
      <c r="ESA251" s="80"/>
      <c r="ESB251" s="80"/>
      <c r="ESC251" s="80"/>
      <c r="ESD251" s="80"/>
      <c r="ESE251" s="80"/>
      <c r="ESF251" s="80"/>
      <c r="ESG251" s="80"/>
      <c r="ESH251" s="80"/>
      <c r="ESI251" s="80"/>
      <c r="ESJ251" s="80"/>
      <c r="ESK251" s="80"/>
      <c r="ESL251" s="80"/>
      <c r="ESM251" s="80"/>
      <c r="ESN251" s="80"/>
      <c r="ESO251" s="80"/>
      <c r="ESP251" s="80"/>
      <c r="ESQ251" s="80"/>
      <c r="ESR251" s="80"/>
      <c r="ESS251" s="80"/>
      <c r="EST251" s="80"/>
      <c r="ESU251" s="80"/>
      <c r="ESV251" s="80"/>
      <c r="ESW251" s="80"/>
      <c r="ESX251" s="80"/>
      <c r="ESY251" s="80"/>
      <c r="ESZ251" s="80"/>
      <c r="ETA251" s="80"/>
      <c r="ETB251" s="80"/>
      <c r="ETC251" s="80"/>
      <c r="ETD251" s="80"/>
      <c r="ETE251" s="80"/>
      <c r="ETF251" s="80"/>
      <c r="ETG251" s="80"/>
      <c r="ETH251" s="80"/>
      <c r="ETI251" s="80"/>
      <c r="ETJ251" s="80"/>
      <c r="ETK251" s="80"/>
      <c r="ETL251" s="80"/>
      <c r="ETM251" s="80"/>
      <c r="ETN251" s="80"/>
      <c r="ETO251" s="80"/>
      <c r="ETP251" s="80"/>
      <c r="ETQ251" s="80"/>
      <c r="ETR251" s="80"/>
      <c r="ETS251" s="80"/>
      <c r="ETT251" s="80"/>
      <c r="ETU251" s="80"/>
      <c r="ETV251" s="80"/>
      <c r="ETW251" s="80"/>
      <c r="ETX251" s="80"/>
      <c r="ETY251" s="80"/>
      <c r="ETZ251" s="80"/>
      <c r="EUA251" s="80"/>
      <c r="EUB251" s="80"/>
      <c r="EUC251" s="80"/>
      <c r="EUD251" s="80"/>
      <c r="EUE251" s="80"/>
      <c r="EUF251" s="80"/>
      <c r="EUG251" s="80"/>
      <c r="EUH251" s="80"/>
      <c r="EUI251" s="80"/>
      <c r="EUJ251" s="80"/>
      <c r="EUK251" s="80"/>
      <c r="EUL251" s="80"/>
      <c r="EUM251" s="80"/>
      <c r="EUN251" s="80"/>
      <c r="EUO251" s="80"/>
      <c r="EUP251" s="80"/>
      <c r="EUQ251" s="80"/>
      <c r="EUR251" s="80"/>
      <c r="EUS251" s="80"/>
      <c r="EUT251" s="80"/>
      <c r="EUU251" s="80"/>
      <c r="EUV251" s="80"/>
      <c r="EUW251" s="80"/>
      <c r="EUX251" s="80"/>
      <c r="EUY251" s="80"/>
      <c r="EUZ251" s="80"/>
      <c r="EVA251" s="80"/>
      <c r="EVB251" s="80"/>
      <c r="EVC251" s="80"/>
      <c r="EVD251" s="80"/>
      <c r="EVE251" s="80"/>
      <c r="EVF251" s="80"/>
      <c r="EVG251" s="80"/>
      <c r="EVH251" s="80"/>
      <c r="EVI251" s="80"/>
      <c r="EVJ251" s="80"/>
      <c r="EVK251" s="80"/>
      <c r="EVL251" s="80"/>
      <c r="EVM251" s="80"/>
      <c r="EVN251" s="80"/>
      <c r="EVO251" s="80"/>
      <c r="EVP251" s="80"/>
      <c r="EVQ251" s="80"/>
      <c r="EVR251" s="80"/>
      <c r="EVS251" s="80"/>
      <c r="EVT251" s="80"/>
      <c r="EVU251" s="80"/>
      <c r="EVV251" s="80"/>
      <c r="EVW251" s="80"/>
      <c r="EVX251" s="80"/>
      <c r="EVY251" s="80"/>
      <c r="EVZ251" s="80"/>
      <c r="EWA251" s="80"/>
      <c r="EWB251" s="80"/>
      <c r="EWC251" s="80"/>
      <c r="EWD251" s="80"/>
      <c r="EWE251" s="80"/>
      <c r="EWF251" s="80"/>
      <c r="EWG251" s="80"/>
      <c r="EWH251" s="80"/>
      <c r="EWI251" s="80"/>
      <c r="EWJ251" s="80"/>
      <c r="EWK251" s="80"/>
      <c r="EWL251" s="80"/>
      <c r="EWM251" s="80"/>
      <c r="EWN251" s="80"/>
      <c r="EWO251" s="80"/>
      <c r="EWP251" s="80"/>
      <c r="EWQ251" s="80"/>
      <c r="EWR251" s="80"/>
      <c r="EWS251" s="80"/>
      <c r="EWT251" s="80"/>
      <c r="EWU251" s="80"/>
      <c r="EWV251" s="80"/>
      <c r="EWW251" s="80"/>
      <c r="EWX251" s="80"/>
      <c r="EWY251" s="80"/>
      <c r="EWZ251" s="80"/>
      <c r="EXA251" s="80"/>
      <c r="EXB251" s="80"/>
      <c r="EXC251" s="80"/>
      <c r="EXD251" s="80"/>
      <c r="EXE251" s="80"/>
      <c r="EXF251" s="80"/>
      <c r="EXG251" s="80"/>
      <c r="EXH251" s="80"/>
      <c r="EXI251" s="80"/>
      <c r="EXJ251" s="80"/>
      <c r="EXK251" s="80"/>
      <c r="EXL251" s="80"/>
      <c r="EXM251" s="80"/>
      <c r="EXN251" s="80"/>
      <c r="EXO251" s="80"/>
      <c r="EXP251" s="80"/>
      <c r="EXQ251" s="80"/>
      <c r="EXR251" s="80"/>
      <c r="EXS251" s="80"/>
      <c r="EXT251" s="80"/>
      <c r="EXU251" s="80"/>
      <c r="EXV251" s="80"/>
      <c r="EXW251" s="80"/>
      <c r="EXX251" s="80"/>
      <c r="EXY251" s="80"/>
      <c r="EXZ251" s="80"/>
      <c r="EYA251" s="80"/>
      <c r="EYB251" s="80"/>
      <c r="EYC251" s="80"/>
      <c r="EYD251" s="80"/>
      <c r="EYE251" s="80"/>
      <c r="EYF251" s="80"/>
      <c r="EYG251" s="80"/>
      <c r="EYH251" s="80"/>
      <c r="EYI251" s="80"/>
      <c r="EYJ251" s="80"/>
      <c r="EYK251" s="80"/>
      <c r="EYL251" s="80"/>
      <c r="EYM251" s="80"/>
      <c r="EYN251" s="80"/>
      <c r="EYO251" s="80"/>
      <c r="EYP251" s="80"/>
      <c r="EYQ251" s="80"/>
      <c r="EYR251" s="80"/>
      <c r="EYS251" s="80"/>
      <c r="EYT251" s="80"/>
      <c r="EYU251" s="80"/>
      <c r="EYV251" s="80"/>
      <c r="EYW251" s="80"/>
      <c r="EYX251" s="80"/>
      <c r="EYY251" s="80"/>
      <c r="EYZ251" s="80"/>
      <c r="EZA251" s="80"/>
      <c r="EZB251" s="80"/>
      <c r="EZC251" s="80"/>
      <c r="EZD251" s="80"/>
      <c r="EZE251" s="80"/>
      <c r="EZF251" s="80"/>
      <c r="EZG251" s="80"/>
      <c r="EZH251" s="80"/>
      <c r="EZI251" s="80"/>
      <c r="EZJ251" s="80"/>
      <c r="EZK251" s="80"/>
      <c r="EZL251" s="80"/>
      <c r="EZM251" s="80"/>
      <c r="EZN251" s="80"/>
      <c r="EZO251" s="80"/>
      <c r="EZP251" s="80"/>
      <c r="EZQ251" s="80"/>
      <c r="EZR251" s="80"/>
      <c r="EZS251" s="80"/>
      <c r="EZT251" s="80"/>
      <c r="EZU251" s="80"/>
      <c r="EZV251" s="80"/>
      <c r="EZW251" s="80"/>
      <c r="EZX251" s="80"/>
      <c r="EZY251" s="80"/>
      <c r="EZZ251" s="80"/>
      <c r="FAA251" s="80"/>
      <c r="FAB251" s="80"/>
      <c r="FAC251" s="80"/>
      <c r="FAD251" s="80"/>
      <c r="FAE251" s="80"/>
      <c r="FAF251" s="80"/>
      <c r="FAG251" s="80"/>
      <c r="FAH251" s="80"/>
      <c r="FAI251" s="80"/>
      <c r="FAJ251" s="80"/>
      <c r="FAK251" s="80"/>
      <c r="FAL251" s="80"/>
      <c r="FAM251" s="80"/>
      <c r="FAN251" s="80"/>
      <c r="FAO251" s="80"/>
      <c r="FAP251" s="80"/>
      <c r="FAQ251" s="80"/>
      <c r="FAR251" s="80"/>
      <c r="FAS251" s="80"/>
      <c r="FAT251" s="80"/>
      <c r="FAU251" s="80"/>
      <c r="FAV251" s="80"/>
      <c r="FAW251" s="80"/>
      <c r="FAX251" s="80"/>
      <c r="FAY251" s="80"/>
      <c r="FAZ251" s="80"/>
      <c r="FBA251" s="80"/>
      <c r="FBB251" s="80"/>
      <c r="FBC251" s="80"/>
      <c r="FBD251" s="80"/>
      <c r="FBE251" s="80"/>
      <c r="FBF251" s="80"/>
      <c r="FBG251" s="80"/>
      <c r="FBH251" s="80"/>
      <c r="FBI251" s="80"/>
      <c r="FBJ251" s="80"/>
      <c r="FBK251" s="80"/>
      <c r="FBL251" s="80"/>
      <c r="FBM251" s="80"/>
      <c r="FBN251" s="80"/>
      <c r="FBO251" s="80"/>
      <c r="FBP251" s="80"/>
      <c r="FBQ251" s="80"/>
      <c r="FBR251" s="80"/>
      <c r="FBS251" s="80"/>
      <c r="FBT251" s="80"/>
      <c r="FBU251" s="80"/>
      <c r="FBV251" s="80"/>
      <c r="FBW251" s="80"/>
      <c r="FBX251" s="80"/>
      <c r="FBY251" s="80"/>
      <c r="FBZ251" s="80"/>
      <c r="FCA251" s="80"/>
      <c r="FCB251" s="80"/>
      <c r="FCC251" s="80"/>
      <c r="FCD251" s="80"/>
      <c r="FCE251" s="80"/>
      <c r="FCF251" s="80"/>
      <c r="FCG251" s="80"/>
      <c r="FCH251" s="80"/>
      <c r="FCI251" s="80"/>
      <c r="FCJ251" s="80"/>
      <c r="FCK251" s="80"/>
      <c r="FCL251" s="80"/>
      <c r="FCM251" s="80"/>
      <c r="FCN251" s="80"/>
      <c r="FCO251" s="80"/>
      <c r="FCP251" s="80"/>
      <c r="FCQ251" s="80"/>
      <c r="FCR251" s="80"/>
      <c r="FCS251" s="80"/>
      <c r="FCT251" s="80"/>
      <c r="FCU251" s="80"/>
      <c r="FCV251" s="80"/>
      <c r="FCW251" s="80"/>
      <c r="FCX251" s="80"/>
      <c r="FCY251" s="80"/>
      <c r="FCZ251" s="80"/>
      <c r="FDA251" s="80"/>
      <c r="FDB251" s="80"/>
      <c r="FDC251" s="80"/>
      <c r="FDD251" s="80"/>
      <c r="FDE251" s="80"/>
      <c r="FDF251" s="80"/>
      <c r="FDG251" s="80"/>
      <c r="FDH251" s="80"/>
      <c r="FDI251" s="80"/>
      <c r="FDJ251" s="80"/>
      <c r="FDK251" s="80"/>
      <c r="FDL251" s="80"/>
      <c r="FDM251" s="80"/>
      <c r="FDN251" s="80"/>
      <c r="FDO251" s="80"/>
      <c r="FDP251" s="80"/>
      <c r="FDQ251" s="80"/>
      <c r="FDR251" s="80"/>
      <c r="FDS251" s="80"/>
      <c r="FDT251" s="80"/>
      <c r="FDU251" s="80"/>
      <c r="FDV251" s="80"/>
      <c r="FDW251" s="80"/>
      <c r="FDX251" s="80"/>
      <c r="FDY251" s="80"/>
      <c r="FDZ251" s="80"/>
      <c r="FEA251" s="80"/>
      <c r="FEB251" s="80"/>
      <c r="FEC251" s="80"/>
      <c r="FED251" s="80"/>
      <c r="FEE251" s="80"/>
      <c r="FEF251" s="80"/>
      <c r="FEG251" s="80"/>
      <c r="FEH251" s="80"/>
      <c r="FEI251" s="80"/>
      <c r="FEJ251" s="80"/>
      <c r="FEK251" s="80"/>
      <c r="FEL251" s="80"/>
      <c r="FEM251" s="80"/>
      <c r="FEN251" s="80"/>
      <c r="FEO251" s="80"/>
      <c r="FEP251" s="80"/>
      <c r="FEQ251" s="80"/>
      <c r="FER251" s="80"/>
      <c r="FES251" s="80"/>
      <c r="FET251" s="80"/>
      <c r="FEU251" s="80"/>
      <c r="FEV251" s="80"/>
      <c r="FEW251" s="80"/>
      <c r="FEX251" s="80"/>
      <c r="FEY251" s="80"/>
      <c r="FEZ251" s="80"/>
      <c r="FFA251" s="80"/>
      <c r="FFB251" s="80"/>
      <c r="FFC251" s="80"/>
      <c r="FFD251" s="80"/>
      <c r="FFE251" s="80"/>
      <c r="FFF251" s="80"/>
      <c r="FFG251" s="80"/>
      <c r="FFH251" s="80"/>
      <c r="FFI251" s="80"/>
      <c r="FFJ251" s="80"/>
      <c r="FFK251" s="80"/>
      <c r="FFL251" s="80"/>
      <c r="FFM251" s="80"/>
      <c r="FFN251" s="80"/>
      <c r="FFO251" s="80"/>
      <c r="FFP251" s="80"/>
      <c r="FFQ251" s="80"/>
      <c r="FFR251" s="80"/>
      <c r="FFS251" s="80"/>
      <c r="FFT251" s="80"/>
      <c r="FFU251" s="80"/>
      <c r="FFV251" s="80"/>
      <c r="FFW251" s="80"/>
      <c r="FFX251" s="80"/>
      <c r="FFY251" s="80"/>
      <c r="FFZ251" s="80"/>
      <c r="FGA251" s="80"/>
      <c r="FGB251" s="80"/>
      <c r="FGC251" s="80"/>
      <c r="FGD251" s="80"/>
      <c r="FGE251" s="80"/>
      <c r="FGF251" s="80"/>
      <c r="FGG251" s="80"/>
      <c r="FGH251" s="80"/>
      <c r="FGI251" s="80"/>
      <c r="FGJ251" s="80"/>
      <c r="FGK251" s="80"/>
      <c r="FGL251" s="80"/>
      <c r="FGM251" s="80"/>
      <c r="FGN251" s="80"/>
      <c r="FGO251" s="80"/>
      <c r="FGP251" s="80"/>
      <c r="FGQ251" s="80"/>
      <c r="FGR251" s="80"/>
      <c r="FGS251" s="80"/>
      <c r="FGT251" s="80"/>
      <c r="FGU251" s="80"/>
      <c r="FGV251" s="80"/>
      <c r="FGW251" s="80"/>
      <c r="FGX251" s="80"/>
      <c r="FGY251" s="80"/>
      <c r="FGZ251" s="80"/>
      <c r="FHA251" s="80"/>
      <c r="FHB251" s="80"/>
      <c r="FHC251" s="80"/>
      <c r="FHD251" s="80"/>
      <c r="FHE251" s="80"/>
      <c r="FHF251" s="80"/>
      <c r="FHG251" s="80"/>
      <c r="FHH251" s="80"/>
      <c r="FHI251" s="80"/>
      <c r="FHJ251" s="80"/>
      <c r="FHK251" s="80"/>
      <c r="FHL251" s="80"/>
      <c r="FHM251" s="80"/>
      <c r="FHN251" s="80"/>
      <c r="FHO251" s="80"/>
      <c r="FHP251" s="80"/>
      <c r="FHQ251" s="80"/>
      <c r="FHR251" s="80"/>
      <c r="FHS251" s="80"/>
      <c r="FHT251" s="80"/>
      <c r="FHU251" s="80"/>
      <c r="FHV251" s="80"/>
      <c r="FHW251" s="80"/>
      <c r="FHX251" s="80"/>
      <c r="FHY251" s="80"/>
      <c r="FHZ251" s="80"/>
      <c r="FIA251" s="80"/>
      <c r="FIB251" s="80"/>
      <c r="FIC251" s="80"/>
      <c r="FID251" s="80"/>
      <c r="FIE251" s="80"/>
      <c r="FIF251" s="80"/>
      <c r="FIG251" s="80"/>
      <c r="FIH251" s="80"/>
      <c r="FII251" s="80"/>
      <c r="FIJ251" s="80"/>
      <c r="FIK251" s="80"/>
      <c r="FIL251" s="80"/>
      <c r="FIM251" s="80"/>
      <c r="FIN251" s="80"/>
      <c r="FIO251" s="80"/>
      <c r="FIP251" s="80"/>
      <c r="FIQ251" s="80"/>
      <c r="FIR251" s="80"/>
      <c r="FIS251" s="80"/>
      <c r="FIT251" s="80"/>
      <c r="FIU251" s="80"/>
      <c r="FIV251" s="80"/>
      <c r="FIW251" s="80"/>
      <c r="FIX251" s="80"/>
      <c r="FIY251" s="80"/>
      <c r="FIZ251" s="80"/>
      <c r="FJA251" s="80"/>
      <c r="FJB251" s="80"/>
      <c r="FJC251" s="80"/>
      <c r="FJD251" s="80"/>
      <c r="FJE251" s="80"/>
      <c r="FJF251" s="80"/>
      <c r="FJG251" s="80"/>
      <c r="FJH251" s="80"/>
      <c r="FJI251" s="80"/>
      <c r="FJJ251" s="80"/>
      <c r="FJK251" s="80"/>
      <c r="FJL251" s="80"/>
      <c r="FJM251" s="80"/>
      <c r="FJN251" s="80"/>
      <c r="FJO251" s="80"/>
      <c r="FJP251" s="80"/>
      <c r="FJQ251" s="80"/>
      <c r="FJR251" s="80"/>
      <c r="FJS251" s="80"/>
      <c r="FJT251" s="80"/>
      <c r="FJU251" s="80"/>
      <c r="FJV251" s="80"/>
      <c r="FJW251" s="80"/>
      <c r="FJX251" s="80"/>
      <c r="FJY251" s="80"/>
      <c r="FJZ251" s="80"/>
      <c r="FKA251" s="80"/>
      <c r="FKB251" s="80"/>
      <c r="FKC251" s="80"/>
      <c r="FKD251" s="80"/>
      <c r="FKE251" s="80"/>
      <c r="FKF251" s="80"/>
      <c r="FKG251" s="80"/>
      <c r="FKH251" s="80"/>
      <c r="FKI251" s="80"/>
      <c r="FKJ251" s="80"/>
      <c r="FKK251" s="80"/>
      <c r="FKL251" s="80"/>
      <c r="FKM251" s="80"/>
      <c r="FKN251" s="80"/>
      <c r="FKO251" s="80"/>
      <c r="FKP251" s="80"/>
      <c r="FKQ251" s="80"/>
      <c r="FKR251" s="80"/>
      <c r="FKS251" s="80"/>
      <c r="FKT251" s="80"/>
      <c r="FKU251" s="80"/>
      <c r="FKV251" s="80"/>
      <c r="FKW251" s="80"/>
      <c r="FKX251" s="80"/>
      <c r="FKY251" s="80"/>
      <c r="FKZ251" s="80"/>
      <c r="FLA251" s="80"/>
      <c r="FLB251" s="80"/>
      <c r="FLC251" s="80"/>
      <c r="FLD251" s="80"/>
      <c r="FLE251" s="80"/>
      <c r="FLF251" s="80"/>
      <c r="FLG251" s="80"/>
      <c r="FLH251" s="80"/>
      <c r="FLI251" s="80"/>
      <c r="FLJ251" s="80"/>
      <c r="FLK251" s="80"/>
      <c r="FLL251" s="80"/>
      <c r="FLM251" s="80"/>
      <c r="FLN251" s="80"/>
      <c r="FLO251" s="80"/>
      <c r="FLP251" s="80"/>
      <c r="FLQ251" s="80"/>
      <c r="FLR251" s="80"/>
      <c r="FLS251" s="80"/>
      <c r="FLT251" s="80"/>
      <c r="FLU251" s="80"/>
      <c r="FLV251" s="80"/>
      <c r="FLW251" s="80"/>
      <c r="FLX251" s="80"/>
      <c r="FLY251" s="80"/>
      <c r="FLZ251" s="80"/>
      <c r="FMA251" s="80"/>
      <c r="FMB251" s="80"/>
      <c r="FMC251" s="80"/>
      <c r="FMD251" s="80"/>
      <c r="FME251" s="80"/>
      <c r="FMF251" s="80"/>
      <c r="FMG251" s="80"/>
      <c r="FMH251" s="80"/>
      <c r="FMI251" s="80"/>
      <c r="FMJ251" s="80"/>
      <c r="FMK251" s="80"/>
      <c r="FML251" s="80"/>
      <c r="FMM251" s="80"/>
      <c r="FMN251" s="80"/>
      <c r="FMO251" s="80"/>
      <c r="FMP251" s="80"/>
      <c r="FMQ251" s="80"/>
      <c r="FMR251" s="80"/>
      <c r="FMS251" s="80"/>
      <c r="FMT251" s="80"/>
      <c r="FMU251" s="80"/>
      <c r="FMV251" s="80"/>
      <c r="FMW251" s="80"/>
      <c r="FMX251" s="80"/>
      <c r="FMY251" s="80"/>
      <c r="FMZ251" s="80"/>
      <c r="FNA251" s="80"/>
      <c r="FNB251" s="80"/>
      <c r="FNC251" s="80"/>
      <c r="FND251" s="80"/>
      <c r="FNE251" s="80"/>
      <c r="FNF251" s="80"/>
      <c r="FNG251" s="80"/>
      <c r="FNH251" s="80"/>
      <c r="FNI251" s="80"/>
      <c r="FNJ251" s="80"/>
      <c r="FNK251" s="80"/>
      <c r="FNL251" s="80"/>
      <c r="FNM251" s="80"/>
      <c r="FNN251" s="80"/>
      <c r="FNO251" s="80"/>
      <c r="FNP251" s="80"/>
      <c r="FNQ251" s="80"/>
      <c r="FNR251" s="80"/>
      <c r="FNS251" s="80"/>
      <c r="FNT251" s="80"/>
      <c r="FNU251" s="80"/>
      <c r="FNV251" s="80"/>
      <c r="FNW251" s="80"/>
      <c r="FNX251" s="80"/>
      <c r="FNY251" s="80"/>
      <c r="FNZ251" s="80"/>
      <c r="FOA251" s="80"/>
      <c r="FOB251" s="80"/>
      <c r="FOC251" s="80"/>
      <c r="FOD251" s="80"/>
      <c r="FOE251" s="80"/>
      <c r="FOF251" s="80"/>
      <c r="FOG251" s="80"/>
      <c r="FOH251" s="80"/>
      <c r="FOI251" s="80"/>
      <c r="FOJ251" s="80"/>
      <c r="FOK251" s="80"/>
      <c r="FOL251" s="80"/>
      <c r="FOM251" s="80"/>
      <c r="FON251" s="80"/>
      <c r="FOO251" s="80"/>
      <c r="FOP251" s="80"/>
      <c r="FOQ251" s="80"/>
      <c r="FOR251" s="80"/>
      <c r="FOS251" s="80"/>
      <c r="FOT251" s="80"/>
      <c r="FOU251" s="80"/>
      <c r="FOV251" s="80"/>
      <c r="FOW251" s="80"/>
      <c r="FOX251" s="80"/>
      <c r="FOY251" s="80"/>
      <c r="FOZ251" s="80"/>
      <c r="FPA251" s="80"/>
      <c r="FPB251" s="80"/>
      <c r="FPC251" s="80"/>
      <c r="FPD251" s="80"/>
      <c r="FPE251" s="80"/>
      <c r="FPF251" s="80"/>
      <c r="FPG251" s="80"/>
      <c r="FPH251" s="80"/>
      <c r="FPI251" s="80"/>
      <c r="FPJ251" s="80"/>
      <c r="FPK251" s="80"/>
      <c r="FPL251" s="80"/>
      <c r="FPM251" s="80"/>
      <c r="FPN251" s="80"/>
      <c r="FPO251" s="80"/>
      <c r="FPP251" s="80"/>
      <c r="FPQ251" s="80"/>
      <c r="FPR251" s="80"/>
      <c r="FPS251" s="80"/>
      <c r="FPT251" s="80"/>
      <c r="FPU251" s="80"/>
      <c r="FPV251" s="80"/>
      <c r="FPW251" s="80"/>
      <c r="FPX251" s="80"/>
      <c r="FPY251" s="80"/>
      <c r="FPZ251" s="80"/>
      <c r="FQA251" s="80"/>
      <c r="FQB251" s="80"/>
      <c r="FQC251" s="80"/>
      <c r="FQD251" s="80"/>
      <c r="FQE251" s="80"/>
      <c r="FQF251" s="80"/>
      <c r="FQG251" s="80"/>
      <c r="FQH251" s="80"/>
      <c r="FQI251" s="80"/>
      <c r="FQJ251" s="80"/>
      <c r="FQK251" s="80"/>
      <c r="FQL251" s="80"/>
      <c r="FQM251" s="80"/>
      <c r="FQN251" s="80"/>
      <c r="FQO251" s="80"/>
      <c r="FQP251" s="80"/>
      <c r="FQQ251" s="80"/>
      <c r="FQR251" s="80"/>
      <c r="FQS251" s="80"/>
      <c r="FQT251" s="80"/>
      <c r="FQU251" s="80"/>
      <c r="FQV251" s="80"/>
      <c r="FQW251" s="80"/>
      <c r="FQX251" s="80"/>
      <c r="FQY251" s="80"/>
      <c r="FQZ251" s="80"/>
      <c r="FRA251" s="80"/>
      <c r="FRB251" s="80"/>
      <c r="FRC251" s="80"/>
      <c r="FRD251" s="80"/>
      <c r="FRE251" s="80"/>
      <c r="FRF251" s="80"/>
      <c r="FRG251" s="80"/>
      <c r="FRH251" s="80"/>
      <c r="FRI251" s="80"/>
      <c r="FRJ251" s="80"/>
      <c r="FRK251" s="80"/>
      <c r="FRL251" s="80"/>
      <c r="FRM251" s="80"/>
      <c r="FRN251" s="80"/>
      <c r="FRO251" s="80"/>
      <c r="FRP251" s="80"/>
      <c r="FRQ251" s="80"/>
      <c r="FRR251" s="80"/>
      <c r="FRS251" s="80"/>
      <c r="FRT251" s="80"/>
      <c r="FRU251" s="80"/>
      <c r="FRV251" s="80"/>
      <c r="FRW251" s="80"/>
      <c r="FRX251" s="80"/>
      <c r="FRY251" s="80"/>
      <c r="FRZ251" s="80"/>
      <c r="FSA251" s="80"/>
      <c r="FSB251" s="80"/>
      <c r="FSC251" s="80"/>
      <c r="FSD251" s="80"/>
      <c r="FSE251" s="80"/>
      <c r="FSF251" s="80"/>
      <c r="FSG251" s="80"/>
      <c r="FSH251" s="80"/>
      <c r="FSI251" s="80"/>
      <c r="FSJ251" s="80"/>
      <c r="FSK251" s="80"/>
      <c r="FSL251" s="80"/>
      <c r="FSM251" s="80"/>
      <c r="FSN251" s="80"/>
      <c r="FSO251" s="80"/>
      <c r="FSP251" s="80"/>
      <c r="FSQ251" s="80"/>
      <c r="FSR251" s="80"/>
      <c r="FSS251" s="80"/>
      <c r="FST251" s="80"/>
      <c r="FSU251" s="80"/>
      <c r="FSV251" s="80"/>
      <c r="FSW251" s="80"/>
      <c r="FSX251" s="80"/>
      <c r="FSY251" s="80"/>
      <c r="FSZ251" s="80"/>
      <c r="FTA251" s="80"/>
      <c r="FTB251" s="80"/>
      <c r="FTC251" s="80"/>
      <c r="FTD251" s="80"/>
      <c r="FTE251" s="80"/>
      <c r="FTF251" s="80"/>
      <c r="FTG251" s="80"/>
      <c r="FTH251" s="80"/>
      <c r="FTI251" s="80"/>
      <c r="FTJ251" s="80"/>
      <c r="FTK251" s="80"/>
      <c r="FTL251" s="80"/>
      <c r="FTM251" s="80"/>
      <c r="FTN251" s="80"/>
      <c r="FTO251" s="80"/>
      <c r="FTP251" s="80"/>
      <c r="FTQ251" s="80"/>
      <c r="FTR251" s="80"/>
      <c r="FTS251" s="80"/>
      <c r="FTT251" s="80"/>
      <c r="FTU251" s="80"/>
      <c r="FTV251" s="80"/>
      <c r="FTW251" s="80"/>
      <c r="FTX251" s="80"/>
      <c r="FTY251" s="80"/>
      <c r="FTZ251" s="80"/>
      <c r="FUA251" s="80"/>
      <c r="FUB251" s="80"/>
      <c r="FUC251" s="80"/>
      <c r="FUD251" s="80"/>
      <c r="FUE251" s="80"/>
      <c r="FUF251" s="80"/>
      <c r="FUG251" s="80"/>
      <c r="FUH251" s="80"/>
      <c r="FUI251" s="80"/>
      <c r="FUJ251" s="80"/>
      <c r="FUK251" s="80"/>
      <c r="FUL251" s="80"/>
      <c r="FUM251" s="80"/>
      <c r="FUN251" s="80"/>
      <c r="FUO251" s="80"/>
      <c r="FUP251" s="80"/>
      <c r="FUQ251" s="80"/>
      <c r="FUR251" s="80"/>
      <c r="FUS251" s="80"/>
      <c r="FUT251" s="80"/>
      <c r="FUU251" s="80"/>
      <c r="FUV251" s="80"/>
      <c r="FUW251" s="80"/>
      <c r="FUX251" s="80"/>
      <c r="FUY251" s="80"/>
      <c r="FUZ251" s="80"/>
      <c r="FVA251" s="80"/>
      <c r="FVB251" s="80"/>
      <c r="FVC251" s="80"/>
      <c r="FVD251" s="80"/>
      <c r="FVE251" s="80"/>
      <c r="FVF251" s="80"/>
      <c r="FVG251" s="80"/>
      <c r="FVH251" s="80"/>
      <c r="FVI251" s="80"/>
      <c r="FVJ251" s="80"/>
      <c r="FVK251" s="80"/>
      <c r="FVL251" s="80"/>
      <c r="FVM251" s="80"/>
      <c r="FVN251" s="80"/>
      <c r="FVO251" s="80"/>
      <c r="FVP251" s="80"/>
      <c r="FVQ251" s="80"/>
      <c r="FVR251" s="80"/>
      <c r="FVS251" s="80"/>
      <c r="FVT251" s="80"/>
      <c r="FVU251" s="80"/>
      <c r="FVV251" s="80"/>
      <c r="FVW251" s="80"/>
      <c r="FVX251" s="80"/>
      <c r="FVY251" s="80"/>
      <c r="FVZ251" s="80"/>
      <c r="FWA251" s="80"/>
      <c r="FWB251" s="80"/>
      <c r="FWC251" s="80"/>
      <c r="FWD251" s="80"/>
      <c r="FWE251" s="80"/>
      <c r="FWF251" s="80"/>
      <c r="FWG251" s="80"/>
      <c r="FWH251" s="80"/>
      <c r="FWI251" s="80"/>
      <c r="FWJ251" s="80"/>
      <c r="FWK251" s="80"/>
      <c r="FWL251" s="80"/>
      <c r="FWM251" s="80"/>
      <c r="FWN251" s="80"/>
      <c r="FWO251" s="80"/>
      <c r="FWP251" s="80"/>
      <c r="FWQ251" s="80"/>
      <c r="FWR251" s="80"/>
      <c r="FWS251" s="80"/>
      <c r="FWT251" s="80"/>
      <c r="FWU251" s="80"/>
      <c r="FWV251" s="80"/>
      <c r="FWW251" s="80"/>
      <c r="FWX251" s="80"/>
      <c r="FWY251" s="80"/>
      <c r="FWZ251" s="80"/>
      <c r="FXA251" s="80"/>
      <c r="FXB251" s="80"/>
      <c r="FXC251" s="80"/>
      <c r="FXD251" s="80"/>
      <c r="FXE251" s="80"/>
      <c r="FXF251" s="80"/>
      <c r="FXG251" s="80"/>
      <c r="FXH251" s="80"/>
      <c r="FXI251" s="80"/>
      <c r="FXJ251" s="80"/>
      <c r="FXK251" s="80"/>
      <c r="FXL251" s="80"/>
      <c r="FXM251" s="80"/>
      <c r="FXN251" s="80"/>
      <c r="FXO251" s="80"/>
      <c r="FXP251" s="80"/>
      <c r="FXQ251" s="80"/>
      <c r="FXR251" s="80"/>
      <c r="FXS251" s="80"/>
      <c r="FXT251" s="80"/>
      <c r="FXU251" s="80"/>
      <c r="FXV251" s="80"/>
      <c r="FXW251" s="80"/>
      <c r="FXX251" s="80"/>
      <c r="FXY251" s="80"/>
      <c r="FXZ251" s="80"/>
      <c r="FYA251" s="80"/>
      <c r="FYB251" s="80"/>
      <c r="FYC251" s="80"/>
      <c r="FYD251" s="80"/>
      <c r="FYE251" s="80"/>
      <c r="FYF251" s="80"/>
      <c r="FYG251" s="80"/>
      <c r="FYH251" s="80"/>
      <c r="FYI251" s="80"/>
      <c r="FYJ251" s="80"/>
      <c r="FYK251" s="80"/>
      <c r="FYL251" s="80"/>
      <c r="FYM251" s="80"/>
      <c r="FYN251" s="80"/>
      <c r="FYO251" s="80"/>
      <c r="FYP251" s="80"/>
      <c r="FYQ251" s="80"/>
      <c r="FYR251" s="80"/>
      <c r="FYS251" s="80"/>
      <c r="FYT251" s="80"/>
      <c r="FYU251" s="80"/>
      <c r="FYV251" s="80"/>
      <c r="FYW251" s="80"/>
      <c r="FYX251" s="80"/>
      <c r="FYY251" s="80"/>
      <c r="FYZ251" s="80"/>
      <c r="FZA251" s="80"/>
      <c r="FZB251" s="80"/>
      <c r="FZC251" s="80"/>
      <c r="FZD251" s="80"/>
      <c r="FZE251" s="80"/>
      <c r="FZF251" s="80"/>
      <c r="FZG251" s="80"/>
      <c r="FZH251" s="80"/>
      <c r="FZI251" s="80"/>
      <c r="FZJ251" s="80"/>
      <c r="FZK251" s="80"/>
      <c r="FZL251" s="80"/>
      <c r="FZM251" s="80"/>
      <c r="FZN251" s="80"/>
      <c r="FZO251" s="80"/>
      <c r="FZP251" s="80"/>
      <c r="FZQ251" s="80"/>
      <c r="FZR251" s="80"/>
      <c r="FZS251" s="80"/>
      <c r="FZT251" s="80"/>
      <c r="FZU251" s="80"/>
      <c r="FZV251" s="80"/>
      <c r="FZW251" s="80"/>
      <c r="FZX251" s="80"/>
      <c r="FZY251" s="80"/>
      <c r="FZZ251" s="80"/>
      <c r="GAA251" s="80"/>
      <c r="GAB251" s="80"/>
      <c r="GAC251" s="80"/>
      <c r="GAD251" s="80"/>
      <c r="GAE251" s="80"/>
      <c r="GAF251" s="80"/>
      <c r="GAG251" s="80"/>
      <c r="GAH251" s="80"/>
      <c r="GAI251" s="80"/>
      <c r="GAJ251" s="80"/>
      <c r="GAK251" s="80"/>
      <c r="GAL251" s="80"/>
      <c r="GAM251" s="80"/>
      <c r="GAN251" s="80"/>
      <c r="GAO251" s="80"/>
      <c r="GAP251" s="80"/>
      <c r="GAQ251" s="80"/>
      <c r="GAR251" s="80"/>
      <c r="GAS251" s="80"/>
      <c r="GAT251" s="80"/>
      <c r="GAU251" s="80"/>
      <c r="GAV251" s="80"/>
      <c r="GAW251" s="80"/>
      <c r="GAX251" s="80"/>
      <c r="GAY251" s="80"/>
      <c r="GAZ251" s="80"/>
      <c r="GBA251" s="80"/>
      <c r="GBB251" s="80"/>
      <c r="GBC251" s="80"/>
      <c r="GBD251" s="80"/>
      <c r="GBE251" s="80"/>
      <c r="GBF251" s="80"/>
      <c r="GBG251" s="80"/>
      <c r="GBH251" s="80"/>
      <c r="GBI251" s="80"/>
      <c r="GBJ251" s="80"/>
      <c r="GBK251" s="80"/>
      <c r="GBL251" s="80"/>
      <c r="GBM251" s="80"/>
      <c r="GBN251" s="80"/>
      <c r="GBO251" s="80"/>
      <c r="GBP251" s="80"/>
      <c r="GBQ251" s="80"/>
      <c r="GBR251" s="80"/>
      <c r="GBS251" s="80"/>
      <c r="GBT251" s="80"/>
      <c r="GBU251" s="80"/>
      <c r="GBV251" s="80"/>
      <c r="GBW251" s="80"/>
      <c r="GBX251" s="80"/>
      <c r="GBY251" s="80"/>
      <c r="GBZ251" s="80"/>
      <c r="GCA251" s="80"/>
      <c r="GCB251" s="80"/>
      <c r="GCC251" s="80"/>
      <c r="GCD251" s="80"/>
      <c r="GCE251" s="80"/>
      <c r="GCF251" s="80"/>
      <c r="GCG251" s="80"/>
      <c r="GCH251" s="80"/>
      <c r="GCI251" s="80"/>
      <c r="GCJ251" s="80"/>
      <c r="GCK251" s="80"/>
      <c r="GCL251" s="80"/>
      <c r="GCM251" s="80"/>
      <c r="GCN251" s="80"/>
      <c r="GCO251" s="80"/>
      <c r="GCP251" s="80"/>
      <c r="GCQ251" s="80"/>
      <c r="GCR251" s="80"/>
      <c r="GCS251" s="80"/>
      <c r="GCT251" s="80"/>
      <c r="GCU251" s="80"/>
      <c r="GCV251" s="80"/>
      <c r="GCW251" s="80"/>
      <c r="GCX251" s="80"/>
      <c r="GCY251" s="80"/>
      <c r="GCZ251" s="80"/>
      <c r="GDA251" s="80"/>
      <c r="GDB251" s="80"/>
      <c r="GDC251" s="80"/>
      <c r="GDD251" s="80"/>
      <c r="GDE251" s="80"/>
      <c r="GDF251" s="80"/>
      <c r="GDG251" s="80"/>
      <c r="GDH251" s="80"/>
      <c r="GDI251" s="80"/>
      <c r="GDJ251" s="80"/>
      <c r="GDK251" s="80"/>
      <c r="GDL251" s="80"/>
      <c r="GDM251" s="80"/>
      <c r="GDN251" s="80"/>
      <c r="GDO251" s="80"/>
      <c r="GDP251" s="80"/>
      <c r="GDQ251" s="80"/>
      <c r="GDR251" s="80"/>
      <c r="GDS251" s="80"/>
      <c r="GDT251" s="80"/>
      <c r="GDU251" s="80"/>
      <c r="GDV251" s="80"/>
      <c r="GDW251" s="80"/>
      <c r="GDX251" s="80"/>
      <c r="GDY251" s="80"/>
      <c r="GDZ251" s="80"/>
      <c r="GEA251" s="80"/>
      <c r="GEB251" s="80"/>
      <c r="GEC251" s="80"/>
      <c r="GED251" s="80"/>
      <c r="GEE251" s="80"/>
      <c r="GEF251" s="80"/>
      <c r="GEG251" s="80"/>
      <c r="GEH251" s="80"/>
      <c r="GEI251" s="80"/>
      <c r="GEJ251" s="80"/>
      <c r="GEK251" s="80"/>
      <c r="GEL251" s="80"/>
      <c r="GEM251" s="80"/>
      <c r="GEN251" s="80"/>
      <c r="GEO251" s="80"/>
      <c r="GEP251" s="80"/>
      <c r="GEQ251" s="80"/>
      <c r="GER251" s="80"/>
      <c r="GES251" s="80"/>
      <c r="GET251" s="80"/>
      <c r="GEU251" s="80"/>
      <c r="GEV251" s="80"/>
      <c r="GEW251" s="80"/>
      <c r="GEX251" s="80"/>
      <c r="GEY251" s="80"/>
      <c r="GEZ251" s="80"/>
      <c r="GFA251" s="80"/>
      <c r="GFB251" s="80"/>
      <c r="GFC251" s="80"/>
      <c r="GFD251" s="80"/>
      <c r="GFE251" s="80"/>
      <c r="GFF251" s="80"/>
      <c r="GFG251" s="80"/>
      <c r="GFH251" s="80"/>
      <c r="GFI251" s="80"/>
      <c r="GFJ251" s="80"/>
      <c r="GFK251" s="80"/>
      <c r="GFL251" s="80"/>
      <c r="GFM251" s="80"/>
      <c r="GFN251" s="80"/>
      <c r="GFO251" s="80"/>
      <c r="GFP251" s="80"/>
      <c r="GFQ251" s="80"/>
      <c r="GFR251" s="80"/>
      <c r="GFS251" s="80"/>
      <c r="GFT251" s="80"/>
      <c r="GFU251" s="80"/>
      <c r="GFV251" s="80"/>
      <c r="GFW251" s="80"/>
      <c r="GFX251" s="80"/>
      <c r="GFY251" s="80"/>
      <c r="GFZ251" s="80"/>
      <c r="GGA251" s="80"/>
      <c r="GGB251" s="80"/>
      <c r="GGC251" s="80"/>
      <c r="GGD251" s="80"/>
      <c r="GGE251" s="80"/>
      <c r="GGF251" s="80"/>
      <c r="GGG251" s="80"/>
      <c r="GGH251" s="80"/>
      <c r="GGI251" s="80"/>
      <c r="GGJ251" s="80"/>
      <c r="GGK251" s="80"/>
      <c r="GGL251" s="80"/>
      <c r="GGM251" s="80"/>
      <c r="GGN251" s="80"/>
      <c r="GGO251" s="80"/>
      <c r="GGP251" s="80"/>
      <c r="GGQ251" s="80"/>
      <c r="GGR251" s="80"/>
      <c r="GGS251" s="80"/>
      <c r="GGT251" s="80"/>
      <c r="GGU251" s="80"/>
      <c r="GGV251" s="80"/>
      <c r="GGW251" s="80"/>
      <c r="GGX251" s="80"/>
      <c r="GGY251" s="80"/>
      <c r="GGZ251" s="80"/>
      <c r="GHA251" s="80"/>
      <c r="GHB251" s="80"/>
      <c r="GHC251" s="80"/>
      <c r="GHD251" s="80"/>
      <c r="GHE251" s="80"/>
      <c r="GHF251" s="80"/>
      <c r="GHG251" s="80"/>
      <c r="GHH251" s="80"/>
      <c r="GHI251" s="80"/>
      <c r="GHJ251" s="80"/>
      <c r="GHK251" s="80"/>
      <c r="GHL251" s="80"/>
      <c r="GHM251" s="80"/>
      <c r="GHN251" s="80"/>
      <c r="GHO251" s="80"/>
      <c r="GHP251" s="80"/>
      <c r="GHQ251" s="80"/>
      <c r="GHR251" s="80"/>
      <c r="GHS251" s="80"/>
      <c r="GHT251" s="80"/>
      <c r="GHU251" s="80"/>
      <c r="GHV251" s="80"/>
      <c r="GHW251" s="80"/>
      <c r="GHX251" s="80"/>
      <c r="GHY251" s="80"/>
      <c r="GHZ251" s="80"/>
      <c r="GIA251" s="80"/>
      <c r="GIB251" s="80"/>
      <c r="GIC251" s="80"/>
      <c r="GID251" s="80"/>
      <c r="GIE251" s="80"/>
      <c r="GIF251" s="80"/>
      <c r="GIG251" s="80"/>
      <c r="GIH251" s="80"/>
      <c r="GII251" s="80"/>
      <c r="GIJ251" s="80"/>
      <c r="GIK251" s="80"/>
      <c r="GIL251" s="80"/>
      <c r="GIM251" s="80"/>
      <c r="GIN251" s="80"/>
      <c r="GIO251" s="80"/>
      <c r="GIP251" s="80"/>
      <c r="GIQ251" s="80"/>
      <c r="GIR251" s="80"/>
      <c r="GIS251" s="80"/>
      <c r="GIT251" s="80"/>
      <c r="GIU251" s="80"/>
      <c r="GIV251" s="80"/>
      <c r="GIW251" s="80"/>
      <c r="GIX251" s="80"/>
      <c r="GIY251" s="80"/>
      <c r="GIZ251" s="80"/>
      <c r="GJA251" s="80"/>
      <c r="GJB251" s="80"/>
      <c r="GJC251" s="80"/>
      <c r="GJD251" s="80"/>
      <c r="GJE251" s="80"/>
      <c r="GJF251" s="80"/>
      <c r="GJG251" s="80"/>
      <c r="GJH251" s="80"/>
      <c r="GJI251" s="80"/>
      <c r="GJJ251" s="80"/>
      <c r="GJK251" s="80"/>
      <c r="GJL251" s="80"/>
      <c r="GJM251" s="80"/>
      <c r="GJN251" s="80"/>
      <c r="GJO251" s="80"/>
      <c r="GJP251" s="80"/>
      <c r="GJQ251" s="80"/>
      <c r="GJR251" s="80"/>
      <c r="GJS251" s="80"/>
      <c r="GJT251" s="80"/>
      <c r="GJU251" s="80"/>
      <c r="GJV251" s="80"/>
      <c r="GJW251" s="80"/>
      <c r="GJX251" s="80"/>
      <c r="GJY251" s="80"/>
      <c r="GJZ251" s="80"/>
      <c r="GKA251" s="80"/>
      <c r="GKB251" s="80"/>
      <c r="GKC251" s="80"/>
      <c r="GKD251" s="80"/>
      <c r="GKE251" s="80"/>
      <c r="GKF251" s="80"/>
      <c r="GKG251" s="80"/>
      <c r="GKH251" s="80"/>
      <c r="GKI251" s="80"/>
      <c r="GKJ251" s="80"/>
      <c r="GKK251" s="80"/>
      <c r="GKL251" s="80"/>
      <c r="GKM251" s="80"/>
      <c r="GKN251" s="80"/>
      <c r="GKO251" s="80"/>
      <c r="GKP251" s="80"/>
      <c r="GKQ251" s="80"/>
      <c r="GKR251" s="80"/>
      <c r="GKS251" s="80"/>
      <c r="GKT251" s="80"/>
      <c r="GKU251" s="80"/>
      <c r="GKV251" s="80"/>
      <c r="GKW251" s="80"/>
      <c r="GKX251" s="80"/>
      <c r="GKY251" s="80"/>
      <c r="GKZ251" s="80"/>
      <c r="GLA251" s="80"/>
      <c r="GLB251" s="80"/>
      <c r="GLC251" s="80"/>
      <c r="GLD251" s="80"/>
      <c r="GLE251" s="80"/>
      <c r="GLF251" s="80"/>
      <c r="GLG251" s="80"/>
      <c r="GLH251" s="80"/>
      <c r="GLI251" s="80"/>
      <c r="GLJ251" s="80"/>
      <c r="GLK251" s="80"/>
      <c r="GLL251" s="80"/>
      <c r="GLM251" s="80"/>
      <c r="GLN251" s="80"/>
      <c r="GLO251" s="80"/>
      <c r="GLP251" s="80"/>
      <c r="GLQ251" s="80"/>
      <c r="GLR251" s="80"/>
      <c r="GLS251" s="80"/>
      <c r="GLT251" s="80"/>
      <c r="GLU251" s="80"/>
      <c r="GLV251" s="80"/>
      <c r="GLW251" s="80"/>
      <c r="GLX251" s="80"/>
      <c r="GLY251" s="80"/>
      <c r="GLZ251" s="80"/>
      <c r="GMA251" s="80"/>
      <c r="GMB251" s="80"/>
      <c r="GMC251" s="80"/>
      <c r="GMD251" s="80"/>
      <c r="GME251" s="80"/>
      <c r="GMF251" s="80"/>
      <c r="GMG251" s="80"/>
      <c r="GMH251" s="80"/>
      <c r="GMI251" s="80"/>
      <c r="GMJ251" s="80"/>
      <c r="GMK251" s="80"/>
      <c r="GML251" s="80"/>
      <c r="GMM251" s="80"/>
      <c r="GMN251" s="80"/>
      <c r="GMO251" s="80"/>
      <c r="GMP251" s="80"/>
      <c r="GMQ251" s="80"/>
      <c r="GMR251" s="80"/>
      <c r="GMS251" s="80"/>
      <c r="GMT251" s="80"/>
      <c r="GMU251" s="80"/>
      <c r="GMV251" s="80"/>
      <c r="GMW251" s="80"/>
      <c r="GMX251" s="80"/>
      <c r="GMY251" s="80"/>
      <c r="GMZ251" s="80"/>
      <c r="GNA251" s="80"/>
      <c r="GNB251" s="80"/>
      <c r="GNC251" s="80"/>
      <c r="GND251" s="80"/>
      <c r="GNE251" s="80"/>
      <c r="GNF251" s="80"/>
      <c r="GNG251" s="80"/>
      <c r="GNH251" s="80"/>
      <c r="GNI251" s="80"/>
      <c r="GNJ251" s="80"/>
      <c r="GNK251" s="80"/>
      <c r="GNL251" s="80"/>
      <c r="GNM251" s="80"/>
      <c r="GNN251" s="80"/>
      <c r="GNO251" s="80"/>
      <c r="GNP251" s="80"/>
      <c r="GNQ251" s="80"/>
      <c r="GNR251" s="80"/>
      <c r="GNS251" s="80"/>
      <c r="GNT251" s="80"/>
      <c r="GNU251" s="80"/>
      <c r="GNV251" s="80"/>
      <c r="GNW251" s="80"/>
      <c r="GNX251" s="80"/>
      <c r="GNY251" s="80"/>
      <c r="GNZ251" s="80"/>
      <c r="GOA251" s="80"/>
      <c r="GOB251" s="80"/>
      <c r="GOC251" s="80"/>
      <c r="GOD251" s="80"/>
      <c r="GOE251" s="80"/>
      <c r="GOF251" s="80"/>
      <c r="GOG251" s="80"/>
      <c r="GOH251" s="80"/>
      <c r="GOI251" s="80"/>
      <c r="GOJ251" s="80"/>
      <c r="GOK251" s="80"/>
      <c r="GOL251" s="80"/>
      <c r="GOM251" s="80"/>
      <c r="GON251" s="80"/>
      <c r="GOO251" s="80"/>
      <c r="GOP251" s="80"/>
      <c r="GOQ251" s="80"/>
      <c r="GOR251" s="80"/>
      <c r="GOS251" s="80"/>
      <c r="GOT251" s="80"/>
      <c r="GOU251" s="80"/>
      <c r="GOV251" s="80"/>
      <c r="GOW251" s="80"/>
      <c r="GOX251" s="80"/>
      <c r="GOY251" s="80"/>
      <c r="GOZ251" s="80"/>
      <c r="GPA251" s="80"/>
      <c r="GPB251" s="80"/>
      <c r="GPC251" s="80"/>
      <c r="GPD251" s="80"/>
      <c r="GPE251" s="80"/>
      <c r="GPF251" s="80"/>
      <c r="GPG251" s="80"/>
      <c r="GPH251" s="80"/>
      <c r="GPI251" s="80"/>
      <c r="GPJ251" s="80"/>
      <c r="GPK251" s="80"/>
      <c r="GPL251" s="80"/>
      <c r="GPM251" s="80"/>
      <c r="GPN251" s="80"/>
      <c r="GPO251" s="80"/>
      <c r="GPP251" s="80"/>
      <c r="GPQ251" s="80"/>
      <c r="GPR251" s="80"/>
      <c r="GPS251" s="80"/>
      <c r="GPT251" s="80"/>
      <c r="GPU251" s="80"/>
      <c r="GPV251" s="80"/>
      <c r="GPW251" s="80"/>
      <c r="GPX251" s="80"/>
      <c r="GPY251" s="80"/>
      <c r="GPZ251" s="80"/>
      <c r="GQA251" s="80"/>
      <c r="GQB251" s="80"/>
      <c r="GQC251" s="80"/>
      <c r="GQD251" s="80"/>
      <c r="GQE251" s="80"/>
      <c r="GQF251" s="80"/>
      <c r="GQG251" s="80"/>
      <c r="GQH251" s="80"/>
      <c r="GQI251" s="80"/>
      <c r="GQJ251" s="80"/>
      <c r="GQK251" s="80"/>
      <c r="GQL251" s="80"/>
      <c r="GQM251" s="80"/>
      <c r="GQN251" s="80"/>
      <c r="GQO251" s="80"/>
      <c r="GQP251" s="80"/>
      <c r="GQQ251" s="80"/>
      <c r="GQR251" s="80"/>
      <c r="GQS251" s="80"/>
      <c r="GQT251" s="80"/>
      <c r="GQU251" s="80"/>
      <c r="GQV251" s="80"/>
      <c r="GQW251" s="80"/>
      <c r="GQX251" s="80"/>
      <c r="GQY251" s="80"/>
      <c r="GQZ251" s="80"/>
      <c r="GRA251" s="80"/>
      <c r="GRB251" s="80"/>
      <c r="GRC251" s="80"/>
      <c r="GRD251" s="80"/>
      <c r="GRE251" s="80"/>
      <c r="GRF251" s="80"/>
      <c r="GRG251" s="80"/>
      <c r="GRH251" s="80"/>
      <c r="GRI251" s="80"/>
      <c r="GRJ251" s="80"/>
      <c r="GRK251" s="80"/>
      <c r="GRL251" s="80"/>
      <c r="GRM251" s="80"/>
      <c r="GRN251" s="80"/>
      <c r="GRO251" s="80"/>
      <c r="GRP251" s="80"/>
      <c r="GRQ251" s="80"/>
      <c r="GRR251" s="80"/>
      <c r="GRS251" s="80"/>
      <c r="GRT251" s="80"/>
      <c r="GRU251" s="80"/>
      <c r="GRV251" s="80"/>
      <c r="GRW251" s="80"/>
      <c r="GRX251" s="80"/>
      <c r="GRY251" s="80"/>
      <c r="GRZ251" s="80"/>
      <c r="GSA251" s="80"/>
      <c r="GSB251" s="80"/>
      <c r="GSC251" s="80"/>
      <c r="GSD251" s="80"/>
      <c r="GSE251" s="80"/>
      <c r="GSF251" s="80"/>
      <c r="GSG251" s="80"/>
      <c r="GSH251" s="80"/>
      <c r="GSI251" s="80"/>
      <c r="GSJ251" s="80"/>
      <c r="GSK251" s="80"/>
      <c r="GSL251" s="80"/>
      <c r="GSM251" s="80"/>
      <c r="GSN251" s="80"/>
      <c r="GSO251" s="80"/>
      <c r="GSP251" s="80"/>
      <c r="GSQ251" s="80"/>
      <c r="GSR251" s="80"/>
      <c r="GSS251" s="80"/>
      <c r="GST251" s="80"/>
      <c r="GSU251" s="80"/>
      <c r="GSV251" s="80"/>
      <c r="GSW251" s="80"/>
      <c r="GSX251" s="80"/>
      <c r="GSY251" s="80"/>
      <c r="GSZ251" s="80"/>
      <c r="GTA251" s="80"/>
      <c r="GTB251" s="80"/>
      <c r="GTC251" s="80"/>
      <c r="GTD251" s="80"/>
      <c r="GTE251" s="80"/>
      <c r="GTF251" s="80"/>
      <c r="GTG251" s="80"/>
      <c r="GTH251" s="80"/>
      <c r="GTI251" s="80"/>
      <c r="GTJ251" s="80"/>
      <c r="GTK251" s="80"/>
      <c r="GTL251" s="80"/>
      <c r="GTM251" s="80"/>
      <c r="GTN251" s="80"/>
      <c r="GTO251" s="80"/>
      <c r="GTP251" s="80"/>
      <c r="GTQ251" s="80"/>
      <c r="GTR251" s="80"/>
      <c r="GTS251" s="80"/>
      <c r="GTT251" s="80"/>
      <c r="GTU251" s="80"/>
      <c r="GTV251" s="80"/>
      <c r="GTW251" s="80"/>
      <c r="GTX251" s="80"/>
      <c r="GTY251" s="80"/>
      <c r="GTZ251" s="80"/>
      <c r="GUA251" s="80"/>
      <c r="GUB251" s="80"/>
      <c r="GUC251" s="80"/>
      <c r="GUD251" s="80"/>
      <c r="GUE251" s="80"/>
      <c r="GUF251" s="80"/>
      <c r="GUG251" s="80"/>
      <c r="GUH251" s="80"/>
      <c r="GUI251" s="80"/>
      <c r="GUJ251" s="80"/>
      <c r="GUK251" s="80"/>
      <c r="GUL251" s="80"/>
      <c r="GUM251" s="80"/>
      <c r="GUN251" s="80"/>
      <c r="GUO251" s="80"/>
      <c r="GUP251" s="80"/>
      <c r="GUQ251" s="80"/>
      <c r="GUR251" s="80"/>
      <c r="GUS251" s="80"/>
      <c r="GUT251" s="80"/>
      <c r="GUU251" s="80"/>
      <c r="GUV251" s="80"/>
      <c r="GUW251" s="80"/>
      <c r="GUX251" s="80"/>
      <c r="GUY251" s="80"/>
      <c r="GUZ251" s="80"/>
      <c r="GVA251" s="80"/>
      <c r="GVB251" s="80"/>
      <c r="GVC251" s="80"/>
      <c r="GVD251" s="80"/>
      <c r="GVE251" s="80"/>
      <c r="GVF251" s="80"/>
      <c r="GVG251" s="80"/>
      <c r="GVH251" s="80"/>
      <c r="GVI251" s="80"/>
      <c r="GVJ251" s="80"/>
      <c r="GVK251" s="80"/>
      <c r="GVL251" s="80"/>
      <c r="GVM251" s="80"/>
      <c r="GVN251" s="80"/>
      <c r="GVO251" s="80"/>
      <c r="GVP251" s="80"/>
      <c r="GVQ251" s="80"/>
      <c r="GVR251" s="80"/>
      <c r="GVS251" s="80"/>
      <c r="GVT251" s="80"/>
      <c r="GVU251" s="80"/>
      <c r="GVV251" s="80"/>
      <c r="GVW251" s="80"/>
      <c r="GVX251" s="80"/>
      <c r="GVY251" s="80"/>
      <c r="GVZ251" s="80"/>
      <c r="GWA251" s="80"/>
      <c r="GWB251" s="80"/>
      <c r="GWC251" s="80"/>
      <c r="GWD251" s="80"/>
      <c r="GWE251" s="80"/>
      <c r="GWF251" s="80"/>
      <c r="GWG251" s="80"/>
      <c r="GWH251" s="80"/>
      <c r="GWI251" s="80"/>
      <c r="GWJ251" s="80"/>
      <c r="GWK251" s="80"/>
      <c r="GWL251" s="80"/>
      <c r="GWM251" s="80"/>
      <c r="GWN251" s="80"/>
      <c r="GWO251" s="80"/>
      <c r="GWP251" s="80"/>
      <c r="GWQ251" s="80"/>
      <c r="GWR251" s="80"/>
      <c r="GWS251" s="80"/>
      <c r="GWT251" s="80"/>
      <c r="GWU251" s="80"/>
      <c r="GWV251" s="80"/>
      <c r="GWW251" s="80"/>
      <c r="GWX251" s="80"/>
      <c r="GWY251" s="80"/>
      <c r="GWZ251" s="80"/>
      <c r="GXA251" s="80"/>
      <c r="GXB251" s="80"/>
      <c r="GXC251" s="80"/>
      <c r="GXD251" s="80"/>
      <c r="GXE251" s="80"/>
      <c r="GXF251" s="80"/>
      <c r="GXG251" s="80"/>
      <c r="GXH251" s="80"/>
      <c r="GXI251" s="80"/>
      <c r="GXJ251" s="80"/>
      <c r="GXK251" s="80"/>
      <c r="GXL251" s="80"/>
      <c r="GXM251" s="80"/>
      <c r="GXN251" s="80"/>
      <c r="GXO251" s="80"/>
      <c r="GXP251" s="80"/>
      <c r="GXQ251" s="80"/>
      <c r="GXR251" s="80"/>
      <c r="GXS251" s="80"/>
      <c r="GXT251" s="80"/>
      <c r="GXU251" s="80"/>
      <c r="GXV251" s="80"/>
      <c r="GXW251" s="80"/>
      <c r="GXX251" s="80"/>
      <c r="GXY251" s="80"/>
      <c r="GXZ251" s="80"/>
      <c r="GYA251" s="80"/>
      <c r="GYB251" s="80"/>
      <c r="GYC251" s="80"/>
      <c r="GYD251" s="80"/>
      <c r="GYE251" s="80"/>
      <c r="GYF251" s="80"/>
      <c r="GYG251" s="80"/>
      <c r="GYH251" s="80"/>
      <c r="GYI251" s="80"/>
      <c r="GYJ251" s="80"/>
      <c r="GYK251" s="80"/>
      <c r="GYL251" s="80"/>
      <c r="GYM251" s="80"/>
      <c r="GYN251" s="80"/>
      <c r="GYO251" s="80"/>
      <c r="GYP251" s="80"/>
      <c r="GYQ251" s="80"/>
      <c r="GYR251" s="80"/>
      <c r="GYS251" s="80"/>
      <c r="GYT251" s="80"/>
      <c r="GYU251" s="80"/>
      <c r="GYV251" s="80"/>
      <c r="GYW251" s="80"/>
      <c r="GYX251" s="80"/>
      <c r="GYY251" s="80"/>
      <c r="GYZ251" s="80"/>
      <c r="GZA251" s="80"/>
      <c r="GZB251" s="80"/>
      <c r="GZC251" s="80"/>
      <c r="GZD251" s="80"/>
      <c r="GZE251" s="80"/>
      <c r="GZF251" s="80"/>
      <c r="GZG251" s="80"/>
      <c r="GZH251" s="80"/>
      <c r="GZI251" s="80"/>
      <c r="GZJ251" s="80"/>
      <c r="GZK251" s="80"/>
      <c r="GZL251" s="80"/>
      <c r="GZM251" s="80"/>
      <c r="GZN251" s="80"/>
      <c r="GZO251" s="80"/>
      <c r="GZP251" s="80"/>
      <c r="GZQ251" s="80"/>
      <c r="GZR251" s="80"/>
      <c r="GZS251" s="80"/>
      <c r="GZT251" s="80"/>
      <c r="GZU251" s="80"/>
      <c r="GZV251" s="80"/>
      <c r="GZW251" s="80"/>
      <c r="GZX251" s="80"/>
      <c r="GZY251" s="80"/>
      <c r="GZZ251" s="80"/>
      <c r="HAA251" s="80"/>
      <c r="HAB251" s="80"/>
      <c r="HAC251" s="80"/>
      <c r="HAD251" s="80"/>
      <c r="HAE251" s="80"/>
      <c r="HAF251" s="80"/>
      <c r="HAG251" s="80"/>
      <c r="HAH251" s="80"/>
      <c r="HAI251" s="80"/>
      <c r="HAJ251" s="80"/>
      <c r="HAK251" s="80"/>
      <c r="HAL251" s="80"/>
      <c r="HAM251" s="80"/>
      <c r="HAN251" s="80"/>
      <c r="HAO251" s="80"/>
      <c r="HAP251" s="80"/>
      <c r="HAQ251" s="80"/>
      <c r="HAR251" s="80"/>
      <c r="HAS251" s="80"/>
      <c r="HAT251" s="80"/>
      <c r="HAU251" s="80"/>
      <c r="HAV251" s="80"/>
      <c r="HAW251" s="80"/>
      <c r="HAX251" s="80"/>
      <c r="HAY251" s="80"/>
      <c r="HAZ251" s="80"/>
      <c r="HBA251" s="80"/>
      <c r="HBB251" s="80"/>
      <c r="HBC251" s="80"/>
      <c r="HBD251" s="80"/>
      <c r="HBE251" s="80"/>
      <c r="HBF251" s="80"/>
      <c r="HBG251" s="80"/>
      <c r="HBH251" s="80"/>
      <c r="HBI251" s="80"/>
      <c r="HBJ251" s="80"/>
      <c r="HBK251" s="80"/>
      <c r="HBL251" s="80"/>
      <c r="HBM251" s="80"/>
      <c r="HBN251" s="80"/>
      <c r="HBO251" s="80"/>
      <c r="HBP251" s="80"/>
      <c r="HBQ251" s="80"/>
      <c r="HBR251" s="80"/>
      <c r="HBS251" s="80"/>
      <c r="HBT251" s="80"/>
      <c r="HBU251" s="80"/>
      <c r="HBV251" s="80"/>
      <c r="HBW251" s="80"/>
      <c r="HBX251" s="80"/>
      <c r="HBY251" s="80"/>
      <c r="HBZ251" s="80"/>
      <c r="HCA251" s="80"/>
      <c r="HCB251" s="80"/>
      <c r="HCC251" s="80"/>
      <c r="HCD251" s="80"/>
      <c r="HCE251" s="80"/>
      <c r="HCF251" s="80"/>
      <c r="HCG251" s="80"/>
      <c r="HCH251" s="80"/>
      <c r="HCI251" s="80"/>
      <c r="HCJ251" s="80"/>
      <c r="HCK251" s="80"/>
      <c r="HCL251" s="80"/>
      <c r="HCM251" s="80"/>
      <c r="HCN251" s="80"/>
      <c r="HCO251" s="80"/>
      <c r="HCP251" s="80"/>
      <c r="HCQ251" s="80"/>
      <c r="HCR251" s="80"/>
      <c r="HCS251" s="80"/>
      <c r="HCT251" s="80"/>
      <c r="HCU251" s="80"/>
      <c r="HCV251" s="80"/>
      <c r="HCW251" s="80"/>
      <c r="HCX251" s="80"/>
      <c r="HCY251" s="80"/>
      <c r="HCZ251" s="80"/>
      <c r="HDA251" s="80"/>
      <c r="HDB251" s="80"/>
      <c r="HDC251" s="80"/>
      <c r="HDD251" s="80"/>
      <c r="HDE251" s="80"/>
      <c r="HDF251" s="80"/>
      <c r="HDG251" s="80"/>
      <c r="HDH251" s="80"/>
      <c r="HDI251" s="80"/>
      <c r="HDJ251" s="80"/>
      <c r="HDK251" s="80"/>
      <c r="HDL251" s="80"/>
      <c r="HDM251" s="80"/>
      <c r="HDN251" s="80"/>
      <c r="HDO251" s="80"/>
      <c r="HDP251" s="80"/>
      <c r="HDQ251" s="80"/>
      <c r="HDR251" s="80"/>
      <c r="HDS251" s="80"/>
      <c r="HDT251" s="80"/>
      <c r="HDU251" s="80"/>
      <c r="HDV251" s="80"/>
      <c r="HDW251" s="80"/>
      <c r="HDX251" s="80"/>
      <c r="HDY251" s="80"/>
      <c r="HDZ251" s="80"/>
      <c r="HEA251" s="80"/>
      <c r="HEB251" s="80"/>
      <c r="HEC251" s="80"/>
      <c r="HED251" s="80"/>
      <c r="HEE251" s="80"/>
      <c r="HEF251" s="80"/>
      <c r="HEG251" s="80"/>
      <c r="HEH251" s="80"/>
      <c r="HEI251" s="80"/>
      <c r="HEJ251" s="80"/>
      <c r="HEK251" s="80"/>
      <c r="HEL251" s="80"/>
      <c r="HEM251" s="80"/>
      <c r="HEN251" s="80"/>
      <c r="HEO251" s="80"/>
      <c r="HEP251" s="80"/>
      <c r="HEQ251" s="80"/>
      <c r="HER251" s="80"/>
      <c r="HES251" s="80"/>
      <c r="HET251" s="80"/>
      <c r="HEU251" s="80"/>
      <c r="HEV251" s="80"/>
      <c r="HEW251" s="80"/>
      <c r="HEX251" s="80"/>
      <c r="HEY251" s="80"/>
      <c r="HEZ251" s="80"/>
      <c r="HFA251" s="80"/>
      <c r="HFB251" s="80"/>
      <c r="HFC251" s="80"/>
      <c r="HFD251" s="80"/>
      <c r="HFE251" s="80"/>
      <c r="HFF251" s="80"/>
      <c r="HFG251" s="80"/>
      <c r="HFH251" s="80"/>
      <c r="HFI251" s="80"/>
      <c r="HFJ251" s="80"/>
      <c r="HFK251" s="80"/>
      <c r="HFL251" s="80"/>
      <c r="HFM251" s="80"/>
      <c r="HFN251" s="80"/>
      <c r="HFO251" s="80"/>
      <c r="HFP251" s="80"/>
      <c r="HFQ251" s="80"/>
      <c r="HFR251" s="80"/>
      <c r="HFS251" s="80"/>
      <c r="HFT251" s="80"/>
      <c r="HFU251" s="80"/>
      <c r="HFV251" s="80"/>
      <c r="HFW251" s="80"/>
      <c r="HFX251" s="80"/>
      <c r="HFY251" s="80"/>
      <c r="HFZ251" s="80"/>
      <c r="HGA251" s="80"/>
      <c r="HGB251" s="80"/>
      <c r="HGC251" s="80"/>
      <c r="HGD251" s="80"/>
      <c r="HGE251" s="80"/>
      <c r="HGF251" s="80"/>
      <c r="HGG251" s="80"/>
      <c r="HGH251" s="80"/>
      <c r="HGI251" s="80"/>
      <c r="HGJ251" s="80"/>
      <c r="HGK251" s="80"/>
      <c r="HGL251" s="80"/>
      <c r="HGM251" s="80"/>
      <c r="HGN251" s="80"/>
      <c r="HGO251" s="80"/>
      <c r="HGP251" s="80"/>
      <c r="HGQ251" s="80"/>
      <c r="HGR251" s="80"/>
      <c r="HGS251" s="80"/>
      <c r="HGT251" s="80"/>
      <c r="HGU251" s="80"/>
      <c r="HGV251" s="80"/>
      <c r="HGW251" s="80"/>
      <c r="HGX251" s="80"/>
      <c r="HGY251" s="80"/>
      <c r="HGZ251" s="80"/>
      <c r="HHA251" s="80"/>
      <c r="HHB251" s="80"/>
      <c r="HHC251" s="80"/>
      <c r="HHD251" s="80"/>
      <c r="HHE251" s="80"/>
      <c r="HHF251" s="80"/>
      <c r="HHG251" s="80"/>
      <c r="HHH251" s="80"/>
      <c r="HHI251" s="80"/>
      <c r="HHJ251" s="80"/>
      <c r="HHK251" s="80"/>
      <c r="HHL251" s="80"/>
      <c r="HHM251" s="80"/>
      <c r="HHN251" s="80"/>
      <c r="HHO251" s="80"/>
      <c r="HHP251" s="80"/>
      <c r="HHQ251" s="80"/>
      <c r="HHR251" s="80"/>
      <c r="HHS251" s="80"/>
      <c r="HHT251" s="80"/>
      <c r="HHU251" s="80"/>
      <c r="HHV251" s="80"/>
      <c r="HHW251" s="80"/>
      <c r="HHX251" s="80"/>
      <c r="HHY251" s="80"/>
      <c r="HHZ251" s="80"/>
      <c r="HIA251" s="80"/>
      <c r="HIB251" s="80"/>
      <c r="HIC251" s="80"/>
      <c r="HID251" s="80"/>
      <c r="HIE251" s="80"/>
      <c r="HIF251" s="80"/>
      <c r="HIG251" s="80"/>
      <c r="HIH251" s="80"/>
      <c r="HII251" s="80"/>
      <c r="HIJ251" s="80"/>
      <c r="HIK251" s="80"/>
      <c r="HIL251" s="80"/>
      <c r="HIM251" s="80"/>
      <c r="HIN251" s="80"/>
      <c r="HIO251" s="80"/>
      <c r="HIP251" s="80"/>
      <c r="HIQ251" s="80"/>
      <c r="HIR251" s="80"/>
      <c r="HIS251" s="80"/>
      <c r="HIT251" s="80"/>
      <c r="HIU251" s="80"/>
      <c r="HIV251" s="80"/>
      <c r="HIW251" s="80"/>
      <c r="HIX251" s="80"/>
      <c r="HIY251" s="80"/>
      <c r="HIZ251" s="80"/>
      <c r="HJA251" s="80"/>
      <c r="HJB251" s="80"/>
      <c r="HJC251" s="80"/>
      <c r="HJD251" s="80"/>
      <c r="HJE251" s="80"/>
      <c r="HJF251" s="80"/>
      <c r="HJG251" s="80"/>
      <c r="HJH251" s="80"/>
      <c r="HJI251" s="80"/>
      <c r="HJJ251" s="80"/>
      <c r="HJK251" s="80"/>
      <c r="HJL251" s="80"/>
      <c r="HJM251" s="80"/>
      <c r="HJN251" s="80"/>
      <c r="HJO251" s="80"/>
      <c r="HJP251" s="80"/>
      <c r="HJQ251" s="80"/>
      <c r="HJR251" s="80"/>
      <c r="HJS251" s="80"/>
      <c r="HJT251" s="80"/>
      <c r="HJU251" s="80"/>
      <c r="HJV251" s="80"/>
      <c r="HJW251" s="80"/>
      <c r="HJX251" s="80"/>
      <c r="HJY251" s="80"/>
      <c r="HJZ251" s="80"/>
      <c r="HKA251" s="80"/>
      <c r="HKB251" s="80"/>
      <c r="HKC251" s="80"/>
      <c r="HKD251" s="80"/>
      <c r="HKE251" s="80"/>
      <c r="HKF251" s="80"/>
      <c r="HKG251" s="80"/>
      <c r="HKH251" s="80"/>
      <c r="HKI251" s="80"/>
      <c r="HKJ251" s="80"/>
      <c r="HKK251" s="80"/>
      <c r="HKL251" s="80"/>
      <c r="HKM251" s="80"/>
      <c r="HKN251" s="80"/>
      <c r="HKO251" s="80"/>
      <c r="HKP251" s="80"/>
      <c r="HKQ251" s="80"/>
      <c r="HKR251" s="80"/>
      <c r="HKS251" s="80"/>
      <c r="HKT251" s="80"/>
      <c r="HKU251" s="80"/>
      <c r="HKV251" s="80"/>
      <c r="HKW251" s="80"/>
      <c r="HKX251" s="80"/>
      <c r="HKY251" s="80"/>
      <c r="HKZ251" s="80"/>
      <c r="HLA251" s="80"/>
      <c r="HLB251" s="80"/>
      <c r="HLC251" s="80"/>
      <c r="HLD251" s="80"/>
      <c r="HLE251" s="80"/>
      <c r="HLF251" s="80"/>
      <c r="HLG251" s="80"/>
      <c r="HLH251" s="80"/>
      <c r="HLI251" s="80"/>
      <c r="HLJ251" s="80"/>
      <c r="HLK251" s="80"/>
      <c r="HLL251" s="80"/>
      <c r="HLM251" s="80"/>
      <c r="HLN251" s="80"/>
      <c r="HLO251" s="80"/>
      <c r="HLP251" s="80"/>
      <c r="HLQ251" s="80"/>
      <c r="HLR251" s="80"/>
      <c r="HLS251" s="80"/>
      <c r="HLT251" s="80"/>
      <c r="HLU251" s="80"/>
      <c r="HLV251" s="80"/>
      <c r="HLW251" s="80"/>
      <c r="HLX251" s="80"/>
      <c r="HLY251" s="80"/>
      <c r="HLZ251" s="80"/>
      <c r="HMA251" s="80"/>
      <c r="HMB251" s="80"/>
      <c r="HMC251" s="80"/>
      <c r="HMD251" s="80"/>
      <c r="HME251" s="80"/>
      <c r="HMF251" s="80"/>
      <c r="HMG251" s="80"/>
      <c r="HMH251" s="80"/>
      <c r="HMI251" s="80"/>
      <c r="HMJ251" s="80"/>
      <c r="HMK251" s="80"/>
      <c r="HML251" s="80"/>
      <c r="HMM251" s="80"/>
      <c r="HMN251" s="80"/>
      <c r="HMO251" s="80"/>
      <c r="HMP251" s="80"/>
      <c r="HMQ251" s="80"/>
      <c r="HMR251" s="80"/>
      <c r="HMS251" s="80"/>
      <c r="HMT251" s="80"/>
      <c r="HMU251" s="80"/>
      <c r="HMV251" s="80"/>
      <c r="HMW251" s="80"/>
      <c r="HMX251" s="80"/>
      <c r="HMY251" s="80"/>
      <c r="HMZ251" s="80"/>
      <c r="HNA251" s="80"/>
      <c r="HNB251" s="80"/>
      <c r="HNC251" s="80"/>
      <c r="HND251" s="80"/>
      <c r="HNE251" s="80"/>
      <c r="HNF251" s="80"/>
      <c r="HNG251" s="80"/>
      <c r="HNH251" s="80"/>
      <c r="HNI251" s="80"/>
      <c r="HNJ251" s="80"/>
      <c r="HNK251" s="80"/>
      <c r="HNL251" s="80"/>
      <c r="HNM251" s="80"/>
      <c r="HNN251" s="80"/>
      <c r="HNO251" s="80"/>
      <c r="HNP251" s="80"/>
      <c r="HNQ251" s="80"/>
      <c r="HNR251" s="80"/>
      <c r="HNS251" s="80"/>
      <c r="HNT251" s="80"/>
      <c r="HNU251" s="80"/>
      <c r="HNV251" s="80"/>
      <c r="HNW251" s="80"/>
      <c r="HNX251" s="80"/>
      <c r="HNY251" s="80"/>
      <c r="HNZ251" s="80"/>
      <c r="HOA251" s="80"/>
      <c r="HOB251" s="80"/>
      <c r="HOC251" s="80"/>
      <c r="HOD251" s="80"/>
      <c r="HOE251" s="80"/>
      <c r="HOF251" s="80"/>
      <c r="HOG251" s="80"/>
      <c r="HOH251" s="80"/>
      <c r="HOI251" s="80"/>
      <c r="HOJ251" s="80"/>
      <c r="HOK251" s="80"/>
      <c r="HOL251" s="80"/>
      <c r="HOM251" s="80"/>
      <c r="HON251" s="80"/>
      <c r="HOO251" s="80"/>
      <c r="HOP251" s="80"/>
      <c r="HOQ251" s="80"/>
      <c r="HOR251" s="80"/>
      <c r="HOS251" s="80"/>
      <c r="HOT251" s="80"/>
      <c r="HOU251" s="80"/>
      <c r="HOV251" s="80"/>
      <c r="HOW251" s="80"/>
      <c r="HOX251" s="80"/>
      <c r="HOY251" s="80"/>
      <c r="HOZ251" s="80"/>
      <c r="HPA251" s="80"/>
      <c r="HPB251" s="80"/>
      <c r="HPC251" s="80"/>
      <c r="HPD251" s="80"/>
      <c r="HPE251" s="80"/>
      <c r="HPF251" s="80"/>
      <c r="HPG251" s="80"/>
      <c r="HPH251" s="80"/>
      <c r="HPI251" s="80"/>
      <c r="HPJ251" s="80"/>
      <c r="HPK251" s="80"/>
      <c r="HPL251" s="80"/>
      <c r="HPM251" s="80"/>
      <c r="HPN251" s="80"/>
      <c r="HPO251" s="80"/>
      <c r="HPP251" s="80"/>
      <c r="HPQ251" s="80"/>
      <c r="HPR251" s="80"/>
      <c r="HPS251" s="80"/>
      <c r="HPT251" s="80"/>
      <c r="HPU251" s="80"/>
      <c r="HPV251" s="80"/>
      <c r="HPW251" s="80"/>
      <c r="HPX251" s="80"/>
      <c r="HPY251" s="80"/>
      <c r="HPZ251" s="80"/>
      <c r="HQA251" s="80"/>
      <c r="HQB251" s="80"/>
      <c r="HQC251" s="80"/>
      <c r="HQD251" s="80"/>
      <c r="HQE251" s="80"/>
      <c r="HQF251" s="80"/>
      <c r="HQG251" s="80"/>
      <c r="HQH251" s="80"/>
      <c r="HQI251" s="80"/>
      <c r="HQJ251" s="80"/>
      <c r="HQK251" s="80"/>
      <c r="HQL251" s="80"/>
      <c r="HQM251" s="80"/>
      <c r="HQN251" s="80"/>
      <c r="HQO251" s="80"/>
      <c r="HQP251" s="80"/>
      <c r="HQQ251" s="80"/>
      <c r="HQR251" s="80"/>
      <c r="HQS251" s="80"/>
      <c r="HQT251" s="80"/>
      <c r="HQU251" s="80"/>
      <c r="HQV251" s="80"/>
      <c r="HQW251" s="80"/>
      <c r="HQX251" s="80"/>
      <c r="HQY251" s="80"/>
      <c r="HQZ251" s="80"/>
      <c r="HRA251" s="80"/>
      <c r="HRB251" s="80"/>
      <c r="HRC251" s="80"/>
      <c r="HRD251" s="80"/>
      <c r="HRE251" s="80"/>
      <c r="HRF251" s="80"/>
      <c r="HRG251" s="80"/>
      <c r="HRH251" s="80"/>
      <c r="HRI251" s="80"/>
      <c r="HRJ251" s="80"/>
      <c r="HRK251" s="80"/>
      <c r="HRL251" s="80"/>
      <c r="HRM251" s="80"/>
      <c r="HRN251" s="80"/>
      <c r="HRO251" s="80"/>
      <c r="HRP251" s="80"/>
      <c r="HRQ251" s="80"/>
      <c r="HRR251" s="80"/>
      <c r="HRS251" s="80"/>
      <c r="HRT251" s="80"/>
      <c r="HRU251" s="80"/>
      <c r="HRV251" s="80"/>
      <c r="HRW251" s="80"/>
      <c r="HRX251" s="80"/>
      <c r="HRY251" s="80"/>
      <c r="HRZ251" s="80"/>
      <c r="HSA251" s="80"/>
      <c r="HSB251" s="80"/>
      <c r="HSC251" s="80"/>
      <c r="HSD251" s="80"/>
      <c r="HSE251" s="80"/>
      <c r="HSF251" s="80"/>
      <c r="HSG251" s="80"/>
      <c r="HSH251" s="80"/>
      <c r="HSI251" s="80"/>
      <c r="HSJ251" s="80"/>
      <c r="HSK251" s="80"/>
      <c r="HSL251" s="80"/>
      <c r="HSM251" s="80"/>
      <c r="HSN251" s="80"/>
      <c r="HSO251" s="80"/>
      <c r="HSP251" s="80"/>
      <c r="HSQ251" s="80"/>
      <c r="HSR251" s="80"/>
      <c r="HSS251" s="80"/>
      <c r="HST251" s="80"/>
      <c r="HSU251" s="80"/>
      <c r="HSV251" s="80"/>
      <c r="HSW251" s="80"/>
      <c r="HSX251" s="80"/>
      <c r="HSY251" s="80"/>
      <c r="HSZ251" s="80"/>
      <c r="HTA251" s="80"/>
      <c r="HTB251" s="80"/>
      <c r="HTC251" s="80"/>
      <c r="HTD251" s="80"/>
      <c r="HTE251" s="80"/>
      <c r="HTF251" s="80"/>
      <c r="HTG251" s="80"/>
      <c r="HTH251" s="80"/>
      <c r="HTI251" s="80"/>
      <c r="HTJ251" s="80"/>
      <c r="HTK251" s="80"/>
      <c r="HTL251" s="80"/>
      <c r="HTM251" s="80"/>
      <c r="HTN251" s="80"/>
      <c r="HTO251" s="80"/>
      <c r="HTP251" s="80"/>
      <c r="HTQ251" s="80"/>
      <c r="HTR251" s="80"/>
      <c r="HTS251" s="80"/>
      <c r="HTT251" s="80"/>
      <c r="HTU251" s="80"/>
      <c r="HTV251" s="80"/>
      <c r="HTW251" s="80"/>
      <c r="HTX251" s="80"/>
      <c r="HTY251" s="80"/>
      <c r="HTZ251" s="80"/>
      <c r="HUA251" s="80"/>
      <c r="HUB251" s="80"/>
      <c r="HUC251" s="80"/>
      <c r="HUD251" s="80"/>
      <c r="HUE251" s="80"/>
      <c r="HUF251" s="80"/>
      <c r="HUG251" s="80"/>
      <c r="HUH251" s="80"/>
      <c r="HUI251" s="80"/>
      <c r="HUJ251" s="80"/>
      <c r="HUK251" s="80"/>
      <c r="HUL251" s="80"/>
      <c r="HUM251" s="80"/>
      <c r="HUN251" s="80"/>
      <c r="HUO251" s="80"/>
      <c r="HUP251" s="80"/>
      <c r="HUQ251" s="80"/>
      <c r="HUR251" s="80"/>
      <c r="HUS251" s="80"/>
      <c r="HUT251" s="80"/>
      <c r="HUU251" s="80"/>
      <c r="HUV251" s="80"/>
      <c r="HUW251" s="80"/>
      <c r="HUX251" s="80"/>
      <c r="HUY251" s="80"/>
      <c r="HUZ251" s="80"/>
      <c r="HVA251" s="80"/>
      <c r="HVB251" s="80"/>
      <c r="HVC251" s="80"/>
      <c r="HVD251" s="80"/>
      <c r="HVE251" s="80"/>
      <c r="HVF251" s="80"/>
      <c r="HVG251" s="80"/>
      <c r="HVH251" s="80"/>
      <c r="HVI251" s="80"/>
      <c r="HVJ251" s="80"/>
      <c r="HVK251" s="80"/>
      <c r="HVL251" s="80"/>
      <c r="HVM251" s="80"/>
      <c r="HVN251" s="80"/>
      <c r="HVO251" s="80"/>
      <c r="HVP251" s="80"/>
      <c r="HVQ251" s="80"/>
      <c r="HVR251" s="80"/>
      <c r="HVS251" s="80"/>
      <c r="HVT251" s="80"/>
      <c r="HVU251" s="80"/>
      <c r="HVV251" s="80"/>
      <c r="HVW251" s="80"/>
      <c r="HVX251" s="80"/>
      <c r="HVY251" s="80"/>
      <c r="HVZ251" s="80"/>
      <c r="HWA251" s="80"/>
      <c r="HWB251" s="80"/>
      <c r="HWC251" s="80"/>
      <c r="HWD251" s="80"/>
      <c r="HWE251" s="80"/>
      <c r="HWF251" s="80"/>
      <c r="HWG251" s="80"/>
      <c r="HWH251" s="80"/>
      <c r="HWI251" s="80"/>
      <c r="HWJ251" s="80"/>
      <c r="HWK251" s="80"/>
      <c r="HWL251" s="80"/>
      <c r="HWM251" s="80"/>
      <c r="HWN251" s="80"/>
      <c r="HWO251" s="80"/>
      <c r="HWP251" s="80"/>
      <c r="HWQ251" s="80"/>
      <c r="HWR251" s="80"/>
      <c r="HWS251" s="80"/>
      <c r="HWT251" s="80"/>
      <c r="HWU251" s="80"/>
      <c r="HWV251" s="80"/>
      <c r="HWW251" s="80"/>
      <c r="HWX251" s="80"/>
      <c r="HWY251" s="80"/>
      <c r="HWZ251" s="80"/>
      <c r="HXA251" s="80"/>
      <c r="HXB251" s="80"/>
      <c r="HXC251" s="80"/>
      <c r="HXD251" s="80"/>
      <c r="HXE251" s="80"/>
      <c r="HXF251" s="80"/>
      <c r="HXG251" s="80"/>
      <c r="HXH251" s="80"/>
      <c r="HXI251" s="80"/>
      <c r="HXJ251" s="80"/>
      <c r="HXK251" s="80"/>
      <c r="HXL251" s="80"/>
      <c r="HXM251" s="80"/>
      <c r="HXN251" s="80"/>
      <c r="HXO251" s="80"/>
      <c r="HXP251" s="80"/>
      <c r="HXQ251" s="80"/>
      <c r="HXR251" s="80"/>
      <c r="HXS251" s="80"/>
      <c r="HXT251" s="80"/>
      <c r="HXU251" s="80"/>
      <c r="HXV251" s="80"/>
      <c r="HXW251" s="80"/>
      <c r="HXX251" s="80"/>
      <c r="HXY251" s="80"/>
      <c r="HXZ251" s="80"/>
      <c r="HYA251" s="80"/>
      <c r="HYB251" s="80"/>
      <c r="HYC251" s="80"/>
      <c r="HYD251" s="80"/>
      <c r="HYE251" s="80"/>
      <c r="HYF251" s="80"/>
      <c r="HYG251" s="80"/>
      <c r="HYH251" s="80"/>
      <c r="HYI251" s="80"/>
      <c r="HYJ251" s="80"/>
      <c r="HYK251" s="80"/>
      <c r="HYL251" s="80"/>
      <c r="HYM251" s="80"/>
      <c r="HYN251" s="80"/>
      <c r="HYO251" s="80"/>
      <c r="HYP251" s="80"/>
      <c r="HYQ251" s="80"/>
      <c r="HYR251" s="80"/>
      <c r="HYS251" s="80"/>
      <c r="HYT251" s="80"/>
      <c r="HYU251" s="80"/>
      <c r="HYV251" s="80"/>
      <c r="HYW251" s="80"/>
      <c r="HYX251" s="80"/>
      <c r="HYY251" s="80"/>
      <c r="HYZ251" s="80"/>
      <c r="HZA251" s="80"/>
      <c r="HZB251" s="80"/>
      <c r="HZC251" s="80"/>
      <c r="HZD251" s="80"/>
      <c r="HZE251" s="80"/>
      <c r="HZF251" s="80"/>
      <c r="HZG251" s="80"/>
      <c r="HZH251" s="80"/>
      <c r="HZI251" s="80"/>
      <c r="HZJ251" s="80"/>
      <c r="HZK251" s="80"/>
      <c r="HZL251" s="80"/>
      <c r="HZM251" s="80"/>
      <c r="HZN251" s="80"/>
      <c r="HZO251" s="80"/>
      <c r="HZP251" s="80"/>
      <c r="HZQ251" s="80"/>
      <c r="HZR251" s="80"/>
      <c r="HZS251" s="80"/>
      <c r="HZT251" s="80"/>
      <c r="HZU251" s="80"/>
      <c r="HZV251" s="80"/>
      <c r="HZW251" s="80"/>
      <c r="HZX251" s="80"/>
      <c r="HZY251" s="80"/>
      <c r="HZZ251" s="80"/>
      <c r="IAA251" s="80"/>
      <c r="IAB251" s="80"/>
      <c r="IAC251" s="80"/>
      <c r="IAD251" s="80"/>
      <c r="IAE251" s="80"/>
      <c r="IAF251" s="80"/>
      <c r="IAG251" s="80"/>
      <c r="IAH251" s="80"/>
      <c r="IAI251" s="80"/>
      <c r="IAJ251" s="80"/>
      <c r="IAK251" s="80"/>
      <c r="IAL251" s="80"/>
      <c r="IAM251" s="80"/>
      <c r="IAN251" s="80"/>
      <c r="IAO251" s="80"/>
      <c r="IAP251" s="80"/>
      <c r="IAQ251" s="80"/>
      <c r="IAR251" s="80"/>
      <c r="IAS251" s="80"/>
      <c r="IAT251" s="80"/>
      <c r="IAU251" s="80"/>
      <c r="IAV251" s="80"/>
      <c r="IAW251" s="80"/>
      <c r="IAX251" s="80"/>
      <c r="IAY251" s="80"/>
      <c r="IAZ251" s="80"/>
      <c r="IBA251" s="80"/>
      <c r="IBB251" s="80"/>
      <c r="IBC251" s="80"/>
      <c r="IBD251" s="80"/>
      <c r="IBE251" s="80"/>
      <c r="IBF251" s="80"/>
      <c r="IBG251" s="80"/>
      <c r="IBH251" s="80"/>
      <c r="IBI251" s="80"/>
      <c r="IBJ251" s="80"/>
      <c r="IBK251" s="80"/>
      <c r="IBL251" s="80"/>
      <c r="IBM251" s="80"/>
      <c r="IBN251" s="80"/>
      <c r="IBO251" s="80"/>
      <c r="IBP251" s="80"/>
      <c r="IBQ251" s="80"/>
      <c r="IBR251" s="80"/>
      <c r="IBS251" s="80"/>
      <c r="IBT251" s="80"/>
      <c r="IBU251" s="80"/>
      <c r="IBV251" s="80"/>
      <c r="IBW251" s="80"/>
      <c r="IBX251" s="80"/>
      <c r="IBY251" s="80"/>
      <c r="IBZ251" s="80"/>
      <c r="ICA251" s="80"/>
      <c r="ICB251" s="80"/>
      <c r="ICC251" s="80"/>
      <c r="ICD251" s="80"/>
      <c r="ICE251" s="80"/>
      <c r="ICF251" s="80"/>
      <c r="ICG251" s="80"/>
      <c r="ICH251" s="80"/>
      <c r="ICI251" s="80"/>
      <c r="ICJ251" s="80"/>
      <c r="ICK251" s="80"/>
      <c r="ICL251" s="80"/>
      <c r="ICM251" s="80"/>
      <c r="ICN251" s="80"/>
      <c r="ICO251" s="80"/>
      <c r="ICP251" s="80"/>
      <c r="ICQ251" s="80"/>
      <c r="ICR251" s="80"/>
      <c r="ICS251" s="80"/>
      <c r="ICT251" s="80"/>
      <c r="ICU251" s="80"/>
      <c r="ICV251" s="80"/>
      <c r="ICW251" s="80"/>
      <c r="ICX251" s="80"/>
      <c r="ICY251" s="80"/>
      <c r="ICZ251" s="80"/>
      <c r="IDA251" s="80"/>
      <c r="IDB251" s="80"/>
      <c r="IDC251" s="80"/>
      <c r="IDD251" s="80"/>
      <c r="IDE251" s="80"/>
      <c r="IDF251" s="80"/>
      <c r="IDG251" s="80"/>
      <c r="IDH251" s="80"/>
      <c r="IDI251" s="80"/>
      <c r="IDJ251" s="80"/>
      <c r="IDK251" s="80"/>
      <c r="IDL251" s="80"/>
      <c r="IDM251" s="80"/>
      <c r="IDN251" s="80"/>
      <c r="IDO251" s="80"/>
      <c r="IDP251" s="80"/>
      <c r="IDQ251" s="80"/>
      <c r="IDR251" s="80"/>
      <c r="IDS251" s="80"/>
      <c r="IDT251" s="80"/>
      <c r="IDU251" s="80"/>
      <c r="IDV251" s="80"/>
      <c r="IDW251" s="80"/>
      <c r="IDX251" s="80"/>
      <c r="IDY251" s="80"/>
      <c r="IDZ251" s="80"/>
      <c r="IEA251" s="80"/>
      <c r="IEB251" s="80"/>
      <c r="IEC251" s="80"/>
      <c r="IED251" s="80"/>
      <c r="IEE251" s="80"/>
      <c r="IEF251" s="80"/>
      <c r="IEG251" s="80"/>
      <c r="IEH251" s="80"/>
      <c r="IEI251" s="80"/>
      <c r="IEJ251" s="80"/>
      <c r="IEK251" s="80"/>
      <c r="IEL251" s="80"/>
      <c r="IEM251" s="80"/>
      <c r="IEN251" s="80"/>
      <c r="IEO251" s="80"/>
      <c r="IEP251" s="80"/>
      <c r="IEQ251" s="80"/>
      <c r="IER251" s="80"/>
      <c r="IES251" s="80"/>
      <c r="IET251" s="80"/>
      <c r="IEU251" s="80"/>
      <c r="IEV251" s="80"/>
      <c r="IEW251" s="80"/>
      <c r="IEX251" s="80"/>
      <c r="IEY251" s="80"/>
      <c r="IEZ251" s="80"/>
      <c r="IFA251" s="80"/>
      <c r="IFB251" s="80"/>
      <c r="IFC251" s="80"/>
      <c r="IFD251" s="80"/>
      <c r="IFE251" s="80"/>
      <c r="IFF251" s="80"/>
      <c r="IFG251" s="80"/>
      <c r="IFH251" s="80"/>
      <c r="IFI251" s="80"/>
      <c r="IFJ251" s="80"/>
      <c r="IFK251" s="80"/>
      <c r="IFL251" s="80"/>
      <c r="IFM251" s="80"/>
      <c r="IFN251" s="80"/>
      <c r="IFO251" s="80"/>
      <c r="IFP251" s="80"/>
      <c r="IFQ251" s="80"/>
      <c r="IFR251" s="80"/>
      <c r="IFS251" s="80"/>
      <c r="IFT251" s="80"/>
      <c r="IFU251" s="80"/>
      <c r="IFV251" s="80"/>
      <c r="IFW251" s="80"/>
      <c r="IFX251" s="80"/>
      <c r="IFY251" s="80"/>
      <c r="IFZ251" s="80"/>
      <c r="IGA251" s="80"/>
      <c r="IGB251" s="80"/>
      <c r="IGC251" s="80"/>
      <c r="IGD251" s="80"/>
      <c r="IGE251" s="80"/>
      <c r="IGF251" s="80"/>
      <c r="IGG251" s="80"/>
      <c r="IGH251" s="80"/>
      <c r="IGI251" s="80"/>
      <c r="IGJ251" s="80"/>
      <c r="IGK251" s="80"/>
      <c r="IGL251" s="80"/>
      <c r="IGM251" s="80"/>
      <c r="IGN251" s="80"/>
      <c r="IGO251" s="80"/>
      <c r="IGP251" s="80"/>
      <c r="IGQ251" s="80"/>
      <c r="IGR251" s="80"/>
      <c r="IGS251" s="80"/>
      <c r="IGT251" s="80"/>
      <c r="IGU251" s="80"/>
      <c r="IGV251" s="80"/>
      <c r="IGW251" s="80"/>
      <c r="IGX251" s="80"/>
      <c r="IGY251" s="80"/>
      <c r="IGZ251" s="80"/>
      <c r="IHA251" s="80"/>
      <c r="IHB251" s="80"/>
      <c r="IHC251" s="80"/>
      <c r="IHD251" s="80"/>
      <c r="IHE251" s="80"/>
      <c r="IHF251" s="80"/>
      <c r="IHG251" s="80"/>
      <c r="IHH251" s="80"/>
      <c r="IHI251" s="80"/>
      <c r="IHJ251" s="80"/>
      <c r="IHK251" s="80"/>
      <c r="IHL251" s="80"/>
      <c r="IHM251" s="80"/>
      <c r="IHN251" s="80"/>
      <c r="IHO251" s="80"/>
      <c r="IHP251" s="80"/>
      <c r="IHQ251" s="80"/>
      <c r="IHR251" s="80"/>
      <c r="IHS251" s="80"/>
      <c r="IHT251" s="80"/>
      <c r="IHU251" s="80"/>
      <c r="IHV251" s="80"/>
      <c r="IHW251" s="80"/>
      <c r="IHX251" s="80"/>
      <c r="IHY251" s="80"/>
      <c r="IHZ251" s="80"/>
      <c r="IIA251" s="80"/>
      <c r="IIB251" s="80"/>
      <c r="IIC251" s="80"/>
      <c r="IID251" s="80"/>
      <c r="IIE251" s="80"/>
      <c r="IIF251" s="80"/>
      <c r="IIG251" s="80"/>
      <c r="IIH251" s="80"/>
      <c r="III251" s="80"/>
      <c r="IIJ251" s="80"/>
      <c r="IIK251" s="80"/>
      <c r="IIL251" s="80"/>
      <c r="IIM251" s="80"/>
      <c r="IIN251" s="80"/>
      <c r="IIO251" s="80"/>
      <c r="IIP251" s="80"/>
      <c r="IIQ251" s="80"/>
      <c r="IIR251" s="80"/>
      <c r="IIS251" s="80"/>
      <c r="IIT251" s="80"/>
      <c r="IIU251" s="80"/>
      <c r="IIV251" s="80"/>
      <c r="IIW251" s="80"/>
      <c r="IIX251" s="80"/>
      <c r="IIY251" s="80"/>
      <c r="IIZ251" s="80"/>
      <c r="IJA251" s="80"/>
      <c r="IJB251" s="80"/>
      <c r="IJC251" s="80"/>
      <c r="IJD251" s="80"/>
      <c r="IJE251" s="80"/>
      <c r="IJF251" s="80"/>
      <c r="IJG251" s="80"/>
      <c r="IJH251" s="80"/>
      <c r="IJI251" s="80"/>
      <c r="IJJ251" s="80"/>
      <c r="IJK251" s="80"/>
      <c r="IJL251" s="80"/>
      <c r="IJM251" s="80"/>
      <c r="IJN251" s="80"/>
      <c r="IJO251" s="80"/>
      <c r="IJP251" s="80"/>
      <c r="IJQ251" s="80"/>
      <c r="IJR251" s="80"/>
      <c r="IJS251" s="80"/>
      <c r="IJT251" s="80"/>
      <c r="IJU251" s="80"/>
      <c r="IJV251" s="80"/>
      <c r="IJW251" s="80"/>
      <c r="IJX251" s="80"/>
      <c r="IJY251" s="80"/>
      <c r="IJZ251" s="80"/>
      <c r="IKA251" s="80"/>
      <c r="IKB251" s="80"/>
      <c r="IKC251" s="80"/>
      <c r="IKD251" s="80"/>
      <c r="IKE251" s="80"/>
      <c r="IKF251" s="80"/>
      <c r="IKG251" s="80"/>
      <c r="IKH251" s="80"/>
      <c r="IKI251" s="80"/>
      <c r="IKJ251" s="80"/>
      <c r="IKK251" s="80"/>
      <c r="IKL251" s="80"/>
      <c r="IKM251" s="80"/>
      <c r="IKN251" s="80"/>
      <c r="IKO251" s="80"/>
      <c r="IKP251" s="80"/>
      <c r="IKQ251" s="80"/>
      <c r="IKR251" s="80"/>
      <c r="IKS251" s="80"/>
      <c r="IKT251" s="80"/>
      <c r="IKU251" s="80"/>
      <c r="IKV251" s="80"/>
      <c r="IKW251" s="80"/>
      <c r="IKX251" s="80"/>
      <c r="IKY251" s="80"/>
      <c r="IKZ251" s="80"/>
      <c r="ILA251" s="80"/>
      <c r="ILB251" s="80"/>
      <c r="ILC251" s="80"/>
      <c r="ILD251" s="80"/>
      <c r="ILE251" s="80"/>
      <c r="ILF251" s="80"/>
      <c r="ILG251" s="80"/>
      <c r="ILH251" s="80"/>
      <c r="ILI251" s="80"/>
      <c r="ILJ251" s="80"/>
      <c r="ILK251" s="80"/>
      <c r="ILL251" s="80"/>
      <c r="ILM251" s="80"/>
      <c r="ILN251" s="80"/>
      <c r="ILO251" s="80"/>
      <c r="ILP251" s="80"/>
      <c r="ILQ251" s="80"/>
      <c r="ILR251" s="80"/>
      <c r="ILS251" s="80"/>
      <c r="ILT251" s="80"/>
      <c r="ILU251" s="80"/>
      <c r="ILV251" s="80"/>
      <c r="ILW251" s="80"/>
      <c r="ILX251" s="80"/>
      <c r="ILY251" s="80"/>
      <c r="ILZ251" s="80"/>
      <c r="IMA251" s="80"/>
      <c r="IMB251" s="80"/>
      <c r="IMC251" s="80"/>
      <c r="IMD251" s="80"/>
      <c r="IME251" s="80"/>
      <c r="IMF251" s="80"/>
      <c r="IMG251" s="80"/>
      <c r="IMH251" s="80"/>
      <c r="IMI251" s="80"/>
      <c r="IMJ251" s="80"/>
      <c r="IMK251" s="80"/>
      <c r="IML251" s="80"/>
      <c r="IMM251" s="80"/>
      <c r="IMN251" s="80"/>
      <c r="IMO251" s="80"/>
      <c r="IMP251" s="80"/>
      <c r="IMQ251" s="80"/>
      <c r="IMR251" s="80"/>
      <c r="IMS251" s="80"/>
      <c r="IMT251" s="80"/>
      <c r="IMU251" s="80"/>
      <c r="IMV251" s="80"/>
      <c r="IMW251" s="80"/>
      <c r="IMX251" s="80"/>
      <c r="IMY251" s="80"/>
      <c r="IMZ251" s="80"/>
      <c r="INA251" s="80"/>
      <c r="INB251" s="80"/>
      <c r="INC251" s="80"/>
      <c r="IND251" s="80"/>
      <c r="INE251" s="80"/>
      <c r="INF251" s="80"/>
      <c r="ING251" s="80"/>
      <c r="INH251" s="80"/>
      <c r="INI251" s="80"/>
      <c r="INJ251" s="80"/>
      <c r="INK251" s="80"/>
      <c r="INL251" s="80"/>
      <c r="INM251" s="80"/>
      <c r="INN251" s="80"/>
      <c r="INO251" s="80"/>
      <c r="INP251" s="80"/>
      <c r="INQ251" s="80"/>
      <c r="INR251" s="80"/>
      <c r="INS251" s="80"/>
      <c r="INT251" s="80"/>
      <c r="INU251" s="80"/>
      <c r="INV251" s="80"/>
      <c r="INW251" s="80"/>
      <c r="INX251" s="80"/>
      <c r="INY251" s="80"/>
      <c r="INZ251" s="80"/>
      <c r="IOA251" s="80"/>
      <c r="IOB251" s="80"/>
      <c r="IOC251" s="80"/>
      <c r="IOD251" s="80"/>
      <c r="IOE251" s="80"/>
      <c r="IOF251" s="80"/>
      <c r="IOG251" s="80"/>
      <c r="IOH251" s="80"/>
      <c r="IOI251" s="80"/>
      <c r="IOJ251" s="80"/>
      <c r="IOK251" s="80"/>
      <c r="IOL251" s="80"/>
      <c r="IOM251" s="80"/>
      <c r="ION251" s="80"/>
      <c r="IOO251" s="80"/>
      <c r="IOP251" s="80"/>
      <c r="IOQ251" s="80"/>
      <c r="IOR251" s="80"/>
      <c r="IOS251" s="80"/>
      <c r="IOT251" s="80"/>
      <c r="IOU251" s="80"/>
      <c r="IOV251" s="80"/>
      <c r="IOW251" s="80"/>
      <c r="IOX251" s="80"/>
      <c r="IOY251" s="80"/>
      <c r="IOZ251" s="80"/>
      <c r="IPA251" s="80"/>
      <c r="IPB251" s="80"/>
      <c r="IPC251" s="80"/>
      <c r="IPD251" s="80"/>
      <c r="IPE251" s="80"/>
      <c r="IPF251" s="80"/>
      <c r="IPG251" s="80"/>
      <c r="IPH251" s="80"/>
      <c r="IPI251" s="80"/>
      <c r="IPJ251" s="80"/>
      <c r="IPK251" s="80"/>
      <c r="IPL251" s="80"/>
      <c r="IPM251" s="80"/>
      <c r="IPN251" s="80"/>
      <c r="IPO251" s="80"/>
      <c r="IPP251" s="80"/>
      <c r="IPQ251" s="80"/>
      <c r="IPR251" s="80"/>
      <c r="IPS251" s="80"/>
      <c r="IPT251" s="80"/>
      <c r="IPU251" s="80"/>
      <c r="IPV251" s="80"/>
      <c r="IPW251" s="80"/>
      <c r="IPX251" s="80"/>
      <c r="IPY251" s="80"/>
      <c r="IPZ251" s="80"/>
      <c r="IQA251" s="80"/>
      <c r="IQB251" s="80"/>
      <c r="IQC251" s="80"/>
      <c r="IQD251" s="80"/>
      <c r="IQE251" s="80"/>
      <c r="IQF251" s="80"/>
      <c r="IQG251" s="80"/>
      <c r="IQH251" s="80"/>
      <c r="IQI251" s="80"/>
      <c r="IQJ251" s="80"/>
      <c r="IQK251" s="80"/>
      <c r="IQL251" s="80"/>
      <c r="IQM251" s="80"/>
      <c r="IQN251" s="80"/>
      <c r="IQO251" s="80"/>
      <c r="IQP251" s="80"/>
      <c r="IQQ251" s="80"/>
      <c r="IQR251" s="80"/>
      <c r="IQS251" s="80"/>
      <c r="IQT251" s="80"/>
      <c r="IQU251" s="80"/>
      <c r="IQV251" s="80"/>
      <c r="IQW251" s="80"/>
      <c r="IQX251" s="80"/>
      <c r="IQY251" s="80"/>
      <c r="IQZ251" s="80"/>
      <c r="IRA251" s="80"/>
      <c r="IRB251" s="80"/>
      <c r="IRC251" s="80"/>
      <c r="IRD251" s="80"/>
      <c r="IRE251" s="80"/>
      <c r="IRF251" s="80"/>
      <c r="IRG251" s="80"/>
      <c r="IRH251" s="80"/>
      <c r="IRI251" s="80"/>
      <c r="IRJ251" s="80"/>
      <c r="IRK251" s="80"/>
      <c r="IRL251" s="80"/>
      <c r="IRM251" s="80"/>
      <c r="IRN251" s="80"/>
      <c r="IRO251" s="80"/>
      <c r="IRP251" s="80"/>
      <c r="IRQ251" s="80"/>
      <c r="IRR251" s="80"/>
      <c r="IRS251" s="80"/>
      <c r="IRT251" s="80"/>
      <c r="IRU251" s="80"/>
      <c r="IRV251" s="80"/>
      <c r="IRW251" s="80"/>
      <c r="IRX251" s="80"/>
      <c r="IRY251" s="80"/>
      <c r="IRZ251" s="80"/>
      <c r="ISA251" s="80"/>
      <c r="ISB251" s="80"/>
      <c r="ISC251" s="80"/>
      <c r="ISD251" s="80"/>
      <c r="ISE251" s="80"/>
      <c r="ISF251" s="80"/>
      <c r="ISG251" s="80"/>
      <c r="ISH251" s="80"/>
      <c r="ISI251" s="80"/>
      <c r="ISJ251" s="80"/>
      <c r="ISK251" s="80"/>
      <c r="ISL251" s="80"/>
      <c r="ISM251" s="80"/>
      <c r="ISN251" s="80"/>
      <c r="ISO251" s="80"/>
      <c r="ISP251" s="80"/>
      <c r="ISQ251" s="80"/>
      <c r="ISR251" s="80"/>
      <c r="ISS251" s="80"/>
      <c r="IST251" s="80"/>
      <c r="ISU251" s="80"/>
      <c r="ISV251" s="80"/>
      <c r="ISW251" s="80"/>
      <c r="ISX251" s="80"/>
      <c r="ISY251" s="80"/>
      <c r="ISZ251" s="80"/>
      <c r="ITA251" s="80"/>
      <c r="ITB251" s="80"/>
      <c r="ITC251" s="80"/>
      <c r="ITD251" s="80"/>
      <c r="ITE251" s="80"/>
      <c r="ITF251" s="80"/>
      <c r="ITG251" s="80"/>
      <c r="ITH251" s="80"/>
      <c r="ITI251" s="80"/>
      <c r="ITJ251" s="80"/>
      <c r="ITK251" s="80"/>
      <c r="ITL251" s="80"/>
      <c r="ITM251" s="80"/>
      <c r="ITN251" s="80"/>
      <c r="ITO251" s="80"/>
      <c r="ITP251" s="80"/>
      <c r="ITQ251" s="80"/>
      <c r="ITR251" s="80"/>
      <c r="ITS251" s="80"/>
      <c r="ITT251" s="80"/>
      <c r="ITU251" s="80"/>
      <c r="ITV251" s="80"/>
      <c r="ITW251" s="80"/>
      <c r="ITX251" s="80"/>
      <c r="ITY251" s="80"/>
      <c r="ITZ251" s="80"/>
      <c r="IUA251" s="80"/>
      <c r="IUB251" s="80"/>
      <c r="IUC251" s="80"/>
      <c r="IUD251" s="80"/>
      <c r="IUE251" s="80"/>
      <c r="IUF251" s="80"/>
      <c r="IUG251" s="80"/>
      <c r="IUH251" s="80"/>
      <c r="IUI251" s="80"/>
      <c r="IUJ251" s="80"/>
      <c r="IUK251" s="80"/>
      <c r="IUL251" s="80"/>
      <c r="IUM251" s="80"/>
      <c r="IUN251" s="80"/>
      <c r="IUO251" s="80"/>
      <c r="IUP251" s="80"/>
      <c r="IUQ251" s="80"/>
      <c r="IUR251" s="80"/>
      <c r="IUS251" s="80"/>
      <c r="IUT251" s="80"/>
      <c r="IUU251" s="80"/>
      <c r="IUV251" s="80"/>
      <c r="IUW251" s="80"/>
      <c r="IUX251" s="80"/>
      <c r="IUY251" s="80"/>
      <c r="IUZ251" s="80"/>
      <c r="IVA251" s="80"/>
      <c r="IVB251" s="80"/>
      <c r="IVC251" s="80"/>
      <c r="IVD251" s="80"/>
      <c r="IVE251" s="80"/>
      <c r="IVF251" s="80"/>
      <c r="IVG251" s="80"/>
      <c r="IVH251" s="80"/>
      <c r="IVI251" s="80"/>
      <c r="IVJ251" s="80"/>
      <c r="IVK251" s="80"/>
      <c r="IVL251" s="80"/>
      <c r="IVM251" s="80"/>
      <c r="IVN251" s="80"/>
      <c r="IVO251" s="80"/>
      <c r="IVP251" s="80"/>
      <c r="IVQ251" s="80"/>
      <c r="IVR251" s="80"/>
      <c r="IVS251" s="80"/>
      <c r="IVT251" s="80"/>
      <c r="IVU251" s="80"/>
      <c r="IVV251" s="80"/>
      <c r="IVW251" s="80"/>
      <c r="IVX251" s="80"/>
      <c r="IVY251" s="80"/>
      <c r="IVZ251" s="80"/>
      <c r="IWA251" s="80"/>
      <c r="IWB251" s="80"/>
      <c r="IWC251" s="80"/>
      <c r="IWD251" s="80"/>
      <c r="IWE251" s="80"/>
      <c r="IWF251" s="80"/>
      <c r="IWG251" s="80"/>
      <c r="IWH251" s="80"/>
      <c r="IWI251" s="80"/>
      <c r="IWJ251" s="80"/>
      <c r="IWK251" s="80"/>
      <c r="IWL251" s="80"/>
      <c r="IWM251" s="80"/>
      <c r="IWN251" s="80"/>
      <c r="IWO251" s="80"/>
      <c r="IWP251" s="80"/>
      <c r="IWQ251" s="80"/>
      <c r="IWR251" s="80"/>
      <c r="IWS251" s="80"/>
      <c r="IWT251" s="80"/>
      <c r="IWU251" s="80"/>
      <c r="IWV251" s="80"/>
      <c r="IWW251" s="80"/>
      <c r="IWX251" s="80"/>
      <c r="IWY251" s="80"/>
      <c r="IWZ251" s="80"/>
      <c r="IXA251" s="80"/>
      <c r="IXB251" s="80"/>
      <c r="IXC251" s="80"/>
      <c r="IXD251" s="80"/>
      <c r="IXE251" s="80"/>
      <c r="IXF251" s="80"/>
      <c r="IXG251" s="80"/>
      <c r="IXH251" s="80"/>
      <c r="IXI251" s="80"/>
      <c r="IXJ251" s="80"/>
      <c r="IXK251" s="80"/>
      <c r="IXL251" s="80"/>
      <c r="IXM251" s="80"/>
      <c r="IXN251" s="80"/>
      <c r="IXO251" s="80"/>
      <c r="IXP251" s="80"/>
      <c r="IXQ251" s="80"/>
      <c r="IXR251" s="80"/>
      <c r="IXS251" s="80"/>
      <c r="IXT251" s="80"/>
      <c r="IXU251" s="80"/>
      <c r="IXV251" s="80"/>
      <c r="IXW251" s="80"/>
      <c r="IXX251" s="80"/>
      <c r="IXY251" s="80"/>
      <c r="IXZ251" s="80"/>
      <c r="IYA251" s="80"/>
      <c r="IYB251" s="80"/>
      <c r="IYC251" s="80"/>
      <c r="IYD251" s="80"/>
      <c r="IYE251" s="80"/>
      <c r="IYF251" s="80"/>
      <c r="IYG251" s="80"/>
      <c r="IYH251" s="80"/>
      <c r="IYI251" s="80"/>
      <c r="IYJ251" s="80"/>
      <c r="IYK251" s="80"/>
      <c r="IYL251" s="80"/>
      <c r="IYM251" s="80"/>
      <c r="IYN251" s="80"/>
      <c r="IYO251" s="80"/>
      <c r="IYP251" s="80"/>
      <c r="IYQ251" s="80"/>
      <c r="IYR251" s="80"/>
      <c r="IYS251" s="80"/>
      <c r="IYT251" s="80"/>
      <c r="IYU251" s="80"/>
      <c r="IYV251" s="80"/>
      <c r="IYW251" s="80"/>
      <c r="IYX251" s="80"/>
      <c r="IYY251" s="80"/>
      <c r="IYZ251" s="80"/>
      <c r="IZA251" s="80"/>
      <c r="IZB251" s="80"/>
      <c r="IZC251" s="80"/>
      <c r="IZD251" s="80"/>
      <c r="IZE251" s="80"/>
      <c r="IZF251" s="80"/>
      <c r="IZG251" s="80"/>
      <c r="IZH251" s="80"/>
      <c r="IZI251" s="80"/>
      <c r="IZJ251" s="80"/>
      <c r="IZK251" s="80"/>
      <c r="IZL251" s="80"/>
      <c r="IZM251" s="80"/>
      <c r="IZN251" s="80"/>
      <c r="IZO251" s="80"/>
      <c r="IZP251" s="80"/>
      <c r="IZQ251" s="80"/>
      <c r="IZR251" s="80"/>
      <c r="IZS251" s="80"/>
      <c r="IZT251" s="80"/>
      <c r="IZU251" s="80"/>
      <c r="IZV251" s="80"/>
      <c r="IZW251" s="80"/>
      <c r="IZX251" s="80"/>
      <c r="IZY251" s="80"/>
      <c r="IZZ251" s="80"/>
      <c r="JAA251" s="80"/>
      <c r="JAB251" s="80"/>
      <c r="JAC251" s="80"/>
      <c r="JAD251" s="80"/>
      <c r="JAE251" s="80"/>
      <c r="JAF251" s="80"/>
      <c r="JAG251" s="80"/>
      <c r="JAH251" s="80"/>
      <c r="JAI251" s="80"/>
      <c r="JAJ251" s="80"/>
      <c r="JAK251" s="80"/>
      <c r="JAL251" s="80"/>
      <c r="JAM251" s="80"/>
      <c r="JAN251" s="80"/>
      <c r="JAO251" s="80"/>
      <c r="JAP251" s="80"/>
      <c r="JAQ251" s="80"/>
      <c r="JAR251" s="80"/>
      <c r="JAS251" s="80"/>
      <c r="JAT251" s="80"/>
      <c r="JAU251" s="80"/>
      <c r="JAV251" s="80"/>
      <c r="JAW251" s="80"/>
      <c r="JAX251" s="80"/>
      <c r="JAY251" s="80"/>
      <c r="JAZ251" s="80"/>
      <c r="JBA251" s="80"/>
      <c r="JBB251" s="80"/>
      <c r="JBC251" s="80"/>
      <c r="JBD251" s="80"/>
      <c r="JBE251" s="80"/>
      <c r="JBF251" s="80"/>
      <c r="JBG251" s="80"/>
      <c r="JBH251" s="80"/>
      <c r="JBI251" s="80"/>
      <c r="JBJ251" s="80"/>
      <c r="JBK251" s="80"/>
      <c r="JBL251" s="80"/>
      <c r="JBM251" s="80"/>
      <c r="JBN251" s="80"/>
      <c r="JBO251" s="80"/>
      <c r="JBP251" s="80"/>
      <c r="JBQ251" s="80"/>
      <c r="JBR251" s="80"/>
      <c r="JBS251" s="80"/>
      <c r="JBT251" s="80"/>
      <c r="JBU251" s="80"/>
      <c r="JBV251" s="80"/>
      <c r="JBW251" s="80"/>
      <c r="JBX251" s="80"/>
      <c r="JBY251" s="80"/>
      <c r="JBZ251" s="80"/>
      <c r="JCA251" s="80"/>
      <c r="JCB251" s="80"/>
      <c r="JCC251" s="80"/>
      <c r="JCD251" s="80"/>
      <c r="JCE251" s="80"/>
      <c r="JCF251" s="80"/>
      <c r="JCG251" s="80"/>
      <c r="JCH251" s="80"/>
      <c r="JCI251" s="80"/>
      <c r="JCJ251" s="80"/>
      <c r="JCK251" s="80"/>
      <c r="JCL251" s="80"/>
      <c r="JCM251" s="80"/>
      <c r="JCN251" s="80"/>
      <c r="JCO251" s="80"/>
      <c r="JCP251" s="80"/>
      <c r="JCQ251" s="80"/>
      <c r="JCR251" s="80"/>
      <c r="JCS251" s="80"/>
      <c r="JCT251" s="80"/>
      <c r="JCU251" s="80"/>
      <c r="JCV251" s="80"/>
      <c r="JCW251" s="80"/>
      <c r="JCX251" s="80"/>
      <c r="JCY251" s="80"/>
      <c r="JCZ251" s="80"/>
      <c r="JDA251" s="80"/>
      <c r="JDB251" s="80"/>
      <c r="JDC251" s="80"/>
      <c r="JDD251" s="80"/>
      <c r="JDE251" s="80"/>
      <c r="JDF251" s="80"/>
      <c r="JDG251" s="80"/>
      <c r="JDH251" s="80"/>
      <c r="JDI251" s="80"/>
      <c r="JDJ251" s="80"/>
      <c r="JDK251" s="80"/>
      <c r="JDL251" s="80"/>
      <c r="JDM251" s="80"/>
      <c r="JDN251" s="80"/>
      <c r="JDO251" s="80"/>
      <c r="JDP251" s="80"/>
      <c r="JDQ251" s="80"/>
      <c r="JDR251" s="80"/>
      <c r="JDS251" s="80"/>
      <c r="JDT251" s="80"/>
      <c r="JDU251" s="80"/>
      <c r="JDV251" s="80"/>
      <c r="JDW251" s="80"/>
      <c r="JDX251" s="80"/>
      <c r="JDY251" s="80"/>
      <c r="JDZ251" s="80"/>
      <c r="JEA251" s="80"/>
      <c r="JEB251" s="80"/>
      <c r="JEC251" s="80"/>
      <c r="JED251" s="80"/>
      <c r="JEE251" s="80"/>
      <c r="JEF251" s="80"/>
      <c r="JEG251" s="80"/>
      <c r="JEH251" s="80"/>
      <c r="JEI251" s="80"/>
      <c r="JEJ251" s="80"/>
      <c r="JEK251" s="80"/>
      <c r="JEL251" s="80"/>
      <c r="JEM251" s="80"/>
      <c r="JEN251" s="80"/>
      <c r="JEO251" s="80"/>
      <c r="JEP251" s="80"/>
      <c r="JEQ251" s="80"/>
      <c r="JER251" s="80"/>
      <c r="JES251" s="80"/>
      <c r="JET251" s="80"/>
      <c r="JEU251" s="80"/>
      <c r="JEV251" s="80"/>
      <c r="JEW251" s="80"/>
      <c r="JEX251" s="80"/>
      <c r="JEY251" s="80"/>
      <c r="JEZ251" s="80"/>
      <c r="JFA251" s="80"/>
      <c r="JFB251" s="80"/>
      <c r="JFC251" s="80"/>
      <c r="JFD251" s="80"/>
      <c r="JFE251" s="80"/>
      <c r="JFF251" s="80"/>
      <c r="JFG251" s="80"/>
      <c r="JFH251" s="80"/>
      <c r="JFI251" s="80"/>
      <c r="JFJ251" s="80"/>
      <c r="JFK251" s="80"/>
      <c r="JFL251" s="80"/>
      <c r="JFM251" s="80"/>
      <c r="JFN251" s="80"/>
      <c r="JFO251" s="80"/>
      <c r="JFP251" s="80"/>
      <c r="JFQ251" s="80"/>
      <c r="JFR251" s="80"/>
      <c r="JFS251" s="80"/>
      <c r="JFT251" s="80"/>
      <c r="JFU251" s="80"/>
      <c r="JFV251" s="80"/>
      <c r="JFW251" s="80"/>
      <c r="JFX251" s="80"/>
      <c r="JFY251" s="80"/>
      <c r="JFZ251" s="80"/>
      <c r="JGA251" s="80"/>
      <c r="JGB251" s="80"/>
      <c r="JGC251" s="80"/>
      <c r="JGD251" s="80"/>
      <c r="JGE251" s="80"/>
      <c r="JGF251" s="80"/>
      <c r="JGG251" s="80"/>
      <c r="JGH251" s="80"/>
      <c r="JGI251" s="80"/>
      <c r="JGJ251" s="80"/>
      <c r="JGK251" s="80"/>
      <c r="JGL251" s="80"/>
      <c r="JGM251" s="80"/>
      <c r="JGN251" s="80"/>
      <c r="JGO251" s="80"/>
      <c r="JGP251" s="80"/>
      <c r="JGQ251" s="80"/>
      <c r="JGR251" s="80"/>
      <c r="JGS251" s="80"/>
      <c r="JGT251" s="80"/>
      <c r="JGU251" s="80"/>
      <c r="JGV251" s="80"/>
      <c r="JGW251" s="80"/>
      <c r="JGX251" s="80"/>
      <c r="JGY251" s="80"/>
      <c r="JGZ251" s="80"/>
      <c r="JHA251" s="80"/>
      <c r="JHB251" s="80"/>
      <c r="JHC251" s="80"/>
      <c r="JHD251" s="80"/>
      <c r="JHE251" s="80"/>
      <c r="JHF251" s="80"/>
      <c r="JHG251" s="80"/>
      <c r="JHH251" s="80"/>
      <c r="JHI251" s="80"/>
      <c r="JHJ251" s="80"/>
      <c r="JHK251" s="80"/>
      <c r="JHL251" s="80"/>
      <c r="JHM251" s="80"/>
      <c r="JHN251" s="80"/>
      <c r="JHO251" s="80"/>
      <c r="JHP251" s="80"/>
      <c r="JHQ251" s="80"/>
      <c r="JHR251" s="80"/>
      <c r="JHS251" s="80"/>
      <c r="JHT251" s="80"/>
      <c r="JHU251" s="80"/>
      <c r="JHV251" s="80"/>
      <c r="JHW251" s="80"/>
      <c r="JHX251" s="80"/>
      <c r="JHY251" s="80"/>
      <c r="JHZ251" s="80"/>
      <c r="JIA251" s="80"/>
      <c r="JIB251" s="80"/>
      <c r="JIC251" s="80"/>
      <c r="JID251" s="80"/>
      <c r="JIE251" s="80"/>
      <c r="JIF251" s="80"/>
      <c r="JIG251" s="80"/>
      <c r="JIH251" s="80"/>
      <c r="JII251" s="80"/>
      <c r="JIJ251" s="80"/>
      <c r="JIK251" s="80"/>
      <c r="JIL251" s="80"/>
      <c r="JIM251" s="80"/>
      <c r="JIN251" s="80"/>
      <c r="JIO251" s="80"/>
      <c r="JIP251" s="80"/>
      <c r="JIQ251" s="80"/>
      <c r="JIR251" s="80"/>
      <c r="JIS251" s="80"/>
      <c r="JIT251" s="80"/>
      <c r="JIU251" s="80"/>
      <c r="JIV251" s="80"/>
      <c r="JIW251" s="80"/>
      <c r="JIX251" s="80"/>
      <c r="JIY251" s="80"/>
      <c r="JIZ251" s="80"/>
      <c r="JJA251" s="80"/>
      <c r="JJB251" s="80"/>
      <c r="JJC251" s="80"/>
      <c r="JJD251" s="80"/>
      <c r="JJE251" s="80"/>
      <c r="JJF251" s="80"/>
      <c r="JJG251" s="80"/>
      <c r="JJH251" s="80"/>
      <c r="JJI251" s="80"/>
      <c r="JJJ251" s="80"/>
      <c r="JJK251" s="80"/>
      <c r="JJL251" s="80"/>
      <c r="JJM251" s="80"/>
      <c r="JJN251" s="80"/>
      <c r="JJO251" s="80"/>
      <c r="JJP251" s="80"/>
      <c r="JJQ251" s="80"/>
      <c r="JJR251" s="80"/>
      <c r="JJS251" s="80"/>
      <c r="JJT251" s="80"/>
      <c r="JJU251" s="80"/>
      <c r="JJV251" s="80"/>
      <c r="JJW251" s="80"/>
      <c r="JJX251" s="80"/>
      <c r="JJY251" s="80"/>
      <c r="JJZ251" s="80"/>
      <c r="JKA251" s="80"/>
      <c r="JKB251" s="80"/>
      <c r="JKC251" s="80"/>
      <c r="JKD251" s="80"/>
      <c r="JKE251" s="80"/>
      <c r="JKF251" s="80"/>
      <c r="JKG251" s="80"/>
      <c r="JKH251" s="80"/>
      <c r="JKI251" s="80"/>
      <c r="JKJ251" s="80"/>
      <c r="JKK251" s="80"/>
      <c r="JKL251" s="80"/>
      <c r="JKM251" s="80"/>
      <c r="JKN251" s="80"/>
      <c r="JKO251" s="80"/>
      <c r="JKP251" s="80"/>
      <c r="JKQ251" s="80"/>
      <c r="JKR251" s="80"/>
      <c r="JKS251" s="80"/>
      <c r="JKT251" s="80"/>
      <c r="JKU251" s="80"/>
      <c r="JKV251" s="80"/>
      <c r="JKW251" s="80"/>
      <c r="JKX251" s="80"/>
      <c r="JKY251" s="80"/>
      <c r="JKZ251" s="80"/>
      <c r="JLA251" s="80"/>
      <c r="JLB251" s="80"/>
      <c r="JLC251" s="80"/>
      <c r="JLD251" s="80"/>
      <c r="JLE251" s="80"/>
      <c r="JLF251" s="80"/>
      <c r="JLG251" s="80"/>
      <c r="JLH251" s="80"/>
      <c r="JLI251" s="80"/>
      <c r="JLJ251" s="80"/>
      <c r="JLK251" s="80"/>
      <c r="JLL251" s="80"/>
      <c r="JLM251" s="80"/>
      <c r="JLN251" s="80"/>
      <c r="JLO251" s="80"/>
      <c r="JLP251" s="80"/>
      <c r="JLQ251" s="80"/>
      <c r="JLR251" s="80"/>
      <c r="JLS251" s="80"/>
      <c r="JLT251" s="80"/>
      <c r="JLU251" s="80"/>
      <c r="JLV251" s="80"/>
      <c r="JLW251" s="80"/>
      <c r="JLX251" s="80"/>
      <c r="JLY251" s="80"/>
      <c r="JLZ251" s="80"/>
      <c r="JMA251" s="80"/>
      <c r="JMB251" s="80"/>
      <c r="JMC251" s="80"/>
      <c r="JMD251" s="80"/>
      <c r="JME251" s="80"/>
      <c r="JMF251" s="80"/>
      <c r="JMG251" s="80"/>
      <c r="JMH251" s="80"/>
      <c r="JMI251" s="80"/>
      <c r="JMJ251" s="80"/>
      <c r="JMK251" s="80"/>
      <c r="JML251" s="80"/>
      <c r="JMM251" s="80"/>
      <c r="JMN251" s="80"/>
      <c r="JMO251" s="80"/>
      <c r="JMP251" s="80"/>
      <c r="JMQ251" s="80"/>
      <c r="JMR251" s="80"/>
      <c r="JMS251" s="80"/>
      <c r="JMT251" s="80"/>
      <c r="JMU251" s="80"/>
      <c r="JMV251" s="80"/>
      <c r="JMW251" s="80"/>
      <c r="JMX251" s="80"/>
      <c r="JMY251" s="80"/>
      <c r="JMZ251" s="80"/>
      <c r="JNA251" s="80"/>
      <c r="JNB251" s="80"/>
      <c r="JNC251" s="80"/>
      <c r="JND251" s="80"/>
      <c r="JNE251" s="80"/>
      <c r="JNF251" s="80"/>
      <c r="JNG251" s="80"/>
      <c r="JNH251" s="80"/>
      <c r="JNI251" s="80"/>
      <c r="JNJ251" s="80"/>
      <c r="JNK251" s="80"/>
      <c r="JNL251" s="80"/>
      <c r="JNM251" s="80"/>
      <c r="JNN251" s="80"/>
      <c r="JNO251" s="80"/>
      <c r="JNP251" s="80"/>
      <c r="JNQ251" s="80"/>
      <c r="JNR251" s="80"/>
      <c r="JNS251" s="80"/>
      <c r="JNT251" s="80"/>
      <c r="JNU251" s="80"/>
      <c r="JNV251" s="80"/>
      <c r="JNW251" s="80"/>
      <c r="JNX251" s="80"/>
      <c r="JNY251" s="80"/>
      <c r="JNZ251" s="80"/>
      <c r="JOA251" s="80"/>
      <c r="JOB251" s="80"/>
      <c r="JOC251" s="80"/>
      <c r="JOD251" s="80"/>
      <c r="JOE251" s="80"/>
      <c r="JOF251" s="80"/>
      <c r="JOG251" s="80"/>
      <c r="JOH251" s="80"/>
      <c r="JOI251" s="80"/>
      <c r="JOJ251" s="80"/>
      <c r="JOK251" s="80"/>
      <c r="JOL251" s="80"/>
      <c r="JOM251" s="80"/>
      <c r="JON251" s="80"/>
      <c r="JOO251" s="80"/>
      <c r="JOP251" s="80"/>
      <c r="JOQ251" s="80"/>
      <c r="JOR251" s="80"/>
      <c r="JOS251" s="80"/>
      <c r="JOT251" s="80"/>
      <c r="JOU251" s="80"/>
      <c r="JOV251" s="80"/>
      <c r="JOW251" s="80"/>
      <c r="JOX251" s="80"/>
      <c r="JOY251" s="80"/>
      <c r="JOZ251" s="80"/>
      <c r="JPA251" s="80"/>
      <c r="JPB251" s="80"/>
      <c r="JPC251" s="80"/>
      <c r="JPD251" s="80"/>
      <c r="JPE251" s="80"/>
      <c r="JPF251" s="80"/>
      <c r="JPG251" s="80"/>
      <c r="JPH251" s="80"/>
      <c r="JPI251" s="80"/>
      <c r="JPJ251" s="80"/>
      <c r="JPK251" s="80"/>
      <c r="JPL251" s="80"/>
      <c r="JPM251" s="80"/>
      <c r="JPN251" s="80"/>
      <c r="JPO251" s="80"/>
      <c r="JPP251" s="80"/>
      <c r="JPQ251" s="80"/>
      <c r="JPR251" s="80"/>
      <c r="JPS251" s="80"/>
      <c r="JPT251" s="80"/>
      <c r="JPU251" s="80"/>
      <c r="JPV251" s="80"/>
      <c r="JPW251" s="80"/>
      <c r="JPX251" s="80"/>
      <c r="JPY251" s="80"/>
      <c r="JPZ251" s="80"/>
      <c r="JQA251" s="80"/>
      <c r="JQB251" s="80"/>
      <c r="JQC251" s="80"/>
      <c r="JQD251" s="80"/>
      <c r="JQE251" s="80"/>
      <c r="JQF251" s="80"/>
      <c r="JQG251" s="80"/>
      <c r="JQH251" s="80"/>
      <c r="JQI251" s="80"/>
      <c r="JQJ251" s="80"/>
      <c r="JQK251" s="80"/>
      <c r="JQL251" s="80"/>
      <c r="JQM251" s="80"/>
      <c r="JQN251" s="80"/>
      <c r="JQO251" s="80"/>
      <c r="JQP251" s="80"/>
      <c r="JQQ251" s="80"/>
      <c r="JQR251" s="80"/>
      <c r="JQS251" s="80"/>
      <c r="JQT251" s="80"/>
      <c r="JQU251" s="80"/>
      <c r="JQV251" s="80"/>
      <c r="JQW251" s="80"/>
      <c r="JQX251" s="80"/>
      <c r="JQY251" s="80"/>
      <c r="JQZ251" s="80"/>
      <c r="JRA251" s="80"/>
      <c r="JRB251" s="80"/>
      <c r="JRC251" s="80"/>
      <c r="JRD251" s="80"/>
      <c r="JRE251" s="80"/>
      <c r="JRF251" s="80"/>
      <c r="JRG251" s="80"/>
      <c r="JRH251" s="80"/>
      <c r="JRI251" s="80"/>
      <c r="JRJ251" s="80"/>
      <c r="JRK251" s="80"/>
      <c r="JRL251" s="80"/>
      <c r="JRM251" s="80"/>
      <c r="JRN251" s="80"/>
      <c r="JRO251" s="80"/>
      <c r="JRP251" s="80"/>
      <c r="JRQ251" s="80"/>
      <c r="JRR251" s="80"/>
      <c r="JRS251" s="80"/>
      <c r="JRT251" s="80"/>
      <c r="JRU251" s="80"/>
      <c r="JRV251" s="80"/>
      <c r="JRW251" s="80"/>
      <c r="JRX251" s="80"/>
      <c r="JRY251" s="80"/>
      <c r="JRZ251" s="80"/>
      <c r="JSA251" s="80"/>
      <c r="JSB251" s="80"/>
      <c r="JSC251" s="80"/>
      <c r="JSD251" s="80"/>
      <c r="JSE251" s="80"/>
      <c r="JSF251" s="80"/>
      <c r="JSG251" s="80"/>
      <c r="JSH251" s="80"/>
      <c r="JSI251" s="80"/>
      <c r="JSJ251" s="80"/>
      <c r="JSK251" s="80"/>
      <c r="JSL251" s="80"/>
      <c r="JSM251" s="80"/>
      <c r="JSN251" s="80"/>
      <c r="JSO251" s="80"/>
      <c r="JSP251" s="80"/>
      <c r="JSQ251" s="80"/>
      <c r="JSR251" s="80"/>
      <c r="JSS251" s="80"/>
      <c r="JST251" s="80"/>
      <c r="JSU251" s="80"/>
      <c r="JSV251" s="80"/>
      <c r="JSW251" s="80"/>
      <c r="JSX251" s="80"/>
      <c r="JSY251" s="80"/>
      <c r="JSZ251" s="80"/>
      <c r="JTA251" s="80"/>
      <c r="JTB251" s="80"/>
      <c r="JTC251" s="80"/>
      <c r="JTD251" s="80"/>
      <c r="JTE251" s="80"/>
      <c r="JTF251" s="80"/>
      <c r="JTG251" s="80"/>
      <c r="JTH251" s="80"/>
      <c r="JTI251" s="80"/>
      <c r="JTJ251" s="80"/>
      <c r="JTK251" s="80"/>
      <c r="JTL251" s="80"/>
      <c r="JTM251" s="80"/>
      <c r="JTN251" s="80"/>
      <c r="JTO251" s="80"/>
      <c r="JTP251" s="80"/>
      <c r="JTQ251" s="80"/>
      <c r="JTR251" s="80"/>
      <c r="JTS251" s="80"/>
      <c r="JTT251" s="80"/>
      <c r="JTU251" s="80"/>
      <c r="JTV251" s="80"/>
      <c r="JTW251" s="80"/>
      <c r="JTX251" s="80"/>
      <c r="JTY251" s="80"/>
      <c r="JTZ251" s="80"/>
      <c r="JUA251" s="80"/>
      <c r="JUB251" s="80"/>
      <c r="JUC251" s="80"/>
      <c r="JUD251" s="80"/>
      <c r="JUE251" s="80"/>
      <c r="JUF251" s="80"/>
      <c r="JUG251" s="80"/>
      <c r="JUH251" s="80"/>
      <c r="JUI251" s="80"/>
      <c r="JUJ251" s="80"/>
      <c r="JUK251" s="80"/>
      <c r="JUL251" s="80"/>
      <c r="JUM251" s="80"/>
      <c r="JUN251" s="80"/>
      <c r="JUO251" s="80"/>
      <c r="JUP251" s="80"/>
      <c r="JUQ251" s="80"/>
      <c r="JUR251" s="80"/>
      <c r="JUS251" s="80"/>
      <c r="JUT251" s="80"/>
      <c r="JUU251" s="80"/>
      <c r="JUV251" s="80"/>
      <c r="JUW251" s="80"/>
      <c r="JUX251" s="80"/>
      <c r="JUY251" s="80"/>
      <c r="JUZ251" s="80"/>
      <c r="JVA251" s="80"/>
      <c r="JVB251" s="80"/>
      <c r="JVC251" s="80"/>
      <c r="JVD251" s="80"/>
      <c r="JVE251" s="80"/>
      <c r="JVF251" s="80"/>
      <c r="JVG251" s="80"/>
      <c r="JVH251" s="80"/>
      <c r="JVI251" s="80"/>
      <c r="JVJ251" s="80"/>
      <c r="JVK251" s="80"/>
      <c r="JVL251" s="80"/>
      <c r="JVM251" s="80"/>
      <c r="JVN251" s="80"/>
      <c r="JVO251" s="80"/>
      <c r="JVP251" s="80"/>
      <c r="JVQ251" s="80"/>
      <c r="JVR251" s="80"/>
      <c r="JVS251" s="80"/>
      <c r="JVT251" s="80"/>
      <c r="JVU251" s="80"/>
      <c r="JVV251" s="80"/>
      <c r="JVW251" s="80"/>
      <c r="JVX251" s="80"/>
      <c r="JVY251" s="80"/>
      <c r="JVZ251" s="80"/>
      <c r="JWA251" s="80"/>
      <c r="JWB251" s="80"/>
      <c r="JWC251" s="80"/>
      <c r="JWD251" s="80"/>
      <c r="JWE251" s="80"/>
      <c r="JWF251" s="80"/>
      <c r="JWG251" s="80"/>
      <c r="JWH251" s="80"/>
      <c r="JWI251" s="80"/>
      <c r="JWJ251" s="80"/>
      <c r="JWK251" s="80"/>
      <c r="JWL251" s="80"/>
      <c r="JWM251" s="80"/>
      <c r="JWN251" s="80"/>
      <c r="JWO251" s="80"/>
      <c r="JWP251" s="80"/>
      <c r="JWQ251" s="80"/>
      <c r="JWR251" s="80"/>
      <c r="JWS251" s="80"/>
      <c r="JWT251" s="80"/>
      <c r="JWU251" s="80"/>
      <c r="JWV251" s="80"/>
      <c r="JWW251" s="80"/>
      <c r="JWX251" s="80"/>
      <c r="JWY251" s="80"/>
      <c r="JWZ251" s="80"/>
      <c r="JXA251" s="80"/>
      <c r="JXB251" s="80"/>
      <c r="JXC251" s="80"/>
      <c r="JXD251" s="80"/>
      <c r="JXE251" s="80"/>
      <c r="JXF251" s="80"/>
      <c r="JXG251" s="80"/>
      <c r="JXH251" s="80"/>
      <c r="JXI251" s="80"/>
      <c r="JXJ251" s="80"/>
      <c r="JXK251" s="80"/>
      <c r="JXL251" s="80"/>
      <c r="JXM251" s="80"/>
      <c r="JXN251" s="80"/>
      <c r="JXO251" s="80"/>
      <c r="JXP251" s="80"/>
      <c r="JXQ251" s="80"/>
      <c r="JXR251" s="80"/>
      <c r="JXS251" s="80"/>
      <c r="JXT251" s="80"/>
      <c r="JXU251" s="80"/>
      <c r="JXV251" s="80"/>
      <c r="JXW251" s="80"/>
      <c r="JXX251" s="80"/>
      <c r="JXY251" s="80"/>
      <c r="JXZ251" s="80"/>
      <c r="JYA251" s="80"/>
      <c r="JYB251" s="80"/>
      <c r="JYC251" s="80"/>
      <c r="JYD251" s="80"/>
      <c r="JYE251" s="80"/>
      <c r="JYF251" s="80"/>
      <c r="JYG251" s="80"/>
      <c r="JYH251" s="80"/>
      <c r="JYI251" s="80"/>
      <c r="JYJ251" s="80"/>
      <c r="JYK251" s="80"/>
      <c r="JYL251" s="80"/>
      <c r="JYM251" s="80"/>
      <c r="JYN251" s="80"/>
      <c r="JYO251" s="80"/>
      <c r="JYP251" s="80"/>
      <c r="JYQ251" s="80"/>
      <c r="JYR251" s="80"/>
      <c r="JYS251" s="80"/>
      <c r="JYT251" s="80"/>
      <c r="JYU251" s="80"/>
      <c r="JYV251" s="80"/>
      <c r="JYW251" s="80"/>
      <c r="JYX251" s="80"/>
      <c r="JYY251" s="80"/>
      <c r="JYZ251" s="80"/>
      <c r="JZA251" s="80"/>
      <c r="JZB251" s="80"/>
      <c r="JZC251" s="80"/>
      <c r="JZD251" s="80"/>
      <c r="JZE251" s="80"/>
      <c r="JZF251" s="80"/>
      <c r="JZG251" s="80"/>
      <c r="JZH251" s="80"/>
      <c r="JZI251" s="80"/>
      <c r="JZJ251" s="80"/>
      <c r="JZK251" s="80"/>
      <c r="JZL251" s="80"/>
      <c r="JZM251" s="80"/>
      <c r="JZN251" s="80"/>
      <c r="JZO251" s="80"/>
      <c r="JZP251" s="80"/>
      <c r="JZQ251" s="80"/>
      <c r="JZR251" s="80"/>
      <c r="JZS251" s="80"/>
      <c r="JZT251" s="80"/>
      <c r="JZU251" s="80"/>
      <c r="JZV251" s="80"/>
      <c r="JZW251" s="80"/>
      <c r="JZX251" s="80"/>
      <c r="JZY251" s="80"/>
      <c r="JZZ251" s="80"/>
      <c r="KAA251" s="80"/>
      <c r="KAB251" s="80"/>
      <c r="KAC251" s="80"/>
      <c r="KAD251" s="80"/>
      <c r="KAE251" s="80"/>
      <c r="KAF251" s="80"/>
      <c r="KAG251" s="80"/>
      <c r="KAH251" s="80"/>
      <c r="KAI251" s="80"/>
      <c r="KAJ251" s="80"/>
      <c r="KAK251" s="80"/>
      <c r="KAL251" s="80"/>
      <c r="KAM251" s="80"/>
      <c r="KAN251" s="80"/>
      <c r="KAO251" s="80"/>
      <c r="KAP251" s="80"/>
      <c r="KAQ251" s="80"/>
      <c r="KAR251" s="80"/>
      <c r="KAS251" s="80"/>
      <c r="KAT251" s="80"/>
      <c r="KAU251" s="80"/>
      <c r="KAV251" s="80"/>
      <c r="KAW251" s="80"/>
      <c r="KAX251" s="80"/>
      <c r="KAY251" s="80"/>
      <c r="KAZ251" s="80"/>
      <c r="KBA251" s="80"/>
      <c r="KBB251" s="80"/>
      <c r="KBC251" s="80"/>
      <c r="KBD251" s="80"/>
      <c r="KBE251" s="80"/>
      <c r="KBF251" s="80"/>
      <c r="KBG251" s="80"/>
      <c r="KBH251" s="80"/>
      <c r="KBI251" s="80"/>
      <c r="KBJ251" s="80"/>
      <c r="KBK251" s="80"/>
      <c r="KBL251" s="80"/>
      <c r="KBM251" s="80"/>
      <c r="KBN251" s="80"/>
      <c r="KBO251" s="80"/>
      <c r="KBP251" s="80"/>
      <c r="KBQ251" s="80"/>
      <c r="KBR251" s="80"/>
      <c r="KBS251" s="80"/>
      <c r="KBT251" s="80"/>
      <c r="KBU251" s="80"/>
      <c r="KBV251" s="80"/>
      <c r="KBW251" s="80"/>
      <c r="KBX251" s="80"/>
      <c r="KBY251" s="80"/>
      <c r="KBZ251" s="80"/>
      <c r="KCA251" s="80"/>
      <c r="KCB251" s="80"/>
      <c r="KCC251" s="80"/>
      <c r="KCD251" s="80"/>
      <c r="KCE251" s="80"/>
      <c r="KCF251" s="80"/>
      <c r="KCG251" s="80"/>
      <c r="KCH251" s="80"/>
      <c r="KCI251" s="80"/>
      <c r="KCJ251" s="80"/>
      <c r="KCK251" s="80"/>
      <c r="KCL251" s="80"/>
      <c r="KCM251" s="80"/>
      <c r="KCN251" s="80"/>
      <c r="KCO251" s="80"/>
      <c r="KCP251" s="80"/>
      <c r="KCQ251" s="80"/>
      <c r="KCR251" s="80"/>
      <c r="KCS251" s="80"/>
      <c r="KCT251" s="80"/>
      <c r="KCU251" s="80"/>
      <c r="KCV251" s="80"/>
      <c r="KCW251" s="80"/>
      <c r="KCX251" s="80"/>
      <c r="KCY251" s="80"/>
      <c r="KCZ251" s="80"/>
      <c r="KDA251" s="80"/>
      <c r="KDB251" s="80"/>
      <c r="KDC251" s="80"/>
      <c r="KDD251" s="80"/>
      <c r="KDE251" s="80"/>
      <c r="KDF251" s="80"/>
      <c r="KDG251" s="80"/>
      <c r="KDH251" s="80"/>
      <c r="KDI251" s="80"/>
      <c r="KDJ251" s="80"/>
      <c r="KDK251" s="80"/>
      <c r="KDL251" s="80"/>
      <c r="KDM251" s="80"/>
      <c r="KDN251" s="80"/>
      <c r="KDO251" s="80"/>
      <c r="KDP251" s="80"/>
      <c r="KDQ251" s="80"/>
      <c r="KDR251" s="80"/>
      <c r="KDS251" s="80"/>
      <c r="KDT251" s="80"/>
      <c r="KDU251" s="80"/>
      <c r="KDV251" s="80"/>
      <c r="KDW251" s="80"/>
      <c r="KDX251" s="80"/>
      <c r="KDY251" s="80"/>
      <c r="KDZ251" s="80"/>
      <c r="KEA251" s="80"/>
      <c r="KEB251" s="80"/>
      <c r="KEC251" s="80"/>
      <c r="KED251" s="80"/>
      <c r="KEE251" s="80"/>
      <c r="KEF251" s="80"/>
      <c r="KEG251" s="80"/>
      <c r="KEH251" s="80"/>
      <c r="KEI251" s="80"/>
      <c r="KEJ251" s="80"/>
      <c r="KEK251" s="80"/>
      <c r="KEL251" s="80"/>
      <c r="KEM251" s="80"/>
      <c r="KEN251" s="80"/>
      <c r="KEO251" s="80"/>
      <c r="KEP251" s="80"/>
      <c r="KEQ251" s="80"/>
      <c r="KER251" s="80"/>
      <c r="KES251" s="80"/>
      <c r="KET251" s="80"/>
      <c r="KEU251" s="80"/>
      <c r="KEV251" s="80"/>
      <c r="KEW251" s="80"/>
      <c r="KEX251" s="80"/>
      <c r="KEY251" s="80"/>
      <c r="KEZ251" s="80"/>
      <c r="KFA251" s="80"/>
      <c r="KFB251" s="80"/>
      <c r="KFC251" s="80"/>
      <c r="KFD251" s="80"/>
      <c r="KFE251" s="80"/>
      <c r="KFF251" s="80"/>
      <c r="KFG251" s="80"/>
      <c r="KFH251" s="80"/>
      <c r="KFI251" s="80"/>
      <c r="KFJ251" s="80"/>
      <c r="KFK251" s="80"/>
      <c r="KFL251" s="80"/>
      <c r="KFM251" s="80"/>
      <c r="KFN251" s="80"/>
      <c r="KFO251" s="80"/>
      <c r="KFP251" s="80"/>
      <c r="KFQ251" s="80"/>
      <c r="KFR251" s="80"/>
      <c r="KFS251" s="80"/>
      <c r="KFT251" s="80"/>
      <c r="KFU251" s="80"/>
      <c r="KFV251" s="80"/>
      <c r="KFW251" s="80"/>
      <c r="KFX251" s="80"/>
      <c r="KFY251" s="80"/>
      <c r="KFZ251" s="80"/>
      <c r="KGA251" s="80"/>
      <c r="KGB251" s="80"/>
      <c r="KGC251" s="80"/>
      <c r="KGD251" s="80"/>
      <c r="KGE251" s="80"/>
      <c r="KGF251" s="80"/>
      <c r="KGG251" s="80"/>
      <c r="KGH251" s="80"/>
      <c r="KGI251" s="80"/>
      <c r="KGJ251" s="80"/>
      <c r="KGK251" s="80"/>
      <c r="KGL251" s="80"/>
      <c r="KGM251" s="80"/>
      <c r="KGN251" s="80"/>
      <c r="KGO251" s="80"/>
      <c r="KGP251" s="80"/>
      <c r="KGQ251" s="80"/>
      <c r="KGR251" s="80"/>
      <c r="KGS251" s="80"/>
      <c r="KGT251" s="80"/>
      <c r="KGU251" s="80"/>
      <c r="KGV251" s="80"/>
      <c r="KGW251" s="80"/>
      <c r="KGX251" s="80"/>
      <c r="KGY251" s="80"/>
      <c r="KGZ251" s="80"/>
      <c r="KHA251" s="80"/>
      <c r="KHB251" s="80"/>
      <c r="KHC251" s="80"/>
      <c r="KHD251" s="80"/>
      <c r="KHE251" s="80"/>
      <c r="KHF251" s="80"/>
      <c r="KHG251" s="80"/>
      <c r="KHH251" s="80"/>
      <c r="KHI251" s="80"/>
      <c r="KHJ251" s="80"/>
      <c r="KHK251" s="80"/>
      <c r="KHL251" s="80"/>
      <c r="KHM251" s="80"/>
      <c r="KHN251" s="80"/>
      <c r="KHO251" s="80"/>
      <c r="KHP251" s="80"/>
      <c r="KHQ251" s="80"/>
      <c r="KHR251" s="80"/>
      <c r="KHS251" s="80"/>
      <c r="KHT251" s="80"/>
      <c r="KHU251" s="80"/>
      <c r="KHV251" s="80"/>
      <c r="KHW251" s="80"/>
      <c r="KHX251" s="80"/>
      <c r="KHY251" s="80"/>
      <c r="KHZ251" s="80"/>
      <c r="KIA251" s="80"/>
      <c r="KIB251" s="80"/>
      <c r="KIC251" s="80"/>
      <c r="KID251" s="80"/>
      <c r="KIE251" s="80"/>
      <c r="KIF251" s="80"/>
      <c r="KIG251" s="80"/>
      <c r="KIH251" s="80"/>
      <c r="KII251" s="80"/>
      <c r="KIJ251" s="80"/>
      <c r="KIK251" s="80"/>
      <c r="KIL251" s="80"/>
      <c r="KIM251" s="80"/>
      <c r="KIN251" s="80"/>
      <c r="KIO251" s="80"/>
      <c r="KIP251" s="80"/>
      <c r="KIQ251" s="80"/>
      <c r="KIR251" s="80"/>
      <c r="KIS251" s="80"/>
      <c r="KIT251" s="80"/>
      <c r="KIU251" s="80"/>
      <c r="KIV251" s="80"/>
      <c r="KIW251" s="80"/>
      <c r="KIX251" s="80"/>
      <c r="KIY251" s="80"/>
      <c r="KIZ251" s="80"/>
      <c r="KJA251" s="80"/>
      <c r="KJB251" s="80"/>
      <c r="KJC251" s="80"/>
      <c r="KJD251" s="80"/>
      <c r="KJE251" s="80"/>
      <c r="KJF251" s="80"/>
      <c r="KJG251" s="80"/>
      <c r="KJH251" s="80"/>
      <c r="KJI251" s="80"/>
      <c r="KJJ251" s="80"/>
      <c r="KJK251" s="80"/>
      <c r="KJL251" s="80"/>
      <c r="KJM251" s="80"/>
      <c r="KJN251" s="80"/>
      <c r="KJO251" s="80"/>
      <c r="KJP251" s="80"/>
      <c r="KJQ251" s="80"/>
      <c r="KJR251" s="80"/>
      <c r="KJS251" s="80"/>
      <c r="KJT251" s="80"/>
      <c r="KJU251" s="80"/>
      <c r="KJV251" s="80"/>
      <c r="KJW251" s="80"/>
      <c r="KJX251" s="80"/>
      <c r="KJY251" s="80"/>
      <c r="KJZ251" s="80"/>
      <c r="KKA251" s="80"/>
      <c r="KKB251" s="80"/>
      <c r="KKC251" s="80"/>
      <c r="KKD251" s="80"/>
      <c r="KKE251" s="80"/>
      <c r="KKF251" s="80"/>
      <c r="KKG251" s="80"/>
      <c r="KKH251" s="80"/>
      <c r="KKI251" s="80"/>
      <c r="KKJ251" s="80"/>
      <c r="KKK251" s="80"/>
      <c r="KKL251" s="80"/>
      <c r="KKM251" s="80"/>
      <c r="KKN251" s="80"/>
      <c r="KKO251" s="80"/>
      <c r="KKP251" s="80"/>
      <c r="KKQ251" s="80"/>
      <c r="KKR251" s="80"/>
      <c r="KKS251" s="80"/>
      <c r="KKT251" s="80"/>
      <c r="KKU251" s="80"/>
      <c r="KKV251" s="80"/>
      <c r="KKW251" s="80"/>
      <c r="KKX251" s="80"/>
      <c r="KKY251" s="80"/>
      <c r="KKZ251" s="80"/>
      <c r="KLA251" s="80"/>
      <c r="KLB251" s="80"/>
      <c r="KLC251" s="80"/>
      <c r="KLD251" s="80"/>
      <c r="KLE251" s="80"/>
      <c r="KLF251" s="80"/>
      <c r="KLG251" s="80"/>
      <c r="KLH251" s="80"/>
      <c r="KLI251" s="80"/>
      <c r="KLJ251" s="80"/>
      <c r="KLK251" s="80"/>
      <c r="KLL251" s="80"/>
      <c r="KLM251" s="80"/>
      <c r="KLN251" s="80"/>
      <c r="KLO251" s="80"/>
      <c r="KLP251" s="80"/>
      <c r="KLQ251" s="80"/>
      <c r="KLR251" s="80"/>
      <c r="KLS251" s="80"/>
      <c r="KLT251" s="80"/>
      <c r="KLU251" s="80"/>
      <c r="KLV251" s="80"/>
      <c r="KLW251" s="80"/>
      <c r="KLX251" s="80"/>
      <c r="KLY251" s="80"/>
      <c r="KLZ251" s="80"/>
      <c r="KMA251" s="80"/>
      <c r="KMB251" s="80"/>
      <c r="KMC251" s="80"/>
      <c r="KMD251" s="80"/>
      <c r="KME251" s="80"/>
      <c r="KMF251" s="80"/>
      <c r="KMG251" s="80"/>
      <c r="KMH251" s="80"/>
      <c r="KMI251" s="80"/>
      <c r="KMJ251" s="80"/>
      <c r="KMK251" s="80"/>
      <c r="KML251" s="80"/>
      <c r="KMM251" s="80"/>
      <c r="KMN251" s="80"/>
      <c r="KMO251" s="80"/>
      <c r="KMP251" s="80"/>
      <c r="KMQ251" s="80"/>
      <c r="KMR251" s="80"/>
      <c r="KMS251" s="80"/>
      <c r="KMT251" s="80"/>
      <c r="KMU251" s="80"/>
      <c r="KMV251" s="80"/>
      <c r="KMW251" s="80"/>
      <c r="KMX251" s="80"/>
      <c r="KMY251" s="80"/>
      <c r="KMZ251" s="80"/>
      <c r="KNA251" s="80"/>
      <c r="KNB251" s="80"/>
      <c r="KNC251" s="80"/>
      <c r="KND251" s="80"/>
      <c r="KNE251" s="80"/>
      <c r="KNF251" s="80"/>
      <c r="KNG251" s="80"/>
      <c r="KNH251" s="80"/>
      <c r="KNI251" s="80"/>
      <c r="KNJ251" s="80"/>
      <c r="KNK251" s="80"/>
      <c r="KNL251" s="80"/>
      <c r="KNM251" s="80"/>
      <c r="KNN251" s="80"/>
      <c r="KNO251" s="80"/>
      <c r="KNP251" s="80"/>
      <c r="KNQ251" s="80"/>
      <c r="KNR251" s="80"/>
      <c r="KNS251" s="80"/>
      <c r="KNT251" s="80"/>
      <c r="KNU251" s="80"/>
      <c r="KNV251" s="80"/>
      <c r="KNW251" s="80"/>
      <c r="KNX251" s="80"/>
      <c r="KNY251" s="80"/>
      <c r="KNZ251" s="80"/>
      <c r="KOA251" s="80"/>
      <c r="KOB251" s="80"/>
      <c r="KOC251" s="80"/>
      <c r="KOD251" s="80"/>
      <c r="KOE251" s="80"/>
      <c r="KOF251" s="80"/>
      <c r="KOG251" s="80"/>
      <c r="KOH251" s="80"/>
      <c r="KOI251" s="80"/>
      <c r="KOJ251" s="80"/>
      <c r="KOK251" s="80"/>
      <c r="KOL251" s="80"/>
      <c r="KOM251" s="80"/>
      <c r="KON251" s="80"/>
      <c r="KOO251" s="80"/>
      <c r="KOP251" s="80"/>
      <c r="KOQ251" s="80"/>
      <c r="KOR251" s="80"/>
      <c r="KOS251" s="80"/>
      <c r="KOT251" s="80"/>
      <c r="KOU251" s="80"/>
      <c r="KOV251" s="80"/>
      <c r="KOW251" s="80"/>
      <c r="KOX251" s="80"/>
      <c r="KOY251" s="80"/>
      <c r="KOZ251" s="80"/>
      <c r="KPA251" s="80"/>
      <c r="KPB251" s="80"/>
      <c r="KPC251" s="80"/>
      <c r="KPD251" s="80"/>
      <c r="KPE251" s="80"/>
      <c r="KPF251" s="80"/>
      <c r="KPG251" s="80"/>
      <c r="KPH251" s="80"/>
      <c r="KPI251" s="80"/>
      <c r="KPJ251" s="80"/>
      <c r="KPK251" s="80"/>
      <c r="KPL251" s="80"/>
      <c r="KPM251" s="80"/>
      <c r="KPN251" s="80"/>
      <c r="KPO251" s="80"/>
      <c r="KPP251" s="80"/>
      <c r="KPQ251" s="80"/>
      <c r="KPR251" s="80"/>
      <c r="KPS251" s="80"/>
      <c r="KPT251" s="80"/>
      <c r="KPU251" s="80"/>
      <c r="KPV251" s="80"/>
      <c r="KPW251" s="80"/>
      <c r="KPX251" s="80"/>
      <c r="KPY251" s="80"/>
      <c r="KPZ251" s="80"/>
      <c r="KQA251" s="80"/>
      <c r="KQB251" s="80"/>
      <c r="KQC251" s="80"/>
      <c r="KQD251" s="80"/>
      <c r="KQE251" s="80"/>
      <c r="KQF251" s="80"/>
      <c r="KQG251" s="80"/>
      <c r="KQH251" s="80"/>
      <c r="KQI251" s="80"/>
      <c r="KQJ251" s="80"/>
      <c r="KQK251" s="80"/>
      <c r="KQL251" s="80"/>
      <c r="KQM251" s="80"/>
      <c r="KQN251" s="80"/>
      <c r="KQO251" s="80"/>
      <c r="KQP251" s="80"/>
      <c r="KQQ251" s="80"/>
      <c r="KQR251" s="80"/>
      <c r="KQS251" s="80"/>
      <c r="KQT251" s="80"/>
      <c r="KQU251" s="80"/>
      <c r="KQV251" s="80"/>
      <c r="KQW251" s="80"/>
      <c r="KQX251" s="80"/>
      <c r="KQY251" s="80"/>
      <c r="KQZ251" s="80"/>
      <c r="KRA251" s="80"/>
      <c r="KRB251" s="80"/>
      <c r="KRC251" s="80"/>
      <c r="KRD251" s="80"/>
      <c r="KRE251" s="80"/>
      <c r="KRF251" s="80"/>
      <c r="KRG251" s="80"/>
      <c r="KRH251" s="80"/>
      <c r="KRI251" s="80"/>
      <c r="KRJ251" s="80"/>
      <c r="KRK251" s="80"/>
      <c r="KRL251" s="80"/>
      <c r="KRM251" s="80"/>
      <c r="KRN251" s="80"/>
      <c r="KRO251" s="80"/>
      <c r="KRP251" s="80"/>
      <c r="KRQ251" s="80"/>
      <c r="KRR251" s="80"/>
      <c r="KRS251" s="80"/>
      <c r="KRT251" s="80"/>
      <c r="KRU251" s="80"/>
      <c r="KRV251" s="80"/>
      <c r="KRW251" s="80"/>
      <c r="KRX251" s="80"/>
      <c r="KRY251" s="80"/>
      <c r="KRZ251" s="80"/>
      <c r="KSA251" s="80"/>
      <c r="KSB251" s="80"/>
      <c r="KSC251" s="80"/>
      <c r="KSD251" s="80"/>
      <c r="KSE251" s="80"/>
      <c r="KSF251" s="80"/>
      <c r="KSG251" s="80"/>
      <c r="KSH251" s="80"/>
      <c r="KSI251" s="80"/>
      <c r="KSJ251" s="80"/>
      <c r="KSK251" s="80"/>
      <c r="KSL251" s="80"/>
      <c r="KSM251" s="80"/>
      <c r="KSN251" s="80"/>
      <c r="KSO251" s="80"/>
      <c r="KSP251" s="80"/>
      <c r="KSQ251" s="80"/>
      <c r="KSR251" s="80"/>
      <c r="KSS251" s="80"/>
      <c r="KST251" s="80"/>
      <c r="KSU251" s="80"/>
      <c r="KSV251" s="80"/>
      <c r="KSW251" s="80"/>
      <c r="KSX251" s="80"/>
      <c r="KSY251" s="80"/>
      <c r="KSZ251" s="80"/>
      <c r="KTA251" s="80"/>
      <c r="KTB251" s="80"/>
      <c r="KTC251" s="80"/>
      <c r="KTD251" s="80"/>
      <c r="KTE251" s="80"/>
      <c r="KTF251" s="80"/>
      <c r="KTG251" s="80"/>
      <c r="KTH251" s="80"/>
      <c r="KTI251" s="80"/>
      <c r="KTJ251" s="80"/>
      <c r="KTK251" s="80"/>
      <c r="KTL251" s="80"/>
      <c r="KTM251" s="80"/>
      <c r="KTN251" s="80"/>
      <c r="KTO251" s="80"/>
      <c r="KTP251" s="80"/>
      <c r="KTQ251" s="80"/>
      <c r="KTR251" s="80"/>
      <c r="KTS251" s="80"/>
      <c r="KTT251" s="80"/>
      <c r="KTU251" s="80"/>
      <c r="KTV251" s="80"/>
      <c r="KTW251" s="80"/>
      <c r="KTX251" s="80"/>
      <c r="KTY251" s="80"/>
      <c r="KTZ251" s="80"/>
      <c r="KUA251" s="80"/>
      <c r="KUB251" s="80"/>
      <c r="KUC251" s="80"/>
      <c r="KUD251" s="80"/>
      <c r="KUE251" s="80"/>
      <c r="KUF251" s="80"/>
      <c r="KUG251" s="80"/>
      <c r="KUH251" s="80"/>
      <c r="KUI251" s="80"/>
      <c r="KUJ251" s="80"/>
      <c r="KUK251" s="80"/>
      <c r="KUL251" s="80"/>
      <c r="KUM251" s="80"/>
      <c r="KUN251" s="80"/>
      <c r="KUO251" s="80"/>
      <c r="KUP251" s="80"/>
      <c r="KUQ251" s="80"/>
      <c r="KUR251" s="80"/>
      <c r="KUS251" s="80"/>
      <c r="KUT251" s="80"/>
      <c r="KUU251" s="80"/>
      <c r="KUV251" s="80"/>
      <c r="KUW251" s="80"/>
      <c r="KUX251" s="80"/>
      <c r="KUY251" s="80"/>
      <c r="KUZ251" s="80"/>
      <c r="KVA251" s="80"/>
      <c r="KVB251" s="80"/>
      <c r="KVC251" s="80"/>
      <c r="KVD251" s="80"/>
      <c r="KVE251" s="80"/>
      <c r="KVF251" s="80"/>
      <c r="KVG251" s="80"/>
      <c r="KVH251" s="80"/>
      <c r="KVI251" s="80"/>
      <c r="KVJ251" s="80"/>
      <c r="KVK251" s="80"/>
      <c r="KVL251" s="80"/>
      <c r="KVM251" s="80"/>
      <c r="KVN251" s="80"/>
      <c r="KVO251" s="80"/>
      <c r="KVP251" s="80"/>
      <c r="KVQ251" s="80"/>
      <c r="KVR251" s="80"/>
      <c r="KVS251" s="80"/>
      <c r="KVT251" s="80"/>
      <c r="KVU251" s="80"/>
      <c r="KVV251" s="80"/>
      <c r="KVW251" s="80"/>
      <c r="KVX251" s="80"/>
      <c r="KVY251" s="80"/>
      <c r="KVZ251" s="80"/>
      <c r="KWA251" s="80"/>
      <c r="KWB251" s="80"/>
      <c r="KWC251" s="80"/>
      <c r="KWD251" s="80"/>
      <c r="KWE251" s="80"/>
      <c r="KWF251" s="80"/>
      <c r="KWG251" s="80"/>
      <c r="KWH251" s="80"/>
      <c r="KWI251" s="80"/>
      <c r="KWJ251" s="80"/>
      <c r="KWK251" s="80"/>
      <c r="KWL251" s="80"/>
      <c r="KWM251" s="80"/>
      <c r="KWN251" s="80"/>
      <c r="KWO251" s="80"/>
      <c r="KWP251" s="80"/>
      <c r="KWQ251" s="80"/>
      <c r="KWR251" s="80"/>
      <c r="KWS251" s="80"/>
      <c r="KWT251" s="80"/>
      <c r="KWU251" s="80"/>
      <c r="KWV251" s="80"/>
      <c r="KWW251" s="80"/>
      <c r="KWX251" s="80"/>
      <c r="KWY251" s="80"/>
      <c r="KWZ251" s="80"/>
      <c r="KXA251" s="80"/>
      <c r="KXB251" s="80"/>
      <c r="KXC251" s="80"/>
      <c r="KXD251" s="80"/>
      <c r="KXE251" s="80"/>
      <c r="KXF251" s="80"/>
      <c r="KXG251" s="80"/>
      <c r="KXH251" s="80"/>
      <c r="KXI251" s="80"/>
      <c r="KXJ251" s="80"/>
      <c r="KXK251" s="80"/>
      <c r="KXL251" s="80"/>
      <c r="KXM251" s="80"/>
      <c r="KXN251" s="80"/>
      <c r="KXO251" s="80"/>
      <c r="KXP251" s="80"/>
      <c r="KXQ251" s="80"/>
      <c r="KXR251" s="80"/>
      <c r="KXS251" s="80"/>
      <c r="KXT251" s="80"/>
      <c r="KXU251" s="80"/>
      <c r="KXV251" s="80"/>
      <c r="KXW251" s="80"/>
      <c r="KXX251" s="80"/>
      <c r="KXY251" s="80"/>
      <c r="KXZ251" s="80"/>
      <c r="KYA251" s="80"/>
      <c r="KYB251" s="80"/>
      <c r="KYC251" s="80"/>
      <c r="KYD251" s="80"/>
      <c r="KYE251" s="80"/>
      <c r="KYF251" s="80"/>
      <c r="KYG251" s="80"/>
      <c r="KYH251" s="80"/>
      <c r="KYI251" s="80"/>
      <c r="KYJ251" s="80"/>
      <c r="KYK251" s="80"/>
      <c r="KYL251" s="80"/>
      <c r="KYM251" s="80"/>
      <c r="KYN251" s="80"/>
      <c r="KYO251" s="80"/>
      <c r="KYP251" s="80"/>
      <c r="KYQ251" s="80"/>
      <c r="KYR251" s="80"/>
      <c r="KYS251" s="80"/>
      <c r="KYT251" s="80"/>
      <c r="KYU251" s="80"/>
      <c r="KYV251" s="80"/>
      <c r="KYW251" s="80"/>
      <c r="KYX251" s="80"/>
      <c r="KYY251" s="80"/>
      <c r="KYZ251" s="80"/>
      <c r="KZA251" s="80"/>
      <c r="KZB251" s="80"/>
      <c r="KZC251" s="80"/>
      <c r="KZD251" s="80"/>
      <c r="KZE251" s="80"/>
      <c r="KZF251" s="80"/>
      <c r="KZG251" s="80"/>
      <c r="KZH251" s="80"/>
      <c r="KZI251" s="80"/>
      <c r="KZJ251" s="80"/>
      <c r="KZK251" s="80"/>
      <c r="KZL251" s="80"/>
      <c r="KZM251" s="80"/>
      <c r="KZN251" s="80"/>
      <c r="KZO251" s="80"/>
      <c r="KZP251" s="80"/>
      <c r="KZQ251" s="80"/>
      <c r="KZR251" s="80"/>
      <c r="KZS251" s="80"/>
      <c r="KZT251" s="80"/>
      <c r="KZU251" s="80"/>
      <c r="KZV251" s="80"/>
      <c r="KZW251" s="80"/>
      <c r="KZX251" s="80"/>
      <c r="KZY251" s="80"/>
      <c r="KZZ251" s="80"/>
      <c r="LAA251" s="80"/>
      <c r="LAB251" s="80"/>
      <c r="LAC251" s="80"/>
      <c r="LAD251" s="80"/>
      <c r="LAE251" s="80"/>
      <c r="LAF251" s="80"/>
      <c r="LAG251" s="80"/>
      <c r="LAH251" s="80"/>
      <c r="LAI251" s="80"/>
      <c r="LAJ251" s="80"/>
      <c r="LAK251" s="80"/>
      <c r="LAL251" s="80"/>
      <c r="LAM251" s="80"/>
      <c r="LAN251" s="80"/>
      <c r="LAO251" s="80"/>
      <c r="LAP251" s="80"/>
      <c r="LAQ251" s="80"/>
      <c r="LAR251" s="80"/>
      <c r="LAS251" s="80"/>
      <c r="LAT251" s="80"/>
      <c r="LAU251" s="80"/>
      <c r="LAV251" s="80"/>
      <c r="LAW251" s="80"/>
      <c r="LAX251" s="80"/>
      <c r="LAY251" s="80"/>
      <c r="LAZ251" s="80"/>
      <c r="LBA251" s="80"/>
      <c r="LBB251" s="80"/>
      <c r="LBC251" s="80"/>
      <c r="LBD251" s="80"/>
      <c r="LBE251" s="80"/>
      <c r="LBF251" s="80"/>
      <c r="LBG251" s="80"/>
      <c r="LBH251" s="80"/>
      <c r="LBI251" s="80"/>
      <c r="LBJ251" s="80"/>
      <c r="LBK251" s="80"/>
      <c r="LBL251" s="80"/>
      <c r="LBM251" s="80"/>
      <c r="LBN251" s="80"/>
      <c r="LBO251" s="80"/>
      <c r="LBP251" s="80"/>
      <c r="LBQ251" s="80"/>
      <c r="LBR251" s="80"/>
      <c r="LBS251" s="80"/>
      <c r="LBT251" s="80"/>
      <c r="LBU251" s="80"/>
      <c r="LBV251" s="80"/>
      <c r="LBW251" s="80"/>
      <c r="LBX251" s="80"/>
      <c r="LBY251" s="80"/>
      <c r="LBZ251" s="80"/>
      <c r="LCA251" s="80"/>
      <c r="LCB251" s="80"/>
      <c r="LCC251" s="80"/>
      <c r="LCD251" s="80"/>
      <c r="LCE251" s="80"/>
      <c r="LCF251" s="80"/>
      <c r="LCG251" s="80"/>
      <c r="LCH251" s="80"/>
      <c r="LCI251" s="80"/>
      <c r="LCJ251" s="80"/>
      <c r="LCK251" s="80"/>
      <c r="LCL251" s="80"/>
      <c r="LCM251" s="80"/>
      <c r="LCN251" s="80"/>
      <c r="LCO251" s="80"/>
      <c r="LCP251" s="80"/>
      <c r="LCQ251" s="80"/>
      <c r="LCR251" s="80"/>
      <c r="LCS251" s="80"/>
      <c r="LCT251" s="80"/>
      <c r="LCU251" s="80"/>
      <c r="LCV251" s="80"/>
      <c r="LCW251" s="80"/>
      <c r="LCX251" s="80"/>
      <c r="LCY251" s="80"/>
      <c r="LCZ251" s="80"/>
      <c r="LDA251" s="80"/>
      <c r="LDB251" s="80"/>
      <c r="LDC251" s="80"/>
      <c r="LDD251" s="80"/>
      <c r="LDE251" s="80"/>
      <c r="LDF251" s="80"/>
      <c r="LDG251" s="80"/>
      <c r="LDH251" s="80"/>
      <c r="LDI251" s="80"/>
      <c r="LDJ251" s="80"/>
      <c r="LDK251" s="80"/>
      <c r="LDL251" s="80"/>
      <c r="LDM251" s="80"/>
      <c r="LDN251" s="80"/>
      <c r="LDO251" s="80"/>
      <c r="LDP251" s="80"/>
      <c r="LDQ251" s="80"/>
      <c r="LDR251" s="80"/>
      <c r="LDS251" s="80"/>
      <c r="LDT251" s="80"/>
      <c r="LDU251" s="80"/>
      <c r="LDV251" s="80"/>
      <c r="LDW251" s="80"/>
      <c r="LDX251" s="80"/>
      <c r="LDY251" s="80"/>
      <c r="LDZ251" s="80"/>
      <c r="LEA251" s="80"/>
      <c r="LEB251" s="80"/>
      <c r="LEC251" s="80"/>
      <c r="LED251" s="80"/>
      <c r="LEE251" s="80"/>
      <c r="LEF251" s="80"/>
      <c r="LEG251" s="80"/>
      <c r="LEH251" s="80"/>
      <c r="LEI251" s="80"/>
      <c r="LEJ251" s="80"/>
      <c r="LEK251" s="80"/>
      <c r="LEL251" s="80"/>
      <c r="LEM251" s="80"/>
      <c r="LEN251" s="80"/>
      <c r="LEO251" s="80"/>
      <c r="LEP251" s="80"/>
      <c r="LEQ251" s="80"/>
      <c r="LER251" s="80"/>
      <c r="LES251" s="80"/>
      <c r="LET251" s="80"/>
      <c r="LEU251" s="80"/>
      <c r="LEV251" s="80"/>
      <c r="LEW251" s="80"/>
      <c r="LEX251" s="80"/>
      <c r="LEY251" s="80"/>
      <c r="LEZ251" s="80"/>
      <c r="LFA251" s="80"/>
      <c r="LFB251" s="80"/>
      <c r="LFC251" s="80"/>
      <c r="LFD251" s="80"/>
      <c r="LFE251" s="80"/>
      <c r="LFF251" s="80"/>
      <c r="LFG251" s="80"/>
      <c r="LFH251" s="80"/>
      <c r="LFI251" s="80"/>
      <c r="LFJ251" s="80"/>
      <c r="LFK251" s="80"/>
      <c r="LFL251" s="80"/>
      <c r="LFM251" s="80"/>
      <c r="LFN251" s="80"/>
      <c r="LFO251" s="80"/>
      <c r="LFP251" s="80"/>
      <c r="LFQ251" s="80"/>
      <c r="LFR251" s="80"/>
      <c r="LFS251" s="80"/>
      <c r="LFT251" s="80"/>
      <c r="LFU251" s="80"/>
      <c r="LFV251" s="80"/>
      <c r="LFW251" s="80"/>
      <c r="LFX251" s="80"/>
      <c r="LFY251" s="80"/>
      <c r="LFZ251" s="80"/>
      <c r="LGA251" s="80"/>
      <c r="LGB251" s="80"/>
      <c r="LGC251" s="80"/>
      <c r="LGD251" s="80"/>
      <c r="LGE251" s="80"/>
      <c r="LGF251" s="80"/>
      <c r="LGG251" s="80"/>
      <c r="LGH251" s="80"/>
      <c r="LGI251" s="80"/>
      <c r="LGJ251" s="80"/>
      <c r="LGK251" s="80"/>
      <c r="LGL251" s="80"/>
      <c r="LGM251" s="80"/>
      <c r="LGN251" s="80"/>
      <c r="LGO251" s="80"/>
      <c r="LGP251" s="80"/>
      <c r="LGQ251" s="80"/>
      <c r="LGR251" s="80"/>
      <c r="LGS251" s="80"/>
      <c r="LGT251" s="80"/>
      <c r="LGU251" s="80"/>
      <c r="LGV251" s="80"/>
      <c r="LGW251" s="80"/>
      <c r="LGX251" s="80"/>
      <c r="LGY251" s="80"/>
      <c r="LGZ251" s="80"/>
      <c r="LHA251" s="80"/>
      <c r="LHB251" s="80"/>
      <c r="LHC251" s="80"/>
      <c r="LHD251" s="80"/>
      <c r="LHE251" s="80"/>
      <c r="LHF251" s="80"/>
      <c r="LHG251" s="80"/>
      <c r="LHH251" s="80"/>
      <c r="LHI251" s="80"/>
      <c r="LHJ251" s="80"/>
      <c r="LHK251" s="80"/>
      <c r="LHL251" s="80"/>
      <c r="LHM251" s="80"/>
      <c r="LHN251" s="80"/>
      <c r="LHO251" s="80"/>
      <c r="LHP251" s="80"/>
      <c r="LHQ251" s="80"/>
      <c r="LHR251" s="80"/>
      <c r="LHS251" s="80"/>
      <c r="LHT251" s="80"/>
      <c r="LHU251" s="80"/>
      <c r="LHV251" s="80"/>
      <c r="LHW251" s="80"/>
      <c r="LHX251" s="80"/>
      <c r="LHY251" s="80"/>
      <c r="LHZ251" s="80"/>
      <c r="LIA251" s="80"/>
      <c r="LIB251" s="80"/>
      <c r="LIC251" s="80"/>
      <c r="LID251" s="80"/>
      <c r="LIE251" s="80"/>
      <c r="LIF251" s="80"/>
      <c r="LIG251" s="80"/>
      <c r="LIH251" s="80"/>
      <c r="LII251" s="80"/>
      <c r="LIJ251" s="80"/>
      <c r="LIK251" s="80"/>
      <c r="LIL251" s="80"/>
      <c r="LIM251" s="80"/>
      <c r="LIN251" s="80"/>
      <c r="LIO251" s="80"/>
      <c r="LIP251" s="80"/>
      <c r="LIQ251" s="80"/>
      <c r="LIR251" s="80"/>
      <c r="LIS251" s="80"/>
      <c r="LIT251" s="80"/>
      <c r="LIU251" s="80"/>
      <c r="LIV251" s="80"/>
      <c r="LIW251" s="80"/>
      <c r="LIX251" s="80"/>
      <c r="LIY251" s="80"/>
      <c r="LIZ251" s="80"/>
      <c r="LJA251" s="80"/>
      <c r="LJB251" s="80"/>
      <c r="LJC251" s="80"/>
      <c r="LJD251" s="80"/>
      <c r="LJE251" s="80"/>
      <c r="LJF251" s="80"/>
      <c r="LJG251" s="80"/>
      <c r="LJH251" s="80"/>
      <c r="LJI251" s="80"/>
      <c r="LJJ251" s="80"/>
      <c r="LJK251" s="80"/>
      <c r="LJL251" s="80"/>
      <c r="LJM251" s="80"/>
      <c r="LJN251" s="80"/>
      <c r="LJO251" s="80"/>
      <c r="LJP251" s="80"/>
      <c r="LJQ251" s="80"/>
      <c r="LJR251" s="80"/>
      <c r="LJS251" s="80"/>
      <c r="LJT251" s="80"/>
      <c r="LJU251" s="80"/>
      <c r="LJV251" s="80"/>
      <c r="LJW251" s="80"/>
      <c r="LJX251" s="80"/>
      <c r="LJY251" s="80"/>
      <c r="LJZ251" s="80"/>
      <c r="LKA251" s="80"/>
      <c r="LKB251" s="80"/>
      <c r="LKC251" s="80"/>
      <c r="LKD251" s="80"/>
      <c r="LKE251" s="80"/>
      <c r="LKF251" s="80"/>
      <c r="LKG251" s="80"/>
      <c r="LKH251" s="80"/>
      <c r="LKI251" s="80"/>
      <c r="LKJ251" s="80"/>
      <c r="LKK251" s="80"/>
      <c r="LKL251" s="80"/>
      <c r="LKM251" s="80"/>
      <c r="LKN251" s="80"/>
      <c r="LKO251" s="80"/>
      <c r="LKP251" s="80"/>
      <c r="LKQ251" s="80"/>
      <c r="LKR251" s="80"/>
      <c r="LKS251" s="80"/>
      <c r="LKT251" s="80"/>
      <c r="LKU251" s="80"/>
      <c r="LKV251" s="80"/>
      <c r="LKW251" s="80"/>
      <c r="LKX251" s="80"/>
      <c r="LKY251" s="80"/>
      <c r="LKZ251" s="80"/>
      <c r="LLA251" s="80"/>
      <c r="LLB251" s="80"/>
      <c r="LLC251" s="80"/>
      <c r="LLD251" s="80"/>
      <c r="LLE251" s="80"/>
      <c r="LLF251" s="80"/>
      <c r="LLG251" s="80"/>
      <c r="LLH251" s="80"/>
      <c r="LLI251" s="80"/>
      <c r="LLJ251" s="80"/>
      <c r="LLK251" s="80"/>
      <c r="LLL251" s="80"/>
      <c r="LLM251" s="80"/>
      <c r="LLN251" s="80"/>
      <c r="LLO251" s="80"/>
      <c r="LLP251" s="80"/>
      <c r="LLQ251" s="80"/>
      <c r="LLR251" s="80"/>
      <c r="LLS251" s="80"/>
      <c r="LLT251" s="80"/>
      <c r="LLU251" s="80"/>
      <c r="LLV251" s="80"/>
      <c r="LLW251" s="80"/>
      <c r="LLX251" s="80"/>
      <c r="LLY251" s="80"/>
      <c r="LLZ251" s="80"/>
      <c r="LMA251" s="80"/>
      <c r="LMB251" s="80"/>
      <c r="LMC251" s="80"/>
      <c r="LMD251" s="80"/>
      <c r="LME251" s="80"/>
      <c r="LMF251" s="80"/>
      <c r="LMG251" s="80"/>
      <c r="LMH251" s="80"/>
      <c r="LMI251" s="80"/>
      <c r="LMJ251" s="80"/>
      <c r="LMK251" s="80"/>
      <c r="LML251" s="80"/>
      <c r="LMM251" s="80"/>
      <c r="LMN251" s="80"/>
      <c r="LMO251" s="80"/>
      <c r="LMP251" s="80"/>
      <c r="LMQ251" s="80"/>
      <c r="LMR251" s="80"/>
      <c r="LMS251" s="80"/>
      <c r="LMT251" s="80"/>
      <c r="LMU251" s="80"/>
      <c r="LMV251" s="80"/>
      <c r="LMW251" s="80"/>
      <c r="LMX251" s="80"/>
      <c r="LMY251" s="80"/>
      <c r="LMZ251" s="80"/>
      <c r="LNA251" s="80"/>
      <c r="LNB251" s="80"/>
      <c r="LNC251" s="80"/>
      <c r="LND251" s="80"/>
      <c r="LNE251" s="80"/>
      <c r="LNF251" s="80"/>
      <c r="LNG251" s="80"/>
      <c r="LNH251" s="80"/>
      <c r="LNI251" s="80"/>
      <c r="LNJ251" s="80"/>
      <c r="LNK251" s="80"/>
      <c r="LNL251" s="80"/>
      <c r="LNM251" s="80"/>
      <c r="LNN251" s="80"/>
      <c r="LNO251" s="80"/>
      <c r="LNP251" s="80"/>
      <c r="LNQ251" s="80"/>
      <c r="LNR251" s="80"/>
      <c r="LNS251" s="80"/>
      <c r="LNT251" s="80"/>
      <c r="LNU251" s="80"/>
      <c r="LNV251" s="80"/>
      <c r="LNW251" s="80"/>
      <c r="LNX251" s="80"/>
      <c r="LNY251" s="80"/>
      <c r="LNZ251" s="80"/>
      <c r="LOA251" s="80"/>
      <c r="LOB251" s="80"/>
      <c r="LOC251" s="80"/>
      <c r="LOD251" s="80"/>
      <c r="LOE251" s="80"/>
      <c r="LOF251" s="80"/>
      <c r="LOG251" s="80"/>
      <c r="LOH251" s="80"/>
      <c r="LOI251" s="80"/>
      <c r="LOJ251" s="80"/>
      <c r="LOK251" s="80"/>
      <c r="LOL251" s="80"/>
      <c r="LOM251" s="80"/>
      <c r="LON251" s="80"/>
      <c r="LOO251" s="80"/>
      <c r="LOP251" s="80"/>
      <c r="LOQ251" s="80"/>
      <c r="LOR251" s="80"/>
      <c r="LOS251" s="80"/>
      <c r="LOT251" s="80"/>
      <c r="LOU251" s="80"/>
      <c r="LOV251" s="80"/>
      <c r="LOW251" s="80"/>
      <c r="LOX251" s="80"/>
      <c r="LOY251" s="80"/>
      <c r="LOZ251" s="80"/>
      <c r="LPA251" s="80"/>
      <c r="LPB251" s="80"/>
      <c r="LPC251" s="80"/>
      <c r="LPD251" s="80"/>
      <c r="LPE251" s="80"/>
      <c r="LPF251" s="80"/>
      <c r="LPG251" s="80"/>
      <c r="LPH251" s="80"/>
      <c r="LPI251" s="80"/>
      <c r="LPJ251" s="80"/>
      <c r="LPK251" s="80"/>
      <c r="LPL251" s="80"/>
      <c r="LPM251" s="80"/>
      <c r="LPN251" s="80"/>
      <c r="LPO251" s="80"/>
      <c r="LPP251" s="80"/>
      <c r="LPQ251" s="80"/>
      <c r="LPR251" s="80"/>
      <c r="LPS251" s="80"/>
      <c r="LPT251" s="80"/>
      <c r="LPU251" s="80"/>
      <c r="LPV251" s="80"/>
      <c r="LPW251" s="80"/>
      <c r="LPX251" s="80"/>
      <c r="LPY251" s="80"/>
      <c r="LPZ251" s="80"/>
      <c r="LQA251" s="80"/>
      <c r="LQB251" s="80"/>
      <c r="LQC251" s="80"/>
      <c r="LQD251" s="80"/>
      <c r="LQE251" s="80"/>
      <c r="LQF251" s="80"/>
      <c r="LQG251" s="80"/>
      <c r="LQH251" s="80"/>
      <c r="LQI251" s="80"/>
      <c r="LQJ251" s="80"/>
      <c r="LQK251" s="80"/>
      <c r="LQL251" s="80"/>
      <c r="LQM251" s="80"/>
      <c r="LQN251" s="80"/>
      <c r="LQO251" s="80"/>
      <c r="LQP251" s="80"/>
      <c r="LQQ251" s="80"/>
      <c r="LQR251" s="80"/>
      <c r="LQS251" s="80"/>
      <c r="LQT251" s="80"/>
      <c r="LQU251" s="80"/>
      <c r="LQV251" s="80"/>
      <c r="LQW251" s="80"/>
      <c r="LQX251" s="80"/>
      <c r="LQY251" s="80"/>
      <c r="LQZ251" s="80"/>
      <c r="LRA251" s="80"/>
      <c r="LRB251" s="80"/>
      <c r="LRC251" s="80"/>
      <c r="LRD251" s="80"/>
      <c r="LRE251" s="80"/>
      <c r="LRF251" s="80"/>
      <c r="LRG251" s="80"/>
      <c r="LRH251" s="80"/>
      <c r="LRI251" s="80"/>
      <c r="LRJ251" s="80"/>
      <c r="LRK251" s="80"/>
      <c r="LRL251" s="80"/>
      <c r="LRM251" s="80"/>
      <c r="LRN251" s="80"/>
      <c r="LRO251" s="80"/>
      <c r="LRP251" s="80"/>
      <c r="LRQ251" s="80"/>
      <c r="LRR251" s="80"/>
      <c r="LRS251" s="80"/>
      <c r="LRT251" s="80"/>
      <c r="LRU251" s="80"/>
      <c r="LRV251" s="80"/>
      <c r="LRW251" s="80"/>
      <c r="LRX251" s="80"/>
      <c r="LRY251" s="80"/>
      <c r="LRZ251" s="80"/>
      <c r="LSA251" s="80"/>
      <c r="LSB251" s="80"/>
      <c r="LSC251" s="80"/>
      <c r="LSD251" s="80"/>
      <c r="LSE251" s="80"/>
      <c r="LSF251" s="80"/>
      <c r="LSG251" s="80"/>
      <c r="LSH251" s="80"/>
      <c r="LSI251" s="80"/>
      <c r="LSJ251" s="80"/>
      <c r="LSK251" s="80"/>
      <c r="LSL251" s="80"/>
      <c r="LSM251" s="80"/>
      <c r="LSN251" s="80"/>
      <c r="LSO251" s="80"/>
      <c r="LSP251" s="80"/>
      <c r="LSQ251" s="80"/>
      <c r="LSR251" s="80"/>
      <c r="LSS251" s="80"/>
      <c r="LST251" s="80"/>
      <c r="LSU251" s="80"/>
      <c r="LSV251" s="80"/>
      <c r="LSW251" s="80"/>
      <c r="LSX251" s="80"/>
      <c r="LSY251" s="80"/>
      <c r="LSZ251" s="80"/>
      <c r="LTA251" s="80"/>
      <c r="LTB251" s="80"/>
      <c r="LTC251" s="80"/>
      <c r="LTD251" s="80"/>
      <c r="LTE251" s="80"/>
      <c r="LTF251" s="80"/>
      <c r="LTG251" s="80"/>
      <c r="LTH251" s="80"/>
      <c r="LTI251" s="80"/>
      <c r="LTJ251" s="80"/>
      <c r="LTK251" s="80"/>
      <c r="LTL251" s="80"/>
      <c r="LTM251" s="80"/>
      <c r="LTN251" s="80"/>
      <c r="LTO251" s="80"/>
      <c r="LTP251" s="80"/>
      <c r="LTQ251" s="80"/>
      <c r="LTR251" s="80"/>
      <c r="LTS251" s="80"/>
      <c r="LTT251" s="80"/>
      <c r="LTU251" s="80"/>
      <c r="LTV251" s="80"/>
      <c r="LTW251" s="80"/>
      <c r="LTX251" s="80"/>
      <c r="LTY251" s="80"/>
      <c r="LTZ251" s="80"/>
      <c r="LUA251" s="80"/>
      <c r="LUB251" s="80"/>
      <c r="LUC251" s="80"/>
      <c r="LUD251" s="80"/>
      <c r="LUE251" s="80"/>
      <c r="LUF251" s="80"/>
      <c r="LUG251" s="80"/>
      <c r="LUH251" s="80"/>
      <c r="LUI251" s="80"/>
      <c r="LUJ251" s="80"/>
      <c r="LUK251" s="80"/>
      <c r="LUL251" s="80"/>
      <c r="LUM251" s="80"/>
      <c r="LUN251" s="80"/>
      <c r="LUO251" s="80"/>
      <c r="LUP251" s="80"/>
      <c r="LUQ251" s="80"/>
      <c r="LUR251" s="80"/>
      <c r="LUS251" s="80"/>
      <c r="LUT251" s="80"/>
      <c r="LUU251" s="80"/>
      <c r="LUV251" s="80"/>
      <c r="LUW251" s="80"/>
      <c r="LUX251" s="80"/>
      <c r="LUY251" s="80"/>
      <c r="LUZ251" s="80"/>
      <c r="LVA251" s="80"/>
      <c r="LVB251" s="80"/>
      <c r="LVC251" s="80"/>
      <c r="LVD251" s="80"/>
      <c r="LVE251" s="80"/>
      <c r="LVF251" s="80"/>
      <c r="LVG251" s="80"/>
      <c r="LVH251" s="80"/>
      <c r="LVI251" s="80"/>
      <c r="LVJ251" s="80"/>
      <c r="LVK251" s="80"/>
      <c r="LVL251" s="80"/>
      <c r="LVM251" s="80"/>
      <c r="LVN251" s="80"/>
      <c r="LVO251" s="80"/>
      <c r="LVP251" s="80"/>
      <c r="LVQ251" s="80"/>
      <c r="LVR251" s="80"/>
      <c r="LVS251" s="80"/>
      <c r="LVT251" s="80"/>
      <c r="LVU251" s="80"/>
      <c r="LVV251" s="80"/>
      <c r="LVW251" s="80"/>
      <c r="LVX251" s="80"/>
      <c r="LVY251" s="80"/>
      <c r="LVZ251" s="80"/>
      <c r="LWA251" s="80"/>
      <c r="LWB251" s="80"/>
      <c r="LWC251" s="80"/>
      <c r="LWD251" s="80"/>
      <c r="LWE251" s="80"/>
      <c r="LWF251" s="80"/>
      <c r="LWG251" s="80"/>
      <c r="LWH251" s="80"/>
      <c r="LWI251" s="80"/>
      <c r="LWJ251" s="80"/>
      <c r="LWK251" s="80"/>
      <c r="LWL251" s="80"/>
      <c r="LWM251" s="80"/>
      <c r="LWN251" s="80"/>
      <c r="LWO251" s="80"/>
      <c r="LWP251" s="80"/>
      <c r="LWQ251" s="80"/>
      <c r="LWR251" s="80"/>
      <c r="LWS251" s="80"/>
      <c r="LWT251" s="80"/>
      <c r="LWU251" s="80"/>
      <c r="LWV251" s="80"/>
      <c r="LWW251" s="80"/>
      <c r="LWX251" s="80"/>
      <c r="LWY251" s="80"/>
      <c r="LWZ251" s="80"/>
      <c r="LXA251" s="80"/>
      <c r="LXB251" s="80"/>
      <c r="LXC251" s="80"/>
      <c r="LXD251" s="80"/>
      <c r="LXE251" s="80"/>
      <c r="LXF251" s="80"/>
      <c r="LXG251" s="80"/>
      <c r="LXH251" s="80"/>
      <c r="LXI251" s="80"/>
      <c r="LXJ251" s="80"/>
      <c r="LXK251" s="80"/>
      <c r="LXL251" s="80"/>
      <c r="LXM251" s="80"/>
      <c r="LXN251" s="80"/>
      <c r="LXO251" s="80"/>
      <c r="LXP251" s="80"/>
      <c r="LXQ251" s="80"/>
      <c r="LXR251" s="80"/>
      <c r="LXS251" s="80"/>
      <c r="LXT251" s="80"/>
      <c r="LXU251" s="80"/>
      <c r="LXV251" s="80"/>
      <c r="LXW251" s="80"/>
      <c r="LXX251" s="80"/>
      <c r="LXY251" s="80"/>
      <c r="LXZ251" s="80"/>
      <c r="LYA251" s="80"/>
      <c r="LYB251" s="80"/>
      <c r="LYC251" s="80"/>
      <c r="LYD251" s="80"/>
      <c r="LYE251" s="80"/>
      <c r="LYF251" s="80"/>
      <c r="LYG251" s="80"/>
      <c r="LYH251" s="80"/>
      <c r="LYI251" s="80"/>
      <c r="LYJ251" s="80"/>
      <c r="LYK251" s="80"/>
      <c r="LYL251" s="80"/>
      <c r="LYM251" s="80"/>
      <c r="LYN251" s="80"/>
      <c r="LYO251" s="80"/>
      <c r="LYP251" s="80"/>
      <c r="LYQ251" s="80"/>
      <c r="LYR251" s="80"/>
      <c r="LYS251" s="80"/>
      <c r="LYT251" s="80"/>
      <c r="LYU251" s="80"/>
      <c r="LYV251" s="80"/>
      <c r="LYW251" s="80"/>
      <c r="LYX251" s="80"/>
      <c r="LYY251" s="80"/>
      <c r="LYZ251" s="80"/>
      <c r="LZA251" s="80"/>
      <c r="LZB251" s="80"/>
      <c r="LZC251" s="80"/>
      <c r="LZD251" s="80"/>
      <c r="LZE251" s="80"/>
      <c r="LZF251" s="80"/>
      <c r="LZG251" s="80"/>
      <c r="LZH251" s="80"/>
      <c r="LZI251" s="80"/>
      <c r="LZJ251" s="80"/>
      <c r="LZK251" s="80"/>
      <c r="LZL251" s="80"/>
      <c r="LZM251" s="80"/>
      <c r="LZN251" s="80"/>
      <c r="LZO251" s="80"/>
      <c r="LZP251" s="80"/>
      <c r="LZQ251" s="80"/>
      <c r="LZR251" s="80"/>
      <c r="LZS251" s="80"/>
      <c r="LZT251" s="80"/>
      <c r="LZU251" s="80"/>
      <c r="LZV251" s="80"/>
      <c r="LZW251" s="80"/>
      <c r="LZX251" s="80"/>
      <c r="LZY251" s="80"/>
      <c r="LZZ251" s="80"/>
      <c r="MAA251" s="80"/>
      <c r="MAB251" s="80"/>
      <c r="MAC251" s="80"/>
      <c r="MAD251" s="80"/>
      <c r="MAE251" s="80"/>
      <c r="MAF251" s="80"/>
      <c r="MAG251" s="80"/>
      <c r="MAH251" s="80"/>
      <c r="MAI251" s="80"/>
      <c r="MAJ251" s="80"/>
      <c r="MAK251" s="80"/>
      <c r="MAL251" s="80"/>
      <c r="MAM251" s="80"/>
      <c r="MAN251" s="80"/>
      <c r="MAO251" s="80"/>
      <c r="MAP251" s="80"/>
      <c r="MAQ251" s="80"/>
      <c r="MAR251" s="80"/>
      <c r="MAS251" s="80"/>
      <c r="MAT251" s="80"/>
      <c r="MAU251" s="80"/>
      <c r="MAV251" s="80"/>
      <c r="MAW251" s="80"/>
      <c r="MAX251" s="80"/>
      <c r="MAY251" s="80"/>
      <c r="MAZ251" s="80"/>
      <c r="MBA251" s="80"/>
      <c r="MBB251" s="80"/>
      <c r="MBC251" s="80"/>
      <c r="MBD251" s="80"/>
      <c r="MBE251" s="80"/>
      <c r="MBF251" s="80"/>
      <c r="MBG251" s="80"/>
      <c r="MBH251" s="80"/>
      <c r="MBI251" s="80"/>
      <c r="MBJ251" s="80"/>
      <c r="MBK251" s="80"/>
      <c r="MBL251" s="80"/>
      <c r="MBM251" s="80"/>
      <c r="MBN251" s="80"/>
      <c r="MBO251" s="80"/>
      <c r="MBP251" s="80"/>
      <c r="MBQ251" s="80"/>
      <c r="MBR251" s="80"/>
      <c r="MBS251" s="80"/>
      <c r="MBT251" s="80"/>
      <c r="MBU251" s="80"/>
      <c r="MBV251" s="80"/>
      <c r="MBW251" s="80"/>
      <c r="MBX251" s="80"/>
      <c r="MBY251" s="80"/>
      <c r="MBZ251" s="80"/>
      <c r="MCA251" s="80"/>
      <c r="MCB251" s="80"/>
      <c r="MCC251" s="80"/>
      <c r="MCD251" s="80"/>
      <c r="MCE251" s="80"/>
      <c r="MCF251" s="80"/>
      <c r="MCG251" s="80"/>
      <c r="MCH251" s="80"/>
      <c r="MCI251" s="80"/>
      <c r="MCJ251" s="80"/>
      <c r="MCK251" s="80"/>
      <c r="MCL251" s="80"/>
      <c r="MCM251" s="80"/>
      <c r="MCN251" s="80"/>
      <c r="MCO251" s="80"/>
      <c r="MCP251" s="80"/>
      <c r="MCQ251" s="80"/>
      <c r="MCR251" s="80"/>
      <c r="MCS251" s="80"/>
      <c r="MCT251" s="80"/>
      <c r="MCU251" s="80"/>
      <c r="MCV251" s="80"/>
      <c r="MCW251" s="80"/>
      <c r="MCX251" s="80"/>
      <c r="MCY251" s="80"/>
      <c r="MCZ251" s="80"/>
      <c r="MDA251" s="80"/>
      <c r="MDB251" s="80"/>
      <c r="MDC251" s="80"/>
      <c r="MDD251" s="80"/>
      <c r="MDE251" s="80"/>
      <c r="MDF251" s="80"/>
      <c r="MDG251" s="80"/>
      <c r="MDH251" s="80"/>
      <c r="MDI251" s="80"/>
      <c r="MDJ251" s="80"/>
      <c r="MDK251" s="80"/>
      <c r="MDL251" s="80"/>
      <c r="MDM251" s="80"/>
      <c r="MDN251" s="80"/>
      <c r="MDO251" s="80"/>
      <c r="MDP251" s="80"/>
      <c r="MDQ251" s="80"/>
      <c r="MDR251" s="80"/>
      <c r="MDS251" s="80"/>
      <c r="MDT251" s="80"/>
      <c r="MDU251" s="80"/>
      <c r="MDV251" s="80"/>
      <c r="MDW251" s="80"/>
      <c r="MDX251" s="80"/>
      <c r="MDY251" s="80"/>
      <c r="MDZ251" s="80"/>
      <c r="MEA251" s="80"/>
      <c r="MEB251" s="80"/>
      <c r="MEC251" s="80"/>
      <c r="MED251" s="80"/>
      <c r="MEE251" s="80"/>
      <c r="MEF251" s="80"/>
      <c r="MEG251" s="80"/>
      <c r="MEH251" s="80"/>
      <c r="MEI251" s="80"/>
      <c r="MEJ251" s="80"/>
      <c r="MEK251" s="80"/>
      <c r="MEL251" s="80"/>
      <c r="MEM251" s="80"/>
      <c r="MEN251" s="80"/>
      <c r="MEO251" s="80"/>
      <c r="MEP251" s="80"/>
      <c r="MEQ251" s="80"/>
      <c r="MER251" s="80"/>
      <c r="MES251" s="80"/>
      <c r="MET251" s="80"/>
      <c r="MEU251" s="80"/>
      <c r="MEV251" s="80"/>
      <c r="MEW251" s="80"/>
      <c r="MEX251" s="80"/>
      <c r="MEY251" s="80"/>
      <c r="MEZ251" s="80"/>
      <c r="MFA251" s="80"/>
      <c r="MFB251" s="80"/>
      <c r="MFC251" s="80"/>
      <c r="MFD251" s="80"/>
      <c r="MFE251" s="80"/>
      <c r="MFF251" s="80"/>
      <c r="MFG251" s="80"/>
      <c r="MFH251" s="80"/>
      <c r="MFI251" s="80"/>
      <c r="MFJ251" s="80"/>
      <c r="MFK251" s="80"/>
      <c r="MFL251" s="80"/>
      <c r="MFM251" s="80"/>
      <c r="MFN251" s="80"/>
      <c r="MFO251" s="80"/>
      <c r="MFP251" s="80"/>
      <c r="MFQ251" s="80"/>
      <c r="MFR251" s="80"/>
      <c r="MFS251" s="80"/>
      <c r="MFT251" s="80"/>
      <c r="MFU251" s="80"/>
      <c r="MFV251" s="80"/>
      <c r="MFW251" s="80"/>
      <c r="MFX251" s="80"/>
      <c r="MFY251" s="80"/>
      <c r="MFZ251" s="80"/>
      <c r="MGA251" s="80"/>
      <c r="MGB251" s="80"/>
      <c r="MGC251" s="80"/>
      <c r="MGD251" s="80"/>
      <c r="MGE251" s="80"/>
      <c r="MGF251" s="80"/>
      <c r="MGG251" s="80"/>
      <c r="MGH251" s="80"/>
      <c r="MGI251" s="80"/>
      <c r="MGJ251" s="80"/>
      <c r="MGK251" s="80"/>
      <c r="MGL251" s="80"/>
      <c r="MGM251" s="80"/>
      <c r="MGN251" s="80"/>
      <c r="MGO251" s="80"/>
      <c r="MGP251" s="80"/>
      <c r="MGQ251" s="80"/>
      <c r="MGR251" s="80"/>
      <c r="MGS251" s="80"/>
      <c r="MGT251" s="80"/>
      <c r="MGU251" s="80"/>
      <c r="MGV251" s="80"/>
      <c r="MGW251" s="80"/>
      <c r="MGX251" s="80"/>
      <c r="MGY251" s="80"/>
      <c r="MGZ251" s="80"/>
      <c r="MHA251" s="80"/>
      <c r="MHB251" s="80"/>
      <c r="MHC251" s="80"/>
      <c r="MHD251" s="80"/>
      <c r="MHE251" s="80"/>
      <c r="MHF251" s="80"/>
      <c r="MHG251" s="80"/>
      <c r="MHH251" s="80"/>
      <c r="MHI251" s="80"/>
      <c r="MHJ251" s="80"/>
      <c r="MHK251" s="80"/>
      <c r="MHL251" s="80"/>
      <c r="MHM251" s="80"/>
      <c r="MHN251" s="80"/>
      <c r="MHO251" s="80"/>
      <c r="MHP251" s="80"/>
      <c r="MHQ251" s="80"/>
      <c r="MHR251" s="80"/>
      <c r="MHS251" s="80"/>
      <c r="MHT251" s="80"/>
      <c r="MHU251" s="80"/>
      <c r="MHV251" s="80"/>
      <c r="MHW251" s="80"/>
      <c r="MHX251" s="80"/>
      <c r="MHY251" s="80"/>
      <c r="MHZ251" s="80"/>
      <c r="MIA251" s="80"/>
      <c r="MIB251" s="80"/>
      <c r="MIC251" s="80"/>
      <c r="MID251" s="80"/>
      <c r="MIE251" s="80"/>
      <c r="MIF251" s="80"/>
      <c r="MIG251" s="80"/>
      <c r="MIH251" s="80"/>
      <c r="MII251" s="80"/>
      <c r="MIJ251" s="80"/>
      <c r="MIK251" s="80"/>
      <c r="MIL251" s="80"/>
      <c r="MIM251" s="80"/>
      <c r="MIN251" s="80"/>
      <c r="MIO251" s="80"/>
      <c r="MIP251" s="80"/>
      <c r="MIQ251" s="80"/>
      <c r="MIR251" s="80"/>
      <c r="MIS251" s="80"/>
      <c r="MIT251" s="80"/>
      <c r="MIU251" s="80"/>
      <c r="MIV251" s="80"/>
      <c r="MIW251" s="80"/>
      <c r="MIX251" s="80"/>
      <c r="MIY251" s="80"/>
      <c r="MIZ251" s="80"/>
      <c r="MJA251" s="80"/>
      <c r="MJB251" s="80"/>
      <c r="MJC251" s="80"/>
      <c r="MJD251" s="80"/>
      <c r="MJE251" s="80"/>
      <c r="MJF251" s="80"/>
      <c r="MJG251" s="80"/>
      <c r="MJH251" s="80"/>
      <c r="MJI251" s="80"/>
      <c r="MJJ251" s="80"/>
      <c r="MJK251" s="80"/>
      <c r="MJL251" s="80"/>
      <c r="MJM251" s="80"/>
      <c r="MJN251" s="80"/>
      <c r="MJO251" s="80"/>
      <c r="MJP251" s="80"/>
      <c r="MJQ251" s="80"/>
      <c r="MJR251" s="80"/>
      <c r="MJS251" s="80"/>
      <c r="MJT251" s="80"/>
      <c r="MJU251" s="80"/>
      <c r="MJV251" s="80"/>
      <c r="MJW251" s="80"/>
      <c r="MJX251" s="80"/>
      <c r="MJY251" s="80"/>
      <c r="MJZ251" s="80"/>
      <c r="MKA251" s="80"/>
      <c r="MKB251" s="80"/>
      <c r="MKC251" s="80"/>
      <c r="MKD251" s="80"/>
      <c r="MKE251" s="80"/>
      <c r="MKF251" s="80"/>
      <c r="MKG251" s="80"/>
      <c r="MKH251" s="80"/>
      <c r="MKI251" s="80"/>
      <c r="MKJ251" s="80"/>
      <c r="MKK251" s="80"/>
      <c r="MKL251" s="80"/>
      <c r="MKM251" s="80"/>
      <c r="MKN251" s="80"/>
      <c r="MKO251" s="80"/>
      <c r="MKP251" s="80"/>
      <c r="MKQ251" s="80"/>
      <c r="MKR251" s="80"/>
      <c r="MKS251" s="80"/>
      <c r="MKT251" s="80"/>
      <c r="MKU251" s="80"/>
      <c r="MKV251" s="80"/>
      <c r="MKW251" s="80"/>
      <c r="MKX251" s="80"/>
      <c r="MKY251" s="80"/>
      <c r="MKZ251" s="80"/>
      <c r="MLA251" s="80"/>
      <c r="MLB251" s="80"/>
      <c r="MLC251" s="80"/>
      <c r="MLD251" s="80"/>
      <c r="MLE251" s="80"/>
      <c r="MLF251" s="80"/>
      <c r="MLG251" s="80"/>
      <c r="MLH251" s="80"/>
      <c r="MLI251" s="80"/>
      <c r="MLJ251" s="80"/>
      <c r="MLK251" s="80"/>
      <c r="MLL251" s="80"/>
      <c r="MLM251" s="80"/>
      <c r="MLN251" s="80"/>
      <c r="MLO251" s="80"/>
      <c r="MLP251" s="80"/>
      <c r="MLQ251" s="80"/>
      <c r="MLR251" s="80"/>
      <c r="MLS251" s="80"/>
      <c r="MLT251" s="80"/>
      <c r="MLU251" s="80"/>
      <c r="MLV251" s="80"/>
      <c r="MLW251" s="80"/>
      <c r="MLX251" s="80"/>
      <c r="MLY251" s="80"/>
      <c r="MLZ251" s="80"/>
      <c r="MMA251" s="80"/>
      <c r="MMB251" s="80"/>
      <c r="MMC251" s="80"/>
      <c r="MMD251" s="80"/>
      <c r="MME251" s="80"/>
      <c r="MMF251" s="80"/>
      <c r="MMG251" s="80"/>
      <c r="MMH251" s="80"/>
      <c r="MMI251" s="80"/>
      <c r="MMJ251" s="80"/>
      <c r="MMK251" s="80"/>
      <c r="MML251" s="80"/>
      <c r="MMM251" s="80"/>
      <c r="MMN251" s="80"/>
      <c r="MMO251" s="80"/>
      <c r="MMP251" s="80"/>
      <c r="MMQ251" s="80"/>
      <c r="MMR251" s="80"/>
      <c r="MMS251" s="80"/>
      <c r="MMT251" s="80"/>
      <c r="MMU251" s="80"/>
      <c r="MMV251" s="80"/>
      <c r="MMW251" s="80"/>
      <c r="MMX251" s="80"/>
      <c r="MMY251" s="80"/>
      <c r="MMZ251" s="80"/>
      <c r="MNA251" s="80"/>
      <c r="MNB251" s="80"/>
      <c r="MNC251" s="80"/>
      <c r="MND251" s="80"/>
      <c r="MNE251" s="80"/>
      <c r="MNF251" s="80"/>
      <c r="MNG251" s="80"/>
      <c r="MNH251" s="80"/>
      <c r="MNI251" s="80"/>
      <c r="MNJ251" s="80"/>
      <c r="MNK251" s="80"/>
      <c r="MNL251" s="80"/>
      <c r="MNM251" s="80"/>
      <c r="MNN251" s="80"/>
      <c r="MNO251" s="80"/>
      <c r="MNP251" s="80"/>
      <c r="MNQ251" s="80"/>
      <c r="MNR251" s="80"/>
      <c r="MNS251" s="80"/>
      <c r="MNT251" s="80"/>
      <c r="MNU251" s="80"/>
      <c r="MNV251" s="80"/>
      <c r="MNW251" s="80"/>
      <c r="MNX251" s="80"/>
      <c r="MNY251" s="80"/>
      <c r="MNZ251" s="80"/>
      <c r="MOA251" s="80"/>
      <c r="MOB251" s="80"/>
      <c r="MOC251" s="80"/>
      <c r="MOD251" s="80"/>
      <c r="MOE251" s="80"/>
      <c r="MOF251" s="80"/>
      <c r="MOG251" s="80"/>
      <c r="MOH251" s="80"/>
      <c r="MOI251" s="80"/>
      <c r="MOJ251" s="80"/>
      <c r="MOK251" s="80"/>
      <c r="MOL251" s="80"/>
      <c r="MOM251" s="80"/>
      <c r="MON251" s="80"/>
      <c r="MOO251" s="80"/>
      <c r="MOP251" s="80"/>
      <c r="MOQ251" s="80"/>
      <c r="MOR251" s="80"/>
      <c r="MOS251" s="80"/>
      <c r="MOT251" s="80"/>
      <c r="MOU251" s="80"/>
      <c r="MOV251" s="80"/>
      <c r="MOW251" s="80"/>
      <c r="MOX251" s="80"/>
      <c r="MOY251" s="80"/>
      <c r="MOZ251" s="80"/>
      <c r="MPA251" s="80"/>
      <c r="MPB251" s="80"/>
      <c r="MPC251" s="80"/>
      <c r="MPD251" s="80"/>
      <c r="MPE251" s="80"/>
      <c r="MPF251" s="80"/>
      <c r="MPG251" s="80"/>
      <c r="MPH251" s="80"/>
      <c r="MPI251" s="80"/>
      <c r="MPJ251" s="80"/>
      <c r="MPK251" s="80"/>
      <c r="MPL251" s="80"/>
      <c r="MPM251" s="80"/>
      <c r="MPN251" s="80"/>
      <c r="MPO251" s="80"/>
      <c r="MPP251" s="80"/>
      <c r="MPQ251" s="80"/>
      <c r="MPR251" s="80"/>
      <c r="MPS251" s="80"/>
      <c r="MPT251" s="80"/>
      <c r="MPU251" s="80"/>
      <c r="MPV251" s="80"/>
      <c r="MPW251" s="80"/>
      <c r="MPX251" s="80"/>
      <c r="MPY251" s="80"/>
      <c r="MPZ251" s="80"/>
      <c r="MQA251" s="80"/>
      <c r="MQB251" s="80"/>
      <c r="MQC251" s="80"/>
      <c r="MQD251" s="80"/>
      <c r="MQE251" s="80"/>
      <c r="MQF251" s="80"/>
      <c r="MQG251" s="80"/>
      <c r="MQH251" s="80"/>
      <c r="MQI251" s="80"/>
      <c r="MQJ251" s="80"/>
      <c r="MQK251" s="80"/>
      <c r="MQL251" s="80"/>
      <c r="MQM251" s="80"/>
      <c r="MQN251" s="80"/>
      <c r="MQO251" s="80"/>
      <c r="MQP251" s="80"/>
      <c r="MQQ251" s="80"/>
      <c r="MQR251" s="80"/>
      <c r="MQS251" s="80"/>
      <c r="MQT251" s="80"/>
      <c r="MQU251" s="80"/>
      <c r="MQV251" s="80"/>
      <c r="MQW251" s="80"/>
      <c r="MQX251" s="80"/>
      <c r="MQY251" s="80"/>
      <c r="MQZ251" s="80"/>
      <c r="MRA251" s="80"/>
      <c r="MRB251" s="80"/>
      <c r="MRC251" s="80"/>
      <c r="MRD251" s="80"/>
      <c r="MRE251" s="80"/>
      <c r="MRF251" s="80"/>
      <c r="MRG251" s="80"/>
      <c r="MRH251" s="80"/>
      <c r="MRI251" s="80"/>
      <c r="MRJ251" s="80"/>
      <c r="MRK251" s="80"/>
      <c r="MRL251" s="80"/>
      <c r="MRM251" s="80"/>
      <c r="MRN251" s="80"/>
      <c r="MRO251" s="80"/>
      <c r="MRP251" s="80"/>
      <c r="MRQ251" s="80"/>
      <c r="MRR251" s="80"/>
      <c r="MRS251" s="80"/>
      <c r="MRT251" s="80"/>
      <c r="MRU251" s="80"/>
      <c r="MRV251" s="80"/>
      <c r="MRW251" s="80"/>
      <c r="MRX251" s="80"/>
      <c r="MRY251" s="80"/>
      <c r="MRZ251" s="80"/>
      <c r="MSA251" s="80"/>
      <c r="MSB251" s="80"/>
      <c r="MSC251" s="80"/>
      <c r="MSD251" s="80"/>
      <c r="MSE251" s="80"/>
      <c r="MSF251" s="80"/>
      <c r="MSG251" s="80"/>
      <c r="MSH251" s="80"/>
      <c r="MSI251" s="80"/>
      <c r="MSJ251" s="80"/>
      <c r="MSK251" s="80"/>
      <c r="MSL251" s="80"/>
      <c r="MSM251" s="80"/>
      <c r="MSN251" s="80"/>
      <c r="MSO251" s="80"/>
      <c r="MSP251" s="80"/>
      <c r="MSQ251" s="80"/>
      <c r="MSR251" s="80"/>
      <c r="MSS251" s="80"/>
      <c r="MST251" s="80"/>
      <c r="MSU251" s="80"/>
      <c r="MSV251" s="80"/>
      <c r="MSW251" s="80"/>
      <c r="MSX251" s="80"/>
      <c r="MSY251" s="80"/>
      <c r="MSZ251" s="80"/>
      <c r="MTA251" s="80"/>
      <c r="MTB251" s="80"/>
      <c r="MTC251" s="80"/>
      <c r="MTD251" s="80"/>
      <c r="MTE251" s="80"/>
      <c r="MTF251" s="80"/>
      <c r="MTG251" s="80"/>
      <c r="MTH251" s="80"/>
      <c r="MTI251" s="80"/>
      <c r="MTJ251" s="80"/>
      <c r="MTK251" s="80"/>
      <c r="MTL251" s="80"/>
      <c r="MTM251" s="80"/>
      <c r="MTN251" s="80"/>
      <c r="MTO251" s="80"/>
      <c r="MTP251" s="80"/>
      <c r="MTQ251" s="80"/>
      <c r="MTR251" s="80"/>
      <c r="MTS251" s="80"/>
      <c r="MTT251" s="80"/>
      <c r="MTU251" s="80"/>
      <c r="MTV251" s="80"/>
      <c r="MTW251" s="80"/>
      <c r="MTX251" s="80"/>
      <c r="MTY251" s="80"/>
      <c r="MTZ251" s="80"/>
      <c r="MUA251" s="80"/>
      <c r="MUB251" s="80"/>
      <c r="MUC251" s="80"/>
      <c r="MUD251" s="80"/>
      <c r="MUE251" s="80"/>
      <c r="MUF251" s="80"/>
      <c r="MUG251" s="80"/>
      <c r="MUH251" s="80"/>
      <c r="MUI251" s="80"/>
      <c r="MUJ251" s="80"/>
      <c r="MUK251" s="80"/>
      <c r="MUL251" s="80"/>
      <c r="MUM251" s="80"/>
      <c r="MUN251" s="80"/>
      <c r="MUO251" s="80"/>
      <c r="MUP251" s="80"/>
      <c r="MUQ251" s="80"/>
      <c r="MUR251" s="80"/>
      <c r="MUS251" s="80"/>
      <c r="MUT251" s="80"/>
      <c r="MUU251" s="80"/>
      <c r="MUV251" s="80"/>
      <c r="MUW251" s="80"/>
      <c r="MUX251" s="80"/>
      <c r="MUY251" s="80"/>
      <c r="MUZ251" s="80"/>
      <c r="MVA251" s="80"/>
      <c r="MVB251" s="80"/>
      <c r="MVC251" s="80"/>
      <c r="MVD251" s="80"/>
      <c r="MVE251" s="80"/>
      <c r="MVF251" s="80"/>
      <c r="MVG251" s="80"/>
      <c r="MVH251" s="80"/>
      <c r="MVI251" s="80"/>
      <c r="MVJ251" s="80"/>
      <c r="MVK251" s="80"/>
      <c r="MVL251" s="80"/>
      <c r="MVM251" s="80"/>
      <c r="MVN251" s="80"/>
      <c r="MVO251" s="80"/>
      <c r="MVP251" s="80"/>
      <c r="MVQ251" s="80"/>
      <c r="MVR251" s="80"/>
      <c r="MVS251" s="80"/>
      <c r="MVT251" s="80"/>
      <c r="MVU251" s="80"/>
      <c r="MVV251" s="80"/>
      <c r="MVW251" s="80"/>
      <c r="MVX251" s="80"/>
      <c r="MVY251" s="80"/>
      <c r="MVZ251" s="80"/>
      <c r="MWA251" s="80"/>
      <c r="MWB251" s="80"/>
      <c r="MWC251" s="80"/>
      <c r="MWD251" s="80"/>
      <c r="MWE251" s="80"/>
      <c r="MWF251" s="80"/>
      <c r="MWG251" s="80"/>
      <c r="MWH251" s="80"/>
      <c r="MWI251" s="80"/>
      <c r="MWJ251" s="80"/>
      <c r="MWK251" s="80"/>
      <c r="MWL251" s="80"/>
      <c r="MWM251" s="80"/>
      <c r="MWN251" s="80"/>
      <c r="MWO251" s="80"/>
      <c r="MWP251" s="80"/>
      <c r="MWQ251" s="80"/>
      <c r="MWR251" s="80"/>
      <c r="MWS251" s="80"/>
      <c r="MWT251" s="80"/>
      <c r="MWU251" s="80"/>
      <c r="MWV251" s="80"/>
      <c r="MWW251" s="80"/>
      <c r="MWX251" s="80"/>
      <c r="MWY251" s="80"/>
      <c r="MWZ251" s="80"/>
      <c r="MXA251" s="80"/>
      <c r="MXB251" s="80"/>
      <c r="MXC251" s="80"/>
      <c r="MXD251" s="80"/>
      <c r="MXE251" s="80"/>
      <c r="MXF251" s="80"/>
      <c r="MXG251" s="80"/>
      <c r="MXH251" s="80"/>
      <c r="MXI251" s="80"/>
      <c r="MXJ251" s="80"/>
      <c r="MXK251" s="80"/>
      <c r="MXL251" s="80"/>
      <c r="MXM251" s="80"/>
      <c r="MXN251" s="80"/>
      <c r="MXO251" s="80"/>
      <c r="MXP251" s="80"/>
      <c r="MXQ251" s="80"/>
      <c r="MXR251" s="80"/>
      <c r="MXS251" s="80"/>
      <c r="MXT251" s="80"/>
      <c r="MXU251" s="80"/>
      <c r="MXV251" s="80"/>
      <c r="MXW251" s="80"/>
      <c r="MXX251" s="80"/>
      <c r="MXY251" s="80"/>
      <c r="MXZ251" s="80"/>
      <c r="MYA251" s="80"/>
      <c r="MYB251" s="80"/>
      <c r="MYC251" s="80"/>
      <c r="MYD251" s="80"/>
      <c r="MYE251" s="80"/>
      <c r="MYF251" s="80"/>
      <c r="MYG251" s="80"/>
      <c r="MYH251" s="80"/>
      <c r="MYI251" s="80"/>
      <c r="MYJ251" s="80"/>
      <c r="MYK251" s="80"/>
      <c r="MYL251" s="80"/>
      <c r="MYM251" s="80"/>
      <c r="MYN251" s="80"/>
      <c r="MYO251" s="80"/>
      <c r="MYP251" s="80"/>
      <c r="MYQ251" s="80"/>
      <c r="MYR251" s="80"/>
      <c r="MYS251" s="80"/>
      <c r="MYT251" s="80"/>
      <c r="MYU251" s="80"/>
      <c r="MYV251" s="80"/>
      <c r="MYW251" s="80"/>
      <c r="MYX251" s="80"/>
      <c r="MYY251" s="80"/>
      <c r="MYZ251" s="80"/>
      <c r="MZA251" s="80"/>
      <c r="MZB251" s="80"/>
      <c r="MZC251" s="80"/>
      <c r="MZD251" s="80"/>
      <c r="MZE251" s="80"/>
      <c r="MZF251" s="80"/>
      <c r="MZG251" s="80"/>
      <c r="MZH251" s="80"/>
      <c r="MZI251" s="80"/>
      <c r="MZJ251" s="80"/>
      <c r="MZK251" s="80"/>
      <c r="MZL251" s="80"/>
      <c r="MZM251" s="80"/>
      <c r="MZN251" s="80"/>
      <c r="MZO251" s="80"/>
      <c r="MZP251" s="80"/>
      <c r="MZQ251" s="80"/>
      <c r="MZR251" s="80"/>
      <c r="MZS251" s="80"/>
      <c r="MZT251" s="80"/>
      <c r="MZU251" s="80"/>
      <c r="MZV251" s="80"/>
      <c r="MZW251" s="80"/>
      <c r="MZX251" s="80"/>
      <c r="MZY251" s="80"/>
      <c r="MZZ251" s="80"/>
      <c r="NAA251" s="80"/>
      <c r="NAB251" s="80"/>
      <c r="NAC251" s="80"/>
      <c r="NAD251" s="80"/>
      <c r="NAE251" s="80"/>
      <c r="NAF251" s="80"/>
      <c r="NAG251" s="80"/>
      <c r="NAH251" s="80"/>
      <c r="NAI251" s="80"/>
      <c r="NAJ251" s="80"/>
      <c r="NAK251" s="80"/>
      <c r="NAL251" s="80"/>
      <c r="NAM251" s="80"/>
      <c r="NAN251" s="80"/>
      <c r="NAO251" s="80"/>
      <c r="NAP251" s="80"/>
      <c r="NAQ251" s="80"/>
      <c r="NAR251" s="80"/>
      <c r="NAS251" s="80"/>
      <c r="NAT251" s="80"/>
      <c r="NAU251" s="80"/>
      <c r="NAV251" s="80"/>
      <c r="NAW251" s="80"/>
      <c r="NAX251" s="80"/>
      <c r="NAY251" s="80"/>
      <c r="NAZ251" s="80"/>
      <c r="NBA251" s="80"/>
      <c r="NBB251" s="80"/>
      <c r="NBC251" s="80"/>
      <c r="NBD251" s="80"/>
      <c r="NBE251" s="80"/>
      <c r="NBF251" s="80"/>
      <c r="NBG251" s="80"/>
      <c r="NBH251" s="80"/>
      <c r="NBI251" s="80"/>
      <c r="NBJ251" s="80"/>
      <c r="NBK251" s="80"/>
      <c r="NBL251" s="80"/>
      <c r="NBM251" s="80"/>
      <c r="NBN251" s="80"/>
      <c r="NBO251" s="80"/>
      <c r="NBP251" s="80"/>
      <c r="NBQ251" s="80"/>
      <c r="NBR251" s="80"/>
      <c r="NBS251" s="80"/>
      <c r="NBT251" s="80"/>
      <c r="NBU251" s="80"/>
      <c r="NBV251" s="80"/>
      <c r="NBW251" s="80"/>
      <c r="NBX251" s="80"/>
      <c r="NBY251" s="80"/>
      <c r="NBZ251" s="80"/>
      <c r="NCA251" s="80"/>
      <c r="NCB251" s="80"/>
      <c r="NCC251" s="80"/>
      <c r="NCD251" s="80"/>
      <c r="NCE251" s="80"/>
      <c r="NCF251" s="80"/>
      <c r="NCG251" s="80"/>
      <c r="NCH251" s="80"/>
      <c r="NCI251" s="80"/>
      <c r="NCJ251" s="80"/>
      <c r="NCK251" s="80"/>
      <c r="NCL251" s="80"/>
      <c r="NCM251" s="80"/>
      <c r="NCN251" s="80"/>
      <c r="NCO251" s="80"/>
      <c r="NCP251" s="80"/>
      <c r="NCQ251" s="80"/>
      <c r="NCR251" s="80"/>
      <c r="NCS251" s="80"/>
      <c r="NCT251" s="80"/>
      <c r="NCU251" s="80"/>
      <c r="NCV251" s="80"/>
      <c r="NCW251" s="80"/>
      <c r="NCX251" s="80"/>
      <c r="NCY251" s="80"/>
      <c r="NCZ251" s="80"/>
      <c r="NDA251" s="80"/>
      <c r="NDB251" s="80"/>
      <c r="NDC251" s="80"/>
      <c r="NDD251" s="80"/>
      <c r="NDE251" s="80"/>
      <c r="NDF251" s="80"/>
      <c r="NDG251" s="80"/>
      <c r="NDH251" s="80"/>
      <c r="NDI251" s="80"/>
      <c r="NDJ251" s="80"/>
      <c r="NDK251" s="80"/>
      <c r="NDL251" s="80"/>
      <c r="NDM251" s="80"/>
      <c r="NDN251" s="80"/>
      <c r="NDO251" s="80"/>
      <c r="NDP251" s="80"/>
      <c r="NDQ251" s="80"/>
      <c r="NDR251" s="80"/>
      <c r="NDS251" s="80"/>
      <c r="NDT251" s="80"/>
      <c r="NDU251" s="80"/>
      <c r="NDV251" s="80"/>
      <c r="NDW251" s="80"/>
      <c r="NDX251" s="80"/>
      <c r="NDY251" s="80"/>
      <c r="NDZ251" s="80"/>
      <c r="NEA251" s="80"/>
      <c r="NEB251" s="80"/>
      <c r="NEC251" s="80"/>
      <c r="NED251" s="80"/>
      <c r="NEE251" s="80"/>
      <c r="NEF251" s="80"/>
      <c r="NEG251" s="80"/>
      <c r="NEH251" s="80"/>
      <c r="NEI251" s="80"/>
      <c r="NEJ251" s="80"/>
      <c r="NEK251" s="80"/>
      <c r="NEL251" s="80"/>
      <c r="NEM251" s="80"/>
      <c r="NEN251" s="80"/>
      <c r="NEO251" s="80"/>
      <c r="NEP251" s="80"/>
      <c r="NEQ251" s="80"/>
      <c r="NER251" s="80"/>
      <c r="NES251" s="80"/>
      <c r="NET251" s="80"/>
      <c r="NEU251" s="80"/>
      <c r="NEV251" s="80"/>
      <c r="NEW251" s="80"/>
      <c r="NEX251" s="80"/>
      <c r="NEY251" s="80"/>
      <c r="NEZ251" s="80"/>
      <c r="NFA251" s="80"/>
      <c r="NFB251" s="80"/>
      <c r="NFC251" s="80"/>
      <c r="NFD251" s="80"/>
      <c r="NFE251" s="80"/>
      <c r="NFF251" s="80"/>
      <c r="NFG251" s="80"/>
      <c r="NFH251" s="80"/>
      <c r="NFI251" s="80"/>
      <c r="NFJ251" s="80"/>
      <c r="NFK251" s="80"/>
      <c r="NFL251" s="80"/>
      <c r="NFM251" s="80"/>
      <c r="NFN251" s="80"/>
      <c r="NFO251" s="80"/>
      <c r="NFP251" s="80"/>
      <c r="NFQ251" s="80"/>
      <c r="NFR251" s="80"/>
      <c r="NFS251" s="80"/>
      <c r="NFT251" s="80"/>
      <c r="NFU251" s="80"/>
      <c r="NFV251" s="80"/>
      <c r="NFW251" s="80"/>
      <c r="NFX251" s="80"/>
      <c r="NFY251" s="80"/>
      <c r="NFZ251" s="80"/>
      <c r="NGA251" s="80"/>
      <c r="NGB251" s="80"/>
      <c r="NGC251" s="80"/>
      <c r="NGD251" s="80"/>
      <c r="NGE251" s="80"/>
      <c r="NGF251" s="80"/>
      <c r="NGG251" s="80"/>
      <c r="NGH251" s="80"/>
      <c r="NGI251" s="80"/>
      <c r="NGJ251" s="80"/>
      <c r="NGK251" s="80"/>
      <c r="NGL251" s="80"/>
      <c r="NGM251" s="80"/>
      <c r="NGN251" s="80"/>
      <c r="NGO251" s="80"/>
      <c r="NGP251" s="80"/>
      <c r="NGQ251" s="80"/>
      <c r="NGR251" s="80"/>
      <c r="NGS251" s="80"/>
      <c r="NGT251" s="80"/>
      <c r="NGU251" s="80"/>
      <c r="NGV251" s="80"/>
      <c r="NGW251" s="80"/>
      <c r="NGX251" s="80"/>
      <c r="NGY251" s="80"/>
      <c r="NGZ251" s="80"/>
      <c r="NHA251" s="80"/>
      <c r="NHB251" s="80"/>
      <c r="NHC251" s="80"/>
      <c r="NHD251" s="80"/>
      <c r="NHE251" s="80"/>
      <c r="NHF251" s="80"/>
      <c r="NHG251" s="80"/>
      <c r="NHH251" s="80"/>
      <c r="NHI251" s="80"/>
      <c r="NHJ251" s="80"/>
      <c r="NHK251" s="80"/>
      <c r="NHL251" s="80"/>
      <c r="NHM251" s="80"/>
      <c r="NHN251" s="80"/>
      <c r="NHO251" s="80"/>
      <c r="NHP251" s="80"/>
      <c r="NHQ251" s="80"/>
      <c r="NHR251" s="80"/>
      <c r="NHS251" s="80"/>
      <c r="NHT251" s="80"/>
      <c r="NHU251" s="80"/>
      <c r="NHV251" s="80"/>
      <c r="NHW251" s="80"/>
      <c r="NHX251" s="80"/>
      <c r="NHY251" s="80"/>
      <c r="NHZ251" s="80"/>
      <c r="NIA251" s="80"/>
      <c r="NIB251" s="80"/>
      <c r="NIC251" s="80"/>
      <c r="NID251" s="80"/>
      <c r="NIE251" s="80"/>
      <c r="NIF251" s="80"/>
      <c r="NIG251" s="80"/>
      <c r="NIH251" s="80"/>
      <c r="NII251" s="80"/>
      <c r="NIJ251" s="80"/>
      <c r="NIK251" s="80"/>
      <c r="NIL251" s="80"/>
      <c r="NIM251" s="80"/>
      <c r="NIN251" s="80"/>
      <c r="NIO251" s="80"/>
      <c r="NIP251" s="80"/>
      <c r="NIQ251" s="80"/>
      <c r="NIR251" s="80"/>
      <c r="NIS251" s="80"/>
      <c r="NIT251" s="80"/>
      <c r="NIU251" s="80"/>
      <c r="NIV251" s="80"/>
      <c r="NIW251" s="80"/>
      <c r="NIX251" s="80"/>
      <c r="NIY251" s="80"/>
      <c r="NIZ251" s="80"/>
      <c r="NJA251" s="80"/>
      <c r="NJB251" s="80"/>
      <c r="NJC251" s="80"/>
      <c r="NJD251" s="80"/>
      <c r="NJE251" s="80"/>
      <c r="NJF251" s="80"/>
      <c r="NJG251" s="80"/>
      <c r="NJH251" s="80"/>
      <c r="NJI251" s="80"/>
      <c r="NJJ251" s="80"/>
      <c r="NJK251" s="80"/>
      <c r="NJL251" s="80"/>
      <c r="NJM251" s="80"/>
      <c r="NJN251" s="80"/>
      <c r="NJO251" s="80"/>
      <c r="NJP251" s="80"/>
      <c r="NJQ251" s="80"/>
      <c r="NJR251" s="80"/>
      <c r="NJS251" s="80"/>
      <c r="NJT251" s="80"/>
      <c r="NJU251" s="80"/>
      <c r="NJV251" s="80"/>
      <c r="NJW251" s="80"/>
      <c r="NJX251" s="80"/>
      <c r="NJY251" s="80"/>
      <c r="NJZ251" s="80"/>
      <c r="NKA251" s="80"/>
      <c r="NKB251" s="80"/>
      <c r="NKC251" s="80"/>
      <c r="NKD251" s="80"/>
      <c r="NKE251" s="80"/>
      <c r="NKF251" s="80"/>
      <c r="NKG251" s="80"/>
      <c r="NKH251" s="80"/>
      <c r="NKI251" s="80"/>
      <c r="NKJ251" s="80"/>
      <c r="NKK251" s="80"/>
      <c r="NKL251" s="80"/>
      <c r="NKM251" s="80"/>
      <c r="NKN251" s="80"/>
      <c r="NKO251" s="80"/>
      <c r="NKP251" s="80"/>
      <c r="NKQ251" s="80"/>
      <c r="NKR251" s="80"/>
      <c r="NKS251" s="80"/>
      <c r="NKT251" s="80"/>
      <c r="NKU251" s="80"/>
      <c r="NKV251" s="80"/>
      <c r="NKW251" s="80"/>
      <c r="NKX251" s="80"/>
      <c r="NKY251" s="80"/>
      <c r="NKZ251" s="80"/>
      <c r="NLA251" s="80"/>
      <c r="NLB251" s="80"/>
      <c r="NLC251" s="80"/>
      <c r="NLD251" s="80"/>
      <c r="NLE251" s="80"/>
      <c r="NLF251" s="80"/>
      <c r="NLG251" s="80"/>
      <c r="NLH251" s="80"/>
      <c r="NLI251" s="80"/>
      <c r="NLJ251" s="80"/>
      <c r="NLK251" s="80"/>
      <c r="NLL251" s="80"/>
      <c r="NLM251" s="80"/>
      <c r="NLN251" s="80"/>
      <c r="NLO251" s="80"/>
      <c r="NLP251" s="80"/>
      <c r="NLQ251" s="80"/>
      <c r="NLR251" s="80"/>
      <c r="NLS251" s="80"/>
      <c r="NLT251" s="80"/>
      <c r="NLU251" s="80"/>
      <c r="NLV251" s="80"/>
      <c r="NLW251" s="80"/>
      <c r="NLX251" s="80"/>
      <c r="NLY251" s="80"/>
      <c r="NLZ251" s="80"/>
      <c r="NMA251" s="80"/>
      <c r="NMB251" s="80"/>
      <c r="NMC251" s="80"/>
      <c r="NMD251" s="80"/>
      <c r="NME251" s="80"/>
      <c r="NMF251" s="80"/>
      <c r="NMG251" s="80"/>
      <c r="NMH251" s="80"/>
      <c r="NMI251" s="80"/>
      <c r="NMJ251" s="80"/>
      <c r="NMK251" s="80"/>
      <c r="NML251" s="80"/>
      <c r="NMM251" s="80"/>
      <c r="NMN251" s="80"/>
      <c r="NMO251" s="80"/>
      <c r="NMP251" s="80"/>
      <c r="NMQ251" s="80"/>
      <c r="NMR251" s="80"/>
      <c r="NMS251" s="80"/>
      <c r="NMT251" s="80"/>
      <c r="NMU251" s="80"/>
      <c r="NMV251" s="80"/>
      <c r="NMW251" s="80"/>
      <c r="NMX251" s="80"/>
      <c r="NMY251" s="80"/>
      <c r="NMZ251" s="80"/>
      <c r="NNA251" s="80"/>
      <c r="NNB251" s="80"/>
      <c r="NNC251" s="80"/>
      <c r="NND251" s="80"/>
      <c r="NNE251" s="80"/>
      <c r="NNF251" s="80"/>
      <c r="NNG251" s="80"/>
      <c r="NNH251" s="80"/>
      <c r="NNI251" s="80"/>
      <c r="NNJ251" s="80"/>
      <c r="NNK251" s="80"/>
      <c r="NNL251" s="80"/>
      <c r="NNM251" s="80"/>
      <c r="NNN251" s="80"/>
      <c r="NNO251" s="80"/>
      <c r="NNP251" s="80"/>
      <c r="NNQ251" s="80"/>
      <c r="NNR251" s="80"/>
      <c r="NNS251" s="80"/>
      <c r="NNT251" s="80"/>
      <c r="NNU251" s="80"/>
      <c r="NNV251" s="80"/>
      <c r="NNW251" s="80"/>
      <c r="NNX251" s="80"/>
      <c r="NNY251" s="80"/>
      <c r="NNZ251" s="80"/>
      <c r="NOA251" s="80"/>
      <c r="NOB251" s="80"/>
      <c r="NOC251" s="80"/>
      <c r="NOD251" s="80"/>
      <c r="NOE251" s="80"/>
      <c r="NOF251" s="80"/>
      <c r="NOG251" s="80"/>
      <c r="NOH251" s="80"/>
      <c r="NOI251" s="80"/>
      <c r="NOJ251" s="80"/>
      <c r="NOK251" s="80"/>
      <c r="NOL251" s="80"/>
      <c r="NOM251" s="80"/>
      <c r="NON251" s="80"/>
      <c r="NOO251" s="80"/>
      <c r="NOP251" s="80"/>
      <c r="NOQ251" s="80"/>
      <c r="NOR251" s="80"/>
      <c r="NOS251" s="80"/>
      <c r="NOT251" s="80"/>
      <c r="NOU251" s="80"/>
      <c r="NOV251" s="80"/>
      <c r="NOW251" s="80"/>
      <c r="NOX251" s="80"/>
      <c r="NOY251" s="80"/>
      <c r="NOZ251" s="80"/>
      <c r="NPA251" s="80"/>
      <c r="NPB251" s="80"/>
      <c r="NPC251" s="80"/>
      <c r="NPD251" s="80"/>
      <c r="NPE251" s="80"/>
      <c r="NPF251" s="80"/>
      <c r="NPG251" s="80"/>
      <c r="NPH251" s="80"/>
      <c r="NPI251" s="80"/>
      <c r="NPJ251" s="80"/>
      <c r="NPK251" s="80"/>
      <c r="NPL251" s="80"/>
      <c r="NPM251" s="80"/>
      <c r="NPN251" s="80"/>
      <c r="NPO251" s="80"/>
      <c r="NPP251" s="80"/>
      <c r="NPQ251" s="80"/>
      <c r="NPR251" s="80"/>
      <c r="NPS251" s="80"/>
      <c r="NPT251" s="80"/>
      <c r="NPU251" s="80"/>
      <c r="NPV251" s="80"/>
      <c r="NPW251" s="80"/>
      <c r="NPX251" s="80"/>
      <c r="NPY251" s="80"/>
      <c r="NPZ251" s="80"/>
      <c r="NQA251" s="80"/>
      <c r="NQB251" s="80"/>
      <c r="NQC251" s="80"/>
      <c r="NQD251" s="80"/>
      <c r="NQE251" s="80"/>
      <c r="NQF251" s="80"/>
      <c r="NQG251" s="80"/>
      <c r="NQH251" s="80"/>
      <c r="NQI251" s="80"/>
      <c r="NQJ251" s="80"/>
      <c r="NQK251" s="80"/>
      <c r="NQL251" s="80"/>
      <c r="NQM251" s="80"/>
      <c r="NQN251" s="80"/>
      <c r="NQO251" s="80"/>
      <c r="NQP251" s="80"/>
      <c r="NQQ251" s="80"/>
      <c r="NQR251" s="80"/>
      <c r="NQS251" s="80"/>
      <c r="NQT251" s="80"/>
      <c r="NQU251" s="80"/>
      <c r="NQV251" s="80"/>
      <c r="NQW251" s="80"/>
      <c r="NQX251" s="80"/>
      <c r="NQY251" s="80"/>
      <c r="NQZ251" s="80"/>
      <c r="NRA251" s="80"/>
      <c r="NRB251" s="80"/>
      <c r="NRC251" s="80"/>
      <c r="NRD251" s="80"/>
      <c r="NRE251" s="80"/>
      <c r="NRF251" s="80"/>
      <c r="NRG251" s="80"/>
      <c r="NRH251" s="80"/>
      <c r="NRI251" s="80"/>
      <c r="NRJ251" s="80"/>
      <c r="NRK251" s="80"/>
      <c r="NRL251" s="80"/>
      <c r="NRM251" s="80"/>
      <c r="NRN251" s="80"/>
      <c r="NRO251" s="80"/>
      <c r="NRP251" s="80"/>
      <c r="NRQ251" s="80"/>
      <c r="NRR251" s="80"/>
      <c r="NRS251" s="80"/>
      <c r="NRT251" s="80"/>
      <c r="NRU251" s="80"/>
      <c r="NRV251" s="80"/>
      <c r="NRW251" s="80"/>
      <c r="NRX251" s="80"/>
      <c r="NRY251" s="80"/>
      <c r="NRZ251" s="80"/>
      <c r="NSA251" s="80"/>
      <c r="NSB251" s="80"/>
      <c r="NSC251" s="80"/>
      <c r="NSD251" s="80"/>
      <c r="NSE251" s="80"/>
      <c r="NSF251" s="80"/>
      <c r="NSG251" s="80"/>
      <c r="NSH251" s="80"/>
      <c r="NSI251" s="80"/>
      <c r="NSJ251" s="80"/>
      <c r="NSK251" s="80"/>
      <c r="NSL251" s="80"/>
      <c r="NSM251" s="80"/>
      <c r="NSN251" s="80"/>
      <c r="NSO251" s="80"/>
      <c r="NSP251" s="80"/>
      <c r="NSQ251" s="80"/>
      <c r="NSR251" s="80"/>
      <c r="NSS251" s="80"/>
      <c r="NST251" s="80"/>
      <c r="NSU251" s="80"/>
      <c r="NSV251" s="80"/>
      <c r="NSW251" s="80"/>
      <c r="NSX251" s="80"/>
      <c r="NSY251" s="80"/>
      <c r="NSZ251" s="80"/>
      <c r="NTA251" s="80"/>
      <c r="NTB251" s="80"/>
      <c r="NTC251" s="80"/>
      <c r="NTD251" s="80"/>
      <c r="NTE251" s="80"/>
      <c r="NTF251" s="80"/>
      <c r="NTG251" s="80"/>
      <c r="NTH251" s="80"/>
      <c r="NTI251" s="80"/>
      <c r="NTJ251" s="80"/>
      <c r="NTK251" s="80"/>
      <c r="NTL251" s="80"/>
      <c r="NTM251" s="80"/>
      <c r="NTN251" s="80"/>
      <c r="NTO251" s="80"/>
      <c r="NTP251" s="80"/>
      <c r="NTQ251" s="80"/>
      <c r="NTR251" s="80"/>
      <c r="NTS251" s="80"/>
      <c r="NTT251" s="80"/>
      <c r="NTU251" s="80"/>
      <c r="NTV251" s="80"/>
      <c r="NTW251" s="80"/>
      <c r="NTX251" s="80"/>
      <c r="NTY251" s="80"/>
      <c r="NTZ251" s="80"/>
      <c r="NUA251" s="80"/>
      <c r="NUB251" s="80"/>
      <c r="NUC251" s="80"/>
      <c r="NUD251" s="80"/>
      <c r="NUE251" s="80"/>
      <c r="NUF251" s="80"/>
      <c r="NUG251" s="80"/>
      <c r="NUH251" s="80"/>
      <c r="NUI251" s="80"/>
      <c r="NUJ251" s="80"/>
      <c r="NUK251" s="80"/>
      <c r="NUL251" s="80"/>
      <c r="NUM251" s="80"/>
      <c r="NUN251" s="80"/>
      <c r="NUO251" s="80"/>
      <c r="NUP251" s="80"/>
      <c r="NUQ251" s="80"/>
      <c r="NUR251" s="80"/>
      <c r="NUS251" s="80"/>
      <c r="NUT251" s="80"/>
      <c r="NUU251" s="80"/>
      <c r="NUV251" s="80"/>
      <c r="NUW251" s="80"/>
      <c r="NUX251" s="80"/>
      <c r="NUY251" s="80"/>
      <c r="NUZ251" s="80"/>
      <c r="NVA251" s="80"/>
      <c r="NVB251" s="80"/>
      <c r="NVC251" s="80"/>
      <c r="NVD251" s="80"/>
      <c r="NVE251" s="80"/>
      <c r="NVF251" s="80"/>
      <c r="NVG251" s="80"/>
      <c r="NVH251" s="80"/>
      <c r="NVI251" s="80"/>
      <c r="NVJ251" s="80"/>
      <c r="NVK251" s="80"/>
      <c r="NVL251" s="80"/>
      <c r="NVM251" s="80"/>
      <c r="NVN251" s="80"/>
      <c r="NVO251" s="80"/>
      <c r="NVP251" s="80"/>
      <c r="NVQ251" s="80"/>
      <c r="NVR251" s="80"/>
      <c r="NVS251" s="80"/>
      <c r="NVT251" s="80"/>
      <c r="NVU251" s="80"/>
      <c r="NVV251" s="80"/>
      <c r="NVW251" s="80"/>
      <c r="NVX251" s="80"/>
      <c r="NVY251" s="80"/>
      <c r="NVZ251" s="80"/>
      <c r="NWA251" s="80"/>
      <c r="NWB251" s="80"/>
      <c r="NWC251" s="80"/>
      <c r="NWD251" s="80"/>
      <c r="NWE251" s="80"/>
      <c r="NWF251" s="80"/>
      <c r="NWG251" s="80"/>
      <c r="NWH251" s="80"/>
      <c r="NWI251" s="80"/>
      <c r="NWJ251" s="80"/>
      <c r="NWK251" s="80"/>
      <c r="NWL251" s="80"/>
      <c r="NWM251" s="80"/>
      <c r="NWN251" s="80"/>
      <c r="NWO251" s="80"/>
      <c r="NWP251" s="80"/>
      <c r="NWQ251" s="80"/>
      <c r="NWR251" s="80"/>
      <c r="NWS251" s="80"/>
      <c r="NWT251" s="80"/>
      <c r="NWU251" s="80"/>
      <c r="NWV251" s="80"/>
      <c r="NWW251" s="80"/>
      <c r="NWX251" s="80"/>
      <c r="NWY251" s="80"/>
      <c r="NWZ251" s="80"/>
      <c r="NXA251" s="80"/>
      <c r="NXB251" s="80"/>
      <c r="NXC251" s="80"/>
      <c r="NXD251" s="80"/>
      <c r="NXE251" s="80"/>
      <c r="NXF251" s="80"/>
      <c r="NXG251" s="80"/>
      <c r="NXH251" s="80"/>
      <c r="NXI251" s="80"/>
      <c r="NXJ251" s="80"/>
      <c r="NXK251" s="80"/>
      <c r="NXL251" s="80"/>
      <c r="NXM251" s="80"/>
      <c r="NXN251" s="80"/>
      <c r="NXO251" s="80"/>
      <c r="NXP251" s="80"/>
      <c r="NXQ251" s="80"/>
      <c r="NXR251" s="80"/>
      <c r="NXS251" s="80"/>
      <c r="NXT251" s="80"/>
      <c r="NXU251" s="80"/>
      <c r="NXV251" s="80"/>
      <c r="NXW251" s="80"/>
      <c r="NXX251" s="80"/>
      <c r="NXY251" s="80"/>
      <c r="NXZ251" s="80"/>
      <c r="NYA251" s="80"/>
      <c r="NYB251" s="80"/>
      <c r="NYC251" s="80"/>
      <c r="NYD251" s="80"/>
      <c r="NYE251" s="80"/>
      <c r="NYF251" s="80"/>
      <c r="NYG251" s="80"/>
      <c r="NYH251" s="80"/>
      <c r="NYI251" s="80"/>
      <c r="NYJ251" s="80"/>
      <c r="NYK251" s="80"/>
      <c r="NYL251" s="80"/>
      <c r="NYM251" s="80"/>
      <c r="NYN251" s="80"/>
      <c r="NYO251" s="80"/>
      <c r="NYP251" s="80"/>
      <c r="NYQ251" s="80"/>
      <c r="NYR251" s="80"/>
      <c r="NYS251" s="80"/>
      <c r="NYT251" s="80"/>
      <c r="NYU251" s="80"/>
      <c r="NYV251" s="80"/>
      <c r="NYW251" s="80"/>
      <c r="NYX251" s="80"/>
      <c r="NYY251" s="80"/>
      <c r="NYZ251" s="80"/>
      <c r="NZA251" s="80"/>
      <c r="NZB251" s="80"/>
      <c r="NZC251" s="80"/>
      <c r="NZD251" s="80"/>
      <c r="NZE251" s="80"/>
      <c r="NZF251" s="80"/>
      <c r="NZG251" s="80"/>
      <c r="NZH251" s="80"/>
      <c r="NZI251" s="80"/>
      <c r="NZJ251" s="80"/>
      <c r="NZK251" s="80"/>
      <c r="NZL251" s="80"/>
      <c r="NZM251" s="80"/>
      <c r="NZN251" s="80"/>
      <c r="NZO251" s="80"/>
      <c r="NZP251" s="80"/>
      <c r="NZQ251" s="80"/>
      <c r="NZR251" s="80"/>
      <c r="NZS251" s="80"/>
      <c r="NZT251" s="80"/>
      <c r="NZU251" s="80"/>
      <c r="NZV251" s="80"/>
      <c r="NZW251" s="80"/>
      <c r="NZX251" s="80"/>
      <c r="NZY251" s="80"/>
      <c r="NZZ251" s="80"/>
      <c r="OAA251" s="80"/>
      <c r="OAB251" s="80"/>
      <c r="OAC251" s="80"/>
      <c r="OAD251" s="80"/>
      <c r="OAE251" s="80"/>
      <c r="OAF251" s="80"/>
      <c r="OAG251" s="80"/>
      <c r="OAH251" s="80"/>
      <c r="OAI251" s="80"/>
      <c r="OAJ251" s="80"/>
      <c r="OAK251" s="80"/>
      <c r="OAL251" s="80"/>
      <c r="OAM251" s="80"/>
      <c r="OAN251" s="80"/>
      <c r="OAO251" s="80"/>
      <c r="OAP251" s="80"/>
      <c r="OAQ251" s="80"/>
      <c r="OAR251" s="80"/>
      <c r="OAS251" s="80"/>
      <c r="OAT251" s="80"/>
      <c r="OAU251" s="80"/>
      <c r="OAV251" s="80"/>
      <c r="OAW251" s="80"/>
      <c r="OAX251" s="80"/>
      <c r="OAY251" s="80"/>
      <c r="OAZ251" s="80"/>
      <c r="OBA251" s="80"/>
      <c r="OBB251" s="80"/>
      <c r="OBC251" s="80"/>
      <c r="OBD251" s="80"/>
      <c r="OBE251" s="80"/>
      <c r="OBF251" s="80"/>
      <c r="OBG251" s="80"/>
      <c r="OBH251" s="80"/>
      <c r="OBI251" s="80"/>
      <c r="OBJ251" s="80"/>
      <c r="OBK251" s="80"/>
      <c r="OBL251" s="80"/>
      <c r="OBM251" s="80"/>
      <c r="OBN251" s="80"/>
      <c r="OBO251" s="80"/>
      <c r="OBP251" s="80"/>
      <c r="OBQ251" s="80"/>
      <c r="OBR251" s="80"/>
      <c r="OBS251" s="80"/>
      <c r="OBT251" s="80"/>
      <c r="OBU251" s="80"/>
      <c r="OBV251" s="80"/>
      <c r="OBW251" s="80"/>
      <c r="OBX251" s="80"/>
      <c r="OBY251" s="80"/>
      <c r="OBZ251" s="80"/>
      <c r="OCA251" s="80"/>
      <c r="OCB251" s="80"/>
      <c r="OCC251" s="80"/>
      <c r="OCD251" s="80"/>
      <c r="OCE251" s="80"/>
      <c r="OCF251" s="80"/>
      <c r="OCG251" s="80"/>
      <c r="OCH251" s="80"/>
      <c r="OCI251" s="80"/>
      <c r="OCJ251" s="80"/>
      <c r="OCK251" s="80"/>
      <c r="OCL251" s="80"/>
      <c r="OCM251" s="80"/>
      <c r="OCN251" s="80"/>
      <c r="OCO251" s="80"/>
      <c r="OCP251" s="80"/>
      <c r="OCQ251" s="80"/>
      <c r="OCR251" s="80"/>
      <c r="OCS251" s="80"/>
      <c r="OCT251" s="80"/>
      <c r="OCU251" s="80"/>
      <c r="OCV251" s="80"/>
      <c r="OCW251" s="80"/>
      <c r="OCX251" s="80"/>
      <c r="OCY251" s="80"/>
      <c r="OCZ251" s="80"/>
      <c r="ODA251" s="80"/>
      <c r="ODB251" s="80"/>
      <c r="ODC251" s="80"/>
      <c r="ODD251" s="80"/>
      <c r="ODE251" s="80"/>
      <c r="ODF251" s="80"/>
      <c r="ODG251" s="80"/>
      <c r="ODH251" s="80"/>
      <c r="ODI251" s="80"/>
      <c r="ODJ251" s="80"/>
      <c r="ODK251" s="80"/>
      <c r="ODL251" s="80"/>
      <c r="ODM251" s="80"/>
      <c r="ODN251" s="80"/>
      <c r="ODO251" s="80"/>
      <c r="ODP251" s="80"/>
      <c r="ODQ251" s="80"/>
      <c r="ODR251" s="80"/>
      <c r="ODS251" s="80"/>
      <c r="ODT251" s="80"/>
      <c r="ODU251" s="80"/>
      <c r="ODV251" s="80"/>
      <c r="ODW251" s="80"/>
      <c r="ODX251" s="80"/>
      <c r="ODY251" s="80"/>
      <c r="ODZ251" s="80"/>
      <c r="OEA251" s="80"/>
      <c r="OEB251" s="80"/>
      <c r="OEC251" s="80"/>
      <c r="OED251" s="80"/>
      <c r="OEE251" s="80"/>
      <c r="OEF251" s="80"/>
      <c r="OEG251" s="80"/>
      <c r="OEH251" s="80"/>
      <c r="OEI251" s="80"/>
      <c r="OEJ251" s="80"/>
      <c r="OEK251" s="80"/>
      <c r="OEL251" s="80"/>
      <c r="OEM251" s="80"/>
      <c r="OEN251" s="80"/>
      <c r="OEO251" s="80"/>
      <c r="OEP251" s="80"/>
      <c r="OEQ251" s="80"/>
      <c r="OER251" s="80"/>
      <c r="OES251" s="80"/>
      <c r="OET251" s="80"/>
      <c r="OEU251" s="80"/>
      <c r="OEV251" s="80"/>
      <c r="OEW251" s="80"/>
      <c r="OEX251" s="80"/>
      <c r="OEY251" s="80"/>
      <c r="OEZ251" s="80"/>
      <c r="OFA251" s="80"/>
      <c r="OFB251" s="80"/>
      <c r="OFC251" s="80"/>
      <c r="OFD251" s="80"/>
      <c r="OFE251" s="80"/>
      <c r="OFF251" s="80"/>
      <c r="OFG251" s="80"/>
      <c r="OFH251" s="80"/>
      <c r="OFI251" s="80"/>
      <c r="OFJ251" s="80"/>
      <c r="OFK251" s="80"/>
      <c r="OFL251" s="80"/>
      <c r="OFM251" s="80"/>
      <c r="OFN251" s="80"/>
      <c r="OFO251" s="80"/>
      <c r="OFP251" s="80"/>
      <c r="OFQ251" s="80"/>
      <c r="OFR251" s="80"/>
      <c r="OFS251" s="80"/>
      <c r="OFT251" s="80"/>
      <c r="OFU251" s="80"/>
      <c r="OFV251" s="80"/>
      <c r="OFW251" s="80"/>
      <c r="OFX251" s="80"/>
      <c r="OFY251" s="80"/>
      <c r="OFZ251" s="80"/>
      <c r="OGA251" s="80"/>
      <c r="OGB251" s="80"/>
      <c r="OGC251" s="80"/>
      <c r="OGD251" s="80"/>
      <c r="OGE251" s="80"/>
      <c r="OGF251" s="80"/>
      <c r="OGG251" s="80"/>
      <c r="OGH251" s="80"/>
      <c r="OGI251" s="80"/>
      <c r="OGJ251" s="80"/>
      <c r="OGK251" s="80"/>
      <c r="OGL251" s="80"/>
      <c r="OGM251" s="80"/>
      <c r="OGN251" s="80"/>
      <c r="OGO251" s="80"/>
      <c r="OGP251" s="80"/>
      <c r="OGQ251" s="80"/>
      <c r="OGR251" s="80"/>
      <c r="OGS251" s="80"/>
      <c r="OGT251" s="80"/>
      <c r="OGU251" s="80"/>
      <c r="OGV251" s="80"/>
      <c r="OGW251" s="80"/>
      <c r="OGX251" s="80"/>
      <c r="OGY251" s="80"/>
      <c r="OGZ251" s="80"/>
      <c r="OHA251" s="80"/>
      <c r="OHB251" s="80"/>
      <c r="OHC251" s="80"/>
      <c r="OHD251" s="80"/>
      <c r="OHE251" s="80"/>
      <c r="OHF251" s="80"/>
      <c r="OHG251" s="80"/>
      <c r="OHH251" s="80"/>
      <c r="OHI251" s="80"/>
      <c r="OHJ251" s="80"/>
      <c r="OHK251" s="80"/>
      <c r="OHL251" s="80"/>
      <c r="OHM251" s="80"/>
      <c r="OHN251" s="80"/>
      <c r="OHO251" s="80"/>
      <c r="OHP251" s="80"/>
      <c r="OHQ251" s="80"/>
      <c r="OHR251" s="80"/>
      <c r="OHS251" s="80"/>
      <c r="OHT251" s="80"/>
      <c r="OHU251" s="80"/>
      <c r="OHV251" s="80"/>
      <c r="OHW251" s="80"/>
      <c r="OHX251" s="80"/>
      <c r="OHY251" s="80"/>
      <c r="OHZ251" s="80"/>
      <c r="OIA251" s="80"/>
      <c r="OIB251" s="80"/>
      <c r="OIC251" s="80"/>
      <c r="OID251" s="80"/>
      <c r="OIE251" s="80"/>
      <c r="OIF251" s="80"/>
      <c r="OIG251" s="80"/>
      <c r="OIH251" s="80"/>
      <c r="OII251" s="80"/>
      <c r="OIJ251" s="80"/>
      <c r="OIK251" s="80"/>
      <c r="OIL251" s="80"/>
      <c r="OIM251" s="80"/>
      <c r="OIN251" s="80"/>
      <c r="OIO251" s="80"/>
      <c r="OIP251" s="80"/>
      <c r="OIQ251" s="80"/>
      <c r="OIR251" s="80"/>
      <c r="OIS251" s="80"/>
      <c r="OIT251" s="80"/>
      <c r="OIU251" s="80"/>
      <c r="OIV251" s="80"/>
      <c r="OIW251" s="80"/>
      <c r="OIX251" s="80"/>
      <c r="OIY251" s="80"/>
      <c r="OIZ251" s="80"/>
      <c r="OJA251" s="80"/>
      <c r="OJB251" s="80"/>
      <c r="OJC251" s="80"/>
      <c r="OJD251" s="80"/>
      <c r="OJE251" s="80"/>
      <c r="OJF251" s="80"/>
      <c r="OJG251" s="80"/>
      <c r="OJH251" s="80"/>
      <c r="OJI251" s="80"/>
      <c r="OJJ251" s="80"/>
      <c r="OJK251" s="80"/>
      <c r="OJL251" s="80"/>
      <c r="OJM251" s="80"/>
      <c r="OJN251" s="80"/>
      <c r="OJO251" s="80"/>
      <c r="OJP251" s="80"/>
      <c r="OJQ251" s="80"/>
      <c r="OJR251" s="80"/>
      <c r="OJS251" s="80"/>
      <c r="OJT251" s="80"/>
      <c r="OJU251" s="80"/>
      <c r="OJV251" s="80"/>
      <c r="OJW251" s="80"/>
      <c r="OJX251" s="80"/>
      <c r="OJY251" s="80"/>
      <c r="OJZ251" s="80"/>
      <c r="OKA251" s="80"/>
      <c r="OKB251" s="80"/>
      <c r="OKC251" s="80"/>
      <c r="OKD251" s="80"/>
      <c r="OKE251" s="80"/>
      <c r="OKF251" s="80"/>
      <c r="OKG251" s="80"/>
      <c r="OKH251" s="80"/>
      <c r="OKI251" s="80"/>
      <c r="OKJ251" s="80"/>
      <c r="OKK251" s="80"/>
      <c r="OKL251" s="80"/>
      <c r="OKM251" s="80"/>
      <c r="OKN251" s="80"/>
      <c r="OKO251" s="80"/>
      <c r="OKP251" s="80"/>
      <c r="OKQ251" s="80"/>
      <c r="OKR251" s="80"/>
      <c r="OKS251" s="80"/>
      <c r="OKT251" s="80"/>
      <c r="OKU251" s="80"/>
      <c r="OKV251" s="80"/>
      <c r="OKW251" s="80"/>
      <c r="OKX251" s="80"/>
      <c r="OKY251" s="80"/>
      <c r="OKZ251" s="80"/>
      <c r="OLA251" s="80"/>
      <c r="OLB251" s="80"/>
      <c r="OLC251" s="80"/>
      <c r="OLD251" s="80"/>
      <c r="OLE251" s="80"/>
      <c r="OLF251" s="80"/>
      <c r="OLG251" s="80"/>
      <c r="OLH251" s="80"/>
      <c r="OLI251" s="80"/>
      <c r="OLJ251" s="80"/>
      <c r="OLK251" s="80"/>
      <c r="OLL251" s="80"/>
      <c r="OLM251" s="80"/>
      <c r="OLN251" s="80"/>
      <c r="OLO251" s="80"/>
      <c r="OLP251" s="80"/>
      <c r="OLQ251" s="80"/>
      <c r="OLR251" s="80"/>
      <c r="OLS251" s="80"/>
      <c r="OLT251" s="80"/>
      <c r="OLU251" s="80"/>
      <c r="OLV251" s="80"/>
      <c r="OLW251" s="80"/>
      <c r="OLX251" s="80"/>
      <c r="OLY251" s="80"/>
      <c r="OLZ251" s="80"/>
      <c r="OMA251" s="80"/>
      <c r="OMB251" s="80"/>
      <c r="OMC251" s="80"/>
      <c r="OMD251" s="80"/>
      <c r="OME251" s="80"/>
      <c r="OMF251" s="80"/>
      <c r="OMG251" s="80"/>
      <c r="OMH251" s="80"/>
      <c r="OMI251" s="80"/>
      <c r="OMJ251" s="80"/>
      <c r="OMK251" s="80"/>
      <c r="OML251" s="80"/>
      <c r="OMM251" s="80"/>
      <c r="OMN251" s="80"/>
      <c r="OMO251" s="80"/>
      <c r="OMP251" s="80"/>
      <c r="OMQ251" s="80"/>
      <c r="OMR251" s="80"/>
      <c r="OMS251" s="80"/>
      <c r="OMT251" s="80"/>
      <c r="OMU251" s="80"/>
      <c r="OMV251" s="80"/>
      <c r="OMW251" s="80"/>
      <c r="OMX251" s="80"/>
      <c r="OMY251" s="80"/>
      <c r="OMZ251" s="80"/>
      <c r="ONA251" s="80"/>
      <c r="ONB251" s="80"/>
      <c r="ONC251" s="80"/>
      <c r="OND251" s="80"/>
      <c r="ONE251" s="80"/>
      <c r="ONF251" s="80"/>
      <c r="ONG251" s="80"/>
      <c r="ONH251" s="80"/>
      <c r="ONI251" s="80"/>
      <c r="ONJ251" s="80"/>
      <c r="ONK251" s="80"/>
      <c r="ONL251" s="80"/>
      <c r="ONM251" s="80"/>
      <c r="ONN251" s="80"/>
      <c r="ONO251" s="80"/>
      <c r="ONP251" s="80"/>
      <c r="ONQ251" s="80"/>
      <c r="ONR251" s="80"/>
      <c r="ONS251" s="80"/>
      <c r="ONT251" s="80"/>
      <c r="ONU251" s="80"/>
      <c r="ONV251" s="80"/>
      <c r="ONW251" s="80"/>
      <c r="ONX251" s="80"/>
      <c r="ONY251" s="80"/>
      <c r="ONZ251" s="80"/>
      <c r="OOA251" s="80"/>
      <c r="OOB251" s="80"/>
      <c r="OOC251" s="80"/>
      <c r="OOD251" s="80"/>
      <c r="OOE251" s="80"/>
      <c r="OOF251" s="80"/>
      <c r="OOG251" s="80"/>
      <c r="OOH251" s="80"/>
      <c r="OOI251" s="80"/>
      <c r="OOJ251" s="80"/>
      <c r="OOK251" s="80"/>
      <c r="OOL251" s="80"/>
      <c r="OOM251" s="80"/>
      <c r="OON251" s="80"/>
      <c r="OOO251" s="80"/>
      <c r="OOP251" s="80"/>
      <c r="OOQ251" s="80"/>
      <c r="OOR251" s="80"/>
      <c r="OOS251" s="80"/>
      <c r="OOT251" s="80"/>
      <c r="OOU251" s="80"/>
      <c r="OOV251" s="80"/>
      <c r="OOW251" s="80"/>
      <c r="OOX251" s="80"/>
      <c r="OOY251" s="80"/>
      <c r="OOZ251" s="80"/>
      <c r="OPA251" s="80"/>
      <c r="OPB251" s="80"/>
      <c r="OPC251" s="80"/>
      <c r="OPD251" s="80"/>
      <c r="OPE251" s="80"/>
      <c r="OPF251" s="80"/>
      <c r="OPG251" s="80"/>
      <c r="OPH251" s="80"/>
      <c r="OPI251" s="80"/>
      <c r="OPJ251" s="80"/>
      <c r="OPK251" s="80"/>
      <c r="OPL251" s="80"/>
      <c r="OPM251" s="80"/>
      <c r="OPN251" s="80"/>
      <c r="OPO251" s="80"/>
      <c r="OPP251" s="80"/>
      <c r="OPQ251" s="80"/>
      <c r="OPR251" s="80"/>
      <c r="OPS251" s="80"/>
      <c r="OPT251" s="80"/>
      <c r="OPU251" s="80"/>
      <c r="OPV251" s="80"/>
      <c r="OPW251" s="80"/>
      <c r="OPX251" s="80"/>
      <c r="OPY251" s="80"/>
      <c r="OPZ251" s="80"/>
      <c r="OQA251" s="80"/>
      <c r="OQB251" s="80"/>
      <c r="OQC251" s="80"/>
      <c r="OQD251" s="80"/>
      <c r="OQE251" s="80"/>
      <c r="OQF251" s="80"/>
      <c r="OQG251" s="80"/>
      <c r="OQH251" s="80"/>
      <c r="OQI251" s="80"/>
      <c r="OQJ251" s="80"/>
      <c r="OQK251" s="80"/>
      <c r="OQL251" s="80"/>
      <c r="OQM251" s="80"/>
      <c r="OQN251" s="80"/>
      <c r="OQO251" s="80"/>
      <c r="OQP251" s="80"/>
      <c r="OQQ251" s="80"/>
      <c r="OQR251" s="80"/>
      <c r="OQS251" s="80"/>
      <c r="OQT251" s="80"/>
      <c r="OQU251" s="80"/>
      <c r="OQV251" s="80"/>
      <c r="OQW251" s="80"/>
      <c r="OQX251" s="80"/>
      <c r="OQY251" s="80"/>
      <c r="OQZ251" s="80"/>
      <c r="ORA251" s="80"/>
      <c r="ORB251" s="80"/>
      <c r="ORC251" s="80"/>
      <c r="ORD251" s="80"/>
      <c r="ORE251" s="80"/>
      <c r="ORF251" s="80"/>
      <c r="ORG251" s="80"/>
      <c r="ORH251" s="80"/>
      <c r="ORI251" s="80"/>
      <c r="ORJ251" s="80"/>
      <c r="ORK251" s="80"/>
      <c r="ORL251" s="80"/>
      <c r="ORM251" s="80"/>
      <c r="ORN251" s="80"/>
      <c r="ORO251" s="80"/>
      <c r="ORP251" s="80"/>
      <c r="ORQ251" s="80"/>
      <c r="ORR251" s="80"/>
      <c r="ORS251" s="80"/>
      <c r="ORT251" s="80"/>
      <c r="ORU251" s="80"/>
      <c r="ORV251" s="80"/>
      <c r="ORW251" s="80"/>
      <c r="ORX251" s="80"/>
      <c r="ORY251" s="80"/>
      <c r="ORZ251" s="80"/>
      <c r="OSA251" s="80"/>
      <c r="OSB251" s="80"/>
      <c r="OSC251" s="80"/>
      <c r="OSD251" s="80"/>
      <c r="OSE251" s="80"/>
      <c r="OSF251" s="80"/>
      <c r="OSG251" s="80"/>
      <c r="OSH251" s="80"/>
      <c r="OSI251" s="80"/>
      <c r="OSJ251" s="80"/>
      <c r="OSK251" s="80"/>
      <c r="OSL251" s="80"/>
      <c r="OSM251" s="80"/>
      <c r="OSN251" s="80"/>
      <c r="OSO251" s="80"/>
      <c r="OSP251" s="80"/>
      <c r="OSQ251" s="80"/>
      <c r="OSR251" s="80"/>
      <c r="OSS251" s="80"/>
      <c r="OST251" s="80"/>
      <c r="OSU251" s="80"/>
      <c r="OSV251" s="80"/>
      <c r="OSW251" s="80"/>
      <c r="OSX251" s="80"/>
      <c r="OSY251" s="80"/>
      <c r="OSZ251" s="80"/>
      <c r="OTA251" s="80"/>
      <c r="OTB251" s="80"/>
      <c r="OTC251" s="80"/>
      <c r="OTD251" s="80"/>
      <c r="OTE251" s="80"/>
      <c r="OTF251" s="80"/>
      <c r="OTG251" s="80"/>
      <c r="OTH251" s="80"/>
      <c r="OTI251" s="80"/>
      <c r="OTJ251" s="80"/>
      <c r="OTK251" s="80"/>
      <c r="OTL251" s="80"/>
      <c r="OTM251" s="80"/>
      <c r="OTN251" s="80"/>
      <c r="OTO251" s="80"/>
      <c r="OTP251" s="80"/>
      <c r="OTQ251" s="80"/>
      <c r="OTR251" s="80"/>
      <c r="OTS251" s="80"/>
      <c r="OTT251" s="80"/>
      <c r="OTU251" s="80"/>
      <c r="OTV251" s="80"/>
      <c r="OTW251" s="80"/>
      <c r="OTX251" s="80"/>
      <c r="OTY251" s="80"/>
      <c r="OTZ251" s="80"/>
      <c r="OUA251" s="80"/>
      <c r="OUB251" s="80"/>
      <c r="OUC251" s="80"/>
      <c r="OUD251" s="80"/>
      <c r="OUE251" s="80"/>
      <c r="OUF251" s="80"/>
      <c r="OUG251" s="80"/>
      <c r="OUH251" s="80"/>
      <c r="OUI251" s="80"/>
      <c r="OUJ251" s="80"/>
      <c r="OUK251" s="80"/>
      <c r="OUL251" s="80"/>
      <c r="OUM251" s="80"/>
      <c r="OUN251" s="80"/>
      <c r="OUO251" s="80"/>
      <c r="OUP251" s="80"/>
      <c r="OUQ251" s="80"/>
      <c r="OUR251" s="80"/>
      <c r="OUS251" s="80"/>
      <c r="OUT251" s="80"/>
      <c r="OUU251" s="80"/>
      <c r="OUV251" s="80"/>
      <c r="OUW251" s="80"/>
      <c r="OUX251" s="80"/>
      <c r="OUY251" s="80"/>
      <c r="OUZ251" s="80"/>
      <c r="OVA251" s="80"/>
      <c r="OVB251" s="80"/>
      <c r="OVC251" s="80"/>
      <c r="OVD251" s="80"/>
      <c r="OVE251" s="80"/>
      <c r="OVF251" s="80"/>
      <c r="OVG251" s="80"/>
      <c r="OVH251" s="80"/>
      <c r="OVI251" s="80"/>
      <c r="OVJ251" s="80"/>
      <c r="OVK251" s="80"/>
      <c r="OVL251" s="80"/>
      <c r="OVM251" s="80"/>
      <c r="OVN251" s="80"/>
      <c r="OVO251" s="80"/>
      <c r="OVP251" s="80"/>
      <c r="OVQ251" s="80"/>
      <c r="OVR251" s="80"/>
      <c r="OVS251" s="80"/>
      <c r="OVT251" s="80"/>
      <c r="OVU251" s="80"/>
      <c r="OVV251" s="80"/>
      <c r="OVW251" s="80"/>
      <c r="OVX251" s="80"/>
      <c r="OVY251" s="80"/>
      <c r="OVZ251" s="80"/>
      <c r="OWA251" s="80"/>
      <c r="OWB251" s="80"/>
      <c r="OWC251" s="80"/>
      <c r="OWD251" s="80"/>
      <c r="OWE251" s="80"/>
      <c r="OWF251" s="80"/>
      <c r="OWG251" s="80"/>
      <c r="OWH251" s="80"/>
      <c r="OWI251" s="80"/>
      <c r="OWJ251" s="80"/>
      <c r="OWK251" s="80"/>
      <c r="OWL251" s="80"/>
      <c r="OWM251" s="80"/>
      <c r="OWN251" s="80"/>
      <c r="OWO251" s="80"/>
      <c r="OWP251" s="80"/>
      <c r="OWQ251" s="80"/>
      <c r="OWR251" s="80"/>
      <c r="OWS251" s="80"/>
      <c r="OWT251" s="80"/>
      <c r="OWU251" s="80"/>
      <c r="OWV251" s="80"/>
      <c r="OWW251" s="80"/>
      <c r="OWX251" s="80"/>
      <c r="OWY251" s="80"/>
      <c r="OWZ251" s="80"/>
      <c r="OXA251" s="80"/>
      <c r="OXB251" s="80"/>
      <c r="OXC251" s="80"/>
      <c r="OXD251" s="80"/>
      <c r="OXE251" s="80"/>
      <c r="OXF251" s="80"/>
      <c r="OXG251" s="80"/>
      <c r="OXH251" s="80"/>
      <c r="OXI251" s="80"/>
      <c r="OXJ251" s="80"/>
      <c r="OXK251" s="80"/>
      <c r="OXL251" s="80"/>
      <c r="OXM251" s="80"/>
      <c r="OXN251" s="80"/>
      <c r="OXO251" s="80"/>
      <c r="OXP251" s="80"/>
      <c r="OXQ251" s="80"/>
      <c r="OXR251" s="80"/>
      <c r="OXS251" s="80"/>
      <c r="OXT251" s="80"/>
      <c r="OXU251" s="80"/>
      <c r="OXV251" s="80"/>
      <c r="OXW251" s="80"/>
      <c r="OXX251" s="80"/>
      <c r="OXY251" s="80"/>
      <c r="OXZ251" s="80"/>
      <c r="OYA251" s="80"/>
      <c r="OYB251" s="80"/>
      <c r="OYC251" s="80"/>
      <c r="OYD251" s="80"/>
      <c r="OYE251" s="80"/>
      <c r="OYF251" s="80"/>
      <c r="OYG251" s="80"/>
      <c r="OYH251" s="80"/>
      <c r="OYI251" s="80"/>
      <c r="OYJ251" s="80"/>
      <c r="OYK251" s="80"/>
      <c r="OYL251" s="80"/>
      <c r="OYM251" s="80"/>
      <c r="OYN251" s="80"/>
      <c r="OYO251" s="80"/>
      <c r="OYP251" s="80"/>
      <c r="OYQ251" s="80"/>
      <c r="OYR251" s="80"/>
      <c r="OYS251" s="80"/>
      <c r="OYT251" s="80"/>
      <c r="OYU251" s="80"/>
      <c r="OYV251" s="80"/>
      <c r="OYW251" s="80"/>
      <c r="OYX251" s="80"/>
      <c r="OYY251" s="80"/>
      <c r="OYZ251" s="80"/>
      <c r="OZA251" s="80"/>
      <c r="OZB251" s="80"/>
      <c r="OZC251" s="80"/>
      <c r="OZD251" s="80"/>
      <c r="OZE251" s="80"/>
      <c r="OZF251" s="80"/>
      <c r="OZG251" s="80"/>
      <c r="OZH251" s="80"/>
      <c r="OZI251" s="80"/>
      <c r="OZJ251" s="80"/>
      <c r="OZK251" s="80"/>
      <c r="OZL251" s="80"/>
      <c r="OZM251" s="80"/>
      <c r="OZN251" s="80"/>
      <c r="OZO251" s="80"/>
      <c r="OZP251" s="80"/>
      <c r="OZQ251" s="80"/>
      <c r="OZR251" s="80"/>
      <c r="OZS251" s="80"/>
      <c r="OZT251" s="80"/>
      <c r="OZU251" s="80"/>
      <c r="OZV251" s="80"/>
      <c r="OZW251" s="80"/>
      <c r="OZX251" s="80"/>
      <c r="OZY251" s="80"/>
      <c r="OZZ251" s="80"/>
      <c r="PAA251" s="80"/>
      <c r="PAB251" s="80"/>
      <c r="PAC251" s="80"/>
      <c r="PAD251" s="80"/>
      <c r="PAE251" s="80"/>
      <c r="PAF251" s="80"/>
      <c r="PAG251" s="80"/>
      <c r="PAH251" s="80"/>
      <c r="PAI251" s="80"/>
      <c r="PAJ251" s="80"/>
      <c r="PAK251" s="80"/>
      <c r="PAL251" s="80"/>
      <c r="PAM251" s="80"/>
      <c r="PAN251" s="80"/>
      <c r="PAO251" s="80"/>
      <c r="PAP251" s="80"/>
      <c r="PAQ251" s="80"/>
      <c r="PAR251" s="80"/>
      <c r="PAS251" s="80"/>
      <c r="PAT251" s="80"/>
      <c r="PAU251" s="80"/>
      <c r="PAV251" s="80"/>
      <c r="PAW251" s="80"/>
      <c r="PAX251" s="80"/>
      <c r="PAY251" s="80"/>
      <c r="PAZ251" s="80"/>
      <c r="PBA251" s="80"/>
      <c r="PBB251" s="80"/>
      <c r="PBC251" s="80"/>
      <c r="PBD251" s="80"/>
      <c r="PBE251" s="80"/>
      <c r="PBF251" s="80"/>
      <c r="PBG251" s="80"/>
      <c r="PBH251" s="80"/>
      <c r="PBI251" s="80"/>
      <c r="PBJ251" s="80"/>
      <c r="PBK251" s="80"/>
      <c r="PBL251" s="80"/>
      <c r="PBM251" s="80"/>
      <c r="PBN251" s="80"/>
      <c r="PBO251" s="80"/>
      <c r="PBP251" s="80"/>
      <c r="PBQ251" s="80"/>
      <c r="PBR251" s="80"/>
      <c r="PBS251" s="80"/>
      <c r="PBT251" s="80"/>
      <c r="PBU251" s="80"/>
      <c r="PBV251" s="80"/>
      <c r="PBW251" s="80"/>
      <c r="PBX251" s="80"/>
      <c r="PBY251" s="80"/>
      <c r="PBZ251" s="80"/>
      <c r="PCA251" s="80"/>
      <c r="PCB251" s="80"/>
      <c r="PCC251" s="80"/>
      <c r="PCD251" s="80"/>
      <c r="PCE251" s="80"/>
      <c r="PCF251" s="80"/>
      <c r="PCG251" s="80"/>
      <c r="PCH251" s="80"/>
      <c r="PCI251" s="80"/>
      <c r="PCJ251" s="80"/>
      <c r="PCK251" s="80"/>
      <c r="PCL251" s="80"/>
      <c r="PCM251" s="80"/>
      <c r="PCN251" s="80"/>
      <c r="PCO251" s="80"/>
      <c r="PCP251" s="80"/>
      <c r="PCQ251" s="80"/>
      <c r="PCR251" s="80"/>
      <c r="PCS251" s="80"/>
      <c r="PCT251" s="80"/>
      <c r="PCU251" s="80"/>
      <c r="PCV251" s="80"/>
      <c r="PCW251" s="80"/>
      <c r="PCX251" s="80"/>
      <c r="PCY251" s="80"/>
      <c r="PCZ251" s="80"/>
      <c r="PDA251" s="80"/>
      <c r="PDB251" s="80"/>
      <c r="PDC251" s="80"/>
      <c r="PDD251" s="80"/>
      <c r="PDE251" s="80"/>
      <c r="PDF251" s="80"/>
      <c r="PDG251" s="80"/>
      <c r="PDH251" s="80"/>
      <c r="PDI251" s="80"/>
      <c r="PDJ251" s="80"/>
      <c r="PDK251" s="80"/>
      <c r="PDL251" s="80"/>
      <c r="PDM251" s="80"/>
      <c r="PDN251" s="80"/>
      <c r="PDO251" s="80"/>
      <c r="PDP251" s="80"/>
      <c r="PDQ251" s="80"/>
      <c r="PDR251" s="80"/>
      <c r="PDS251" s="80"/>
      <c r="PDT251" s="80"/>
      <c r="PDU251" s="80"/>
      <c r="PDV251" s="80"/>
      <c r="PDW251" s="80"/>
      <c r="PDX251" s="80"/>
      <c r="PDY251" s="80"/>
      <c r="PDZ251" s="80"/>
      <c r="PEA251" s="80"/>
      <c r="PEB251" s="80"/>
      <c r="PEC251" s="80"/>
      <c r="PED251" s="80"/>
      <c r="PEE251" s="80"/>
      <c r="PEF251" s="80"/>
      <c r="PEG251" s="80"/>
      <c r="PEH251" s="80"/>
      <c r="PEI251" s="80"/>
      <c r="PEJ251" s="80"/>
      <c r="PEK251" s="80"/>
      <c r="PEL251" s="80"/>
      <c r="PEM251" s="80"/>
      <c r="PEN251" s="80"/>
      <c r="PEO251" s="80"/>
      <c r="PEP251" s="80"/>
      <c r="PEQ251" s="80"/>
      <c r="PER251" s="80"/>
      <c r="PES251" s="80"/>
      <c r="PET251" s="80"/>
      <c r="PEU251" s="80"/>
      <c r="PEV251" s="80"/>
      <c r="PEW251" s="80"/>
      <c r="PEX251" s="80"/>
      <c r="PEY251" s="80"/>
      <c r="PEZ251" s="80"/>
      <c r="PFA251" s="80"/>
      <c r="PFB251" s="80"/>
      <c r="PFC251" s="80"/>
      <c r="PFD251" s="80"/>
      <c r="PFE251" s="80"/>
      <c r="PFF251" s="80"/>
      <c r="PFG251" s="80"/>
      <c r="PFH251" s="80"/>
      <c r="PFI251" s="80"/>
      <c r="PFJ251" s="80"/>
      <c r="PFK251" s="80"/>
      <c r="PFL251" s="80"/>
      <c r="PFM251" s="80"/>
      <c r="PFN251" s="80"/>
      <c r="PFO251" s="80"/>
      <c r="PFP251" s="80"/>
      <c r="PFQ251" s="80"/>
      <c r="PFR251" s="80"/>
      <c r="PFS251" s="80"/>
      <c r="PFT251" s="80"/>
      <c r="PFU251" s="80"/>
      <c r="PFV251" s="80"/>
      <c r="PFW251" s="80"/>
      <c r="PFX251" s="80"/>
      <c r="PFY251" s="80"/>
      <c r="PFZ251" s="80"/>
      <c r="PGA251" s="80"/>
      <c r="PGB251" s="80"/>
      <c r="PGC251" s="80"/>
      <c r="PGD251" s="80"/>
      <c r="PGE251" s="80"/>
      <c r="PGF251" s="80"/>
      <c r="PGG251" s="80"/>
      <c r="PGH251" s="80"/>
      <c r="PGI251" s="80"/>
      <c r="PGJ251" s="80"/>
      <c r="PGK251" s="80"/>
      <c r="PGL251" s="80"/>
      <c r="PGM251" s="80"/>
      <c r="PGN251" s="80"/>
      <c r="PGO251" s="80"/>
      <c r="PGP251" s="80"/>
      <c r="PGQ251" s="80"/>
      <c r="PGR251" s="80"/>
      <c r="PGS251" s="80"/>
      <c r="PGT251" s="80"/>
      <c r="PGU251" s="80"/>
      <c r="PGV251" s="80"/>
      <c r="PGW251" s="80"/>
      <c r="PGX251" s="80"/>
      <c r="PGY251" s="80"/>
      <c r="PGZ251" s="80"/>
      <c r="PHA251" s="80"/>
      <c r="PHB251" s="80"/>
      <c r="PHC251" s="80"/>
      <c r="PHD251" s="80"/>
      <c r="PHE251" s="80"/>
      <c r="PHF251" s="80"/>
      <c r="PHG251" s="80"/>
      <c r="PHH251" s="80"/>
      <c r="PHI251" s="80"/>
      <c r="PHJ251" s="80"/>
      <c r="PHK251" s="80"/>
      <c r="PHL251" s="80"/>
      <c r="PHM251" s="80"/>
      <c r="PHN251" s="80"/>
      <c r="PHO251" s="80"/>
      <c r="PHP251" s="80"/>
      <c r="PHQ251" s="80"/>
      <c r="PHR251" s="80"/>
      <c r="PHS251" s="80"/>
      <c r="PHT251" s="80"/>
      <c r="PHU251" s="80"/>
      <c r="PHV251" s="80"/>
      <c r="PHW251" s="80"/>
      <c r="PHX251" s="80"/>
      <c r="PHY251" s="80"/>
      <c r="PHZ251" s="80"/>
      <c r="PIA251" s="80"/>
      <c r="PIB251" s="80"/>
      <c r="PIC251" s="80"/>
      <c r="PID251" s="80"/>
      <c r="PIE251" s="80"/>
      <c r="PIF251" s="80"/>
      <c r="PIG251" s="80"/>
      <c r="PIH251" s="80"/>
      <c r="PII251" s="80"/>
      <c r="PIJ251" s="80"/>
      <c r="PIK251" s="80"/>
      <c r="PIL251" s="80"/>
      <c r="PIM251" s="80"/>
      <c r="PIN251" s="80"/>
      <c r="PIO251" s="80"/>
      <c r="PIP251" s="80"/>
      <c r="PIQ251" s="80"/>
      <c r="PIR251" s="80"/>
      <c r="PIS251" s="80"/>
      <c r="PIT251" s="80"/>
      <c r="PIU251" s="80"/>
      <c r="PIV251" s="80"/>
      <c r="PIW251" s="80"/>
      <c r="PIX251" s="80"/>
      <c r="PIY251" s="80"/>
      <c r="PIZ251" s="80"/>
      <c r="PJA251" s="80"/>
      <c r="PJB251" s="80"/>
      <c r="PJC251" s="80"/>
      <c r="PJD251" s="80"/>
      <c r="PJE251" s="80"/>
      <c r="PJF251" s="80"/>
      <c r="PJG251" s="80"/>
      <c r="PJH251" s="80"/>
      <c r="PJI251" s="80"/>
      <c r="PJJ251" s="80"/>
      <c r="PJK251" s="80"/>
      <c r="PJL251" s="80"/>
      <c r="PJM251" s="80"/>
      <c r="PJN251" s="80"/>
      <c r="PJO251" s="80"/>
      <c r="PJP251" s="80"/>
      <c r="PJQ251" s="80"/>
      <c r="PJR251" s="80"/>
      <c r="PJS251" s="80"/>
      <c r="PJT251" s="80"/>
      <c r="PJU251" s="80"/>
      <c r="PJV251" s="80"/>
      <c r="PJW251" s="80"/>
      <c r="PJX251" s="80"/>
      <c r="PJY251" s="80"/>
      <c r="PJZ251" s="80"/>
      <c r="PKA251" s="80"/>
      <c r="PKB251" s="80"/>
      <c r="PKC251" s="80"/>
      <c r="PKD251" s="80"/>
      <c r="PKE251" s="80"/>
      <c r="PKF251" s="80"/>
      <c r="PKG251" s="80"/>
      <c r="PKH251" s="80"/>
      <c r="PKI251" s="80"/>
      <c r="PKJ251" s="80"/>
      <c r="PKK251" s="80"/>
      <c r="PKL251" s="80"/>
      <c r="PKM251" s="80"/>
      <c r="PKN251" s="80"/>
      <c r="PKO251" s="80"/>
      <c r="PKP251" s="80"/>
      <c r="PKQ251" s="80"/>
      <c r="PKR251" s="80"/>
      <c r="PKS251" s="80"/>
      <c r="PKT251" s="80"/>
      <c r="PKU251" s="80"/>
      <c r="PKV251" s="80"/>
      <c r="PKW251" s="80"/>
      <c r="PKX251" s="80"/>
      <c r="PKY251" s="80"/>
      <c r="PKZ251" s="80"/>
      <c r="PLA251" s="80"/>
      <c r="PLB251" s="80"/>
      <c r="PLC251" s="80"/>
      <c r="PLD251" s="80"/>
      <c r="PLE251" s="80"/>
      <c r="PLF251" s="80"/>
      <c r="PLG251" s="80"/>
      <c r="PLH251" s="80"/>
      <c r="PLI251" s="80"/>
      <c r="PLJ251" s="80"/>
      <c r="PLK251" s="80"/>
      <c r="PLL251" s="80"/>
      <c r="PLM251" s="80"/>
      <c r="PLN251" s="80"/>
      <c r="PLO251" s="80"/>
      <c r="PLP251" s="80"/>
      <c r="PLQ251" s="80"/>
      <c r="PLR251" s="80"/>
      <c r="PLS251" s="80"/>
      <c r="PLT251" s="80"/>
      <c r="PLU251" s="80"/>
      <c r="PLV251" s="80"/>
      <c r="PLW251" s="80"/>
      <c r="PLX251" s="80"/>
      <c r="PLY251" s="80"/>
      <c r="PLZ251" s="80"/>
      <c r="PMA251" s="80"/>
      <c r="PMB251" s="80"/>
      <c r="PMC251" s="80"/>
      <c r="PMD251" s="80"/>
      <c r="PME251" s="80"/>
      <c r="PMF251" s="80"/>
      <c r="PMG251" s="80"/>
      <c r="PMH251" s="80"/>
      <c r="PMI251" s="80"/>
      <c r="PMJ251" s="80"/>
      <c r="PMK251" s="80"/>
      <c r="PML251" s="80"/>
      <c r="PMM251" s="80"/>
      <c r="PMN251" s="80"/>
      <c r="PMO251" s="80"/>
      <c r="PMP251" s="80"/>
      <c r="PMQ251" s="80"/>
      <c r="PMR251" s="80"/>
      <c r="PMS251" s="80"/>
      <c r="PMT251" s="80"/>
      <c r="PMU251" s="80"/>
      <c r="PMV251" s="80"/>
      <c r="PMW251" s="80"/>
      <c r="PMX251" s="80"/>
      <c r="PMY251" s="80"/>
      <c r="PMZ251" s="80"/>
      <c r="PNA251" s="80"/>
      <c r="PNB251" s="80"/>
      <c r="PNC251" s="80"/>
      <c r="PND251" s="80"/>
      <c r="PNE251" s="80"/>
      <c r="PNF251" s="80"/>
      <c r="PNG251" s="80"/>
      <c r="PNH251" s="80"/>
      <c r="PNI251" s="80"/>
      <c r="PNJ251" s="80"/>
      <c r="PNK251" s="80"/>
      <c r="PNL251" s="80"/>
      <c r="PNM251" s="80"/>
      <c r="PNN251" s="80"/>
      <c r="PNO251" s="80"/>
      <c r="PNP251" s="80"/>
      <c r="PNQ251" s="80"/>
      <c r="PNR251" s="80"/>
      <c r="PNS251" s="80"/>
      <c r="PNT251" s="80"/>
      <c r="PNU251" s="80"/>
      <c r="PNV251" s="80"/>
      <c r="PNW251" s="80"/>
      <c r="PNX251" s="80"/>
      <c r="PNY251" s="80"/>
      <c r="PNZ251" s="80"/>
      <c r="POA251" s="80"/>
      <c r="POB251" s="80"/>
      <c r="POC251" s="80"/>
      <c r="POD251" s="80"/>
      <c r="POE251" s="80"/>
      <c r="POF251" s="80"/>
      <c r="POG251" s="80"/>
      <c r="POH251" s="80"/>
      <c r="POI251" s="80"/>
      <c r="POJ251" s="80"/>
      <c r="POK251" s="80"/>
      <c r="POL251" s="80"/>
      <c r="POM251" s="80"/>
      <c r="PON251" s="80"/>
      <c r="POO251" s="80"/>
      <c r="POP251" s="80"/>
      <c r="POQ251" s="80"/>
      <c r="POR251" s="80"/>
      <c r="POS251" s="80"/>
      <c r="POT251" s="80"/>
      <c r="POU251" s="80"/>
      <c r="POV251" s="80"/>
      <c r="POW251" s="80"/>
      <c r="POX251" s="80"/>
      <c r="POY251" s="80"/>
      <c r="POZ251" s="80"/>
      <c r="PPA251" s="80"/>
      <c r="PPB251" s="80"/>
      <c r="PPC251" s="80"/>
      <c r="PPD251" s="80"/>
      <c r="PPE251" s="80"/>
      <c r="PPF251" s="80"/>
      <c r="PPG251" s="80"/>
      <c r="PPH251" s="80"/>
      <c r="PPI251" s="80"/>
      <c r="PPJ251" s="80"/>
      <c r="PPK251" s="80"/>
      <c r="PPL251" s="80"/>
      <c r="PPM251" s="80"/>
      <c r="PPN251" s="80"/>
      <c r="PPO251" s="80"/>
      <c r="PPP251" s="80"/>
      <c r="PPQ251" s="80"/>
      <c r="PPR251" s="80"/>
      <c r="PPS251" s="80"/>
      <c r="PPT251" s="80"/>
      <c r="PPU251" s="80"/>
      <c r="PPV251" s="80"/>
      <c r="PPW251" s="80"/>
      <c r="PPX251" s="80"/>
      <c r="PPY251" s="80"/>
      <c r="PPZ251" s="80"/>
      <c r="PQA251" s="80"/>
      <c r="PQB251" s="80"/>
      <c r="PQC251" s="80"/>
      <c r="PQD251" s="80"/>
      <c r="PQE251" s="80"/>
      <c r="PQF251" s="80"/>
      <c r="PQG251" s="80"/>
      <c r="PQH251" s="80"/>
      <c r="PQI251" s="80"/>
      <c r="PQJ251" s="80"/>
      <c r="PQK251" s="80"/>
      <c r="PQL251" s="80"/>
      <c r="PQM251" s="80"/>
      <c r="PQN251" s="80"/>
      <c r="PQO251" s="80"/>
      <c r="PQP251" s="80"/>
      <c r="PQQ251" s="80"/>
      <c r="PQR251" s="80"/>
      <c r="PQS251" s="80"/>
      <c r="PQT251" s="80"/>
      <c r="PQU251" s="80"/>
      <c r="PQV251" s="80"/>
      <c r="PQW251" s="80"/>
      <c r="PQX251" s="80"/>
      <c r="PQY251" s="80"/>
      <c r="PQZ251" s="80"/>
      <c r="PRA251" s="80"/>
      <c r="PRB251" s="80"/>
      <c r="PRC251" s="80"/>
      <c r="PRD251" s="80"/>
      <c r="PRE251" s="80"/>
      <c r="PRF251" s="80"/>
      <c r="PRG251" s="80"/>
      <c r="PRH251" s="80"/>
      <c r="PRI251" s="80"/>
      <c r="PRJ251" s="80"/>
      <c r="PRK251" s="80"/>
      <c r="PRL251" s="80"/>
      <c r="PRM251" s="80"/>
      <c r="PRN251" s="80"/>
      <c r="PRO251" s="80"/>
      <c r="PRP251" s="80"/>
      <c r="PRQ251" s="80"/>
      <c r="PRR251" s="80"/>
      <c r="PRS251" s="80"/>
      <c r="PRT251" s="80"/>
      <c r="PRU251" s="80"/>
      <c r="PRV251" s="80"/>
      <c r="PRW251" s="80"/>
      <c r="PRX251" s="80"/>
      <c r="PRY251" s="80"/>
      <c r="PRZ251" s="80"/>
      <c r="PSA251" s="80"/>
      <c r="PSB251" s="80"/>
      <c r="PSC251" s="80"/>
      <c r="PSD251" s="80"/>
      <c r="PSE251" s="80"/>
      <c r="PSF251" s="80"/>
      <c r="PSG251" s="80"/>
      <c r="PSH251" s="80"/>
      <c r="PSI251" s="80"/>
      <c r="PSJ251" s="80"/>
      <c r="PSK251" s="80"/>
      <c r="PSL251" s="80"/>
      <c r="PSM251" s="80"/>
      <c r="PSN251" s="80"/>
      <c r="PSO251" s="80"/>
      <c r="PSP251" s="80"/>
      <c r="PSQ251" s="80"/>
      <c r="PSR251" s="80"/>
      <c r="PSS251" s="80"/>
      <c r="PST251" s="80"/>
      <c r="PSU251" s="80"/>
      <c r="PSV251" s="80"/>
      <c r="PSW251" s="80"/>
      <c r="PSX251" s="80"/>
      <c r="PSY251" s="80"/>
      <c r="PSZ251" s="80"/>
      <c r="PTA251" s="80"/>
      <c r="PTB251" s="80"/>
      <c r="PTC251" s="80"/>
      <c r="PTD251" s="80"/>
      <c r="PTE251" s="80"/>
      <c r="PTF251" s="80"/>
      <c r="PTG251" s="80"/>
      <c r="PTH251" s="80"/>
      <c r="PTI251" s="80"/>
      <c r="PTJ251" s="80"/>
      <c r="PTK251" s="80"/>
      <c r="PTL251" s="80"/>
      <c r="PTM251" s="80"/>
      <c r="PTN251" s="80"/>
      <c r="PTO251" s="80"/>
      <c r="PTP251" s="80"/>
      <c r="PTQ251" s="80"/>
      <c r="PTR251" s="80"/>
      <c r="PTS251" s="80"/>
      <c r="PTT251" s="80"/>
      <c r="PTU251" s="80"/>
      <c r="PTV251" s="80"/>
      <c r="PTW251" s="80"/>
      <c r="PTX251" s="80"/>
      <c r="PTY251" s="80"/>
      <c r="PTZ251" s="80"/>
      <c r="PUA251" s="80"/>
      <c r="PUB251" s="80"/>
      <c r="PUC251" s="80"/>
      <c r="PUD251" s="80"/>
      <c r="PUE251" s="80"/>
      <c r="PUF251" s="80"/>
      <c r="PUG251" s="80"/>
      <c r="PUH251" s="80"/>
      <c r="PUI251" s="80"/>
      <c r="PUJ251" s="80"/>
      <c r="PUK251" s="80"/>
      <c r="PUL251" s="80"/>
      <c r="PUM251" s="80"/>
      <c r="PUN251" s="80"/>
      <c r="PUO251" s="80"/>
      <c r="PUP251" s="80"/>
      <c r="PUQ251" s="80"/>
      <c r="PUR251" s="80"/>
      <c r="PUS251" s="80"/>
      <c r="PUT251" s="80"/>
      <c r="PUU251" s="80"/>
      <c r="PUV251" s="80"/>
      <c r="PUW251" s="80"/>
      <c r="PUX251" s="80"/>
      <c r="PUY251" s="80"/>
      <c r="PUZ251" s="80"/>
      <c r="PVA251" s="80"/>
      <c r="PVB251" s="80"/>
      <c r="PVC251" s="80"/>
      <c r="PVD251" s="80"/>
      <c r="PVE251" s="80"/>
      <c r="PVF251" s="80"/>
      <c r="PVG251" s="80"/>
      <c r="PVH251" s="80"/>
      <c r="PVI251" s="80"/>
      <c r="PVJ251" s="80"/>
      <c r="PVK251" s="80"/>
      <c r="PVL251" s="80"/>
      <c r="PVM251" s="80"/>
      <c r="PVN251" s="80"/>
      <c r="PVO251" s="80"/>
      <c r="PVP251" s="80"/>
      <c r="PVQ251" s="80"/>
      <c r="PVR251" s="80"/>
      <c r="PVS251" s="80"/>
      <c r="PVT251" s="80"/>
      <c r="PVU251" s="80"/>
      <c r="PVV251" s="80"/>
      <c r="PVW251" s="80"/>
      <c r="PVX251" s="80"/>
      <c r="PVY251" s="80"/>
      <c r="PVZ251" s="80"/>
      <c r="PWA251" s="80"/>
      <c r="PWB251" s="80"/>
      <c r="PWC251" s="80"/>
      <c r="PWD251" s="80"/>
      <c r="PWE251" s="80"/>
      <c r="PWF251" s="80"/>
      <c r="PWG251" s="80"/>
      <c r="PWH251" s="80"/>
      <c r="PWI251" s="80"/>
      <c r="PWJ251" s="80"/>
      <c r="PWK251" s="80"/>
      <c r="PWL251" s="80"/>
      <c r="PWM251" s="80"/>
      <c r="PWN251" s="80"/>
      <c r="PWO251" s="80"/>
      <c r="PWP251" s="80"/>
      <c r="PWQ251" s="80"/>
      <c r="PWR251" s="80"/>
      <c r="PWS251" s="80"/>
      <c r="PWT251" s="80"/>
      <c r="PWU251" s="80"/>
      <c r="PWV251" s="80"/>
      <c r="PWW251" s="80"/>
      <c r="PWX251" s="80"/>
      <c r="PWY251" s="80"/>
      <c r="PWZ251" s="80"/>
      <c r="PXA251" s="80"/>
      <c r="PXB251" s="80"/>
      <c r="PXC251" s="80"/>
      <c r="PXD251" s="80"/>
      <c r="PXE251" s="80"/>
      <c r="PXF251" s="80"/>
      <c r="PXG251" s="80"/>
      <c r="PXH251" s="80"/>
      <c r="PXI251" s="80"/>
      <c r="PXJ251" s="80"/>
      <c r="PXK251" s="80"/>
      <c r="PXL251" s="80"/>
      <c r="PXM251" s="80"/>
      <c r="PXN251" s="80"/>
      <c r="PXO251" s="80"/>
      <c r="PXP251" s="80"/>
      <c r="PXQ251" s="80"/>
      <c r="PXR251" s="80"/>
      <c r="PXS251" s="80"/>
      <c r="PXT251" s="80"/>
      <c r="PXU251" s="80"/>
      <c r="PXV251" s="80"/>
      <c r="PXW251" s="80"/>
      <c r="PXX251" s="80"/>
      <c r="PXY251" s="80"/>
      <c r="PXZ251" s="80"/>
      <c r="PYA251" s="80"/>
      <c r="PYB251" s="80"/>
      <c r="PYC251" s="80"/>
      <c r="PYD251" s="80"/>
      <c r="PYE251" s="80"/>
      <c r="PYF251" s="80"/>
      <c r="PYG251" s="80"/>
      <c r="PYH251" s="80"/>
      <c r="PYI251" s="80"/>
      <c r="PYJ251" s="80"/>
      <c r="PYK251" s="80"/>
      <c r="PYL251" s="80"/>
      <c r="PYM251" s="80"/>
      <c r="PYN251" s="80"/>
      <c r="PYO251" s="80"/>
      <c r="PYP251" s="80"/>
      <c r="PYQ251" s="80"/>
      <c r="PYR251" s="80"/>
      <c r="PYS251" s="80"/>
      <c r="PYT251" s="80"/>
      <c r="PYU251" s="80"/>
      <c r="PYV251" s="80"/>
      <c r="PYW251" s="80"/>
      <c r="PYX251" s="80"/>
      <c r="PYY251" s="80"/>
      <c r="PYZ251" s="80"/>
      <c r="PZA251" s="80"/>
      <c r="PZB251" s="80"/>
      <c r="PZC251" s="80"/>
      <c r="PZD251" s="80"/>
      <c r="PZE251" s="80"/>
      <c r="PZF251" s="80"/>
      <c r="PZG251" s="80"/>
      <c r="PZH251" s="80"/>
      <c r="PZI251" s="80"/>
      <c r="PZJ251" s="80"/>
      <c r="PZK251" s="80"/>
      <c r="PZL251" s="80"/>
      <c r="PZM251" s="80"/>
      <c r="PZN251" s="80"/>
      <c r="PZO251" s="80"/>
      <c r="PZP251" s="80"/>
      <c r="PZQ251" s="80"/>
      <c r="PZR251" s="80"/>
      <c r="PZS251" s="80"/>
      <c r="PZT251" s="80"/>
      <c r="PZU251" s="80"/>
      <c r="PZV251" s="80"/>
      <c r="PZW251" s="80"/>
      <c r="PZX251" s="80"/>
      <c r="PZY251" s="80"/>
      <c r="PZZ251" s="80"/>
      <c r="QAA251" s="80"/>
      <c r="QAB251" s="80"/>
      <c r="QAC251" s="80"/>
      <c r="QAD251" s="80"/>
      <c r="QAE251" s="80"/>
      <c r="QAF251" s="80"/>
      <c r="QAG251" s="80"/>
      <c r="QAH251" s="80"/>
      <c r="QAI251" s="80"/>
      <c r="QAJ251" s="80"/>
      <c r="QAK251" s="80"/>
      <c r="QAL251" s="80"/>
      <c r="QAM251" s="80"/>
      <c r="QAN251" s="80"/>
      <c r="QAO251" s="80"/>
      <c r="QAP251" s="80"/>
      <c r="QAQ251" s="80"/>
      <c r="QAR251" s="80"/>
      <c r="QAS251" s="80"/>
      <c r="QAT251" s="80"/>
      <c r="QAU251" s="80"/>
      <c r="QAV251" s="80"/>
      <c r="QAW251" s="80"/>
      <c r="QAX251" s="80"/>
      <c r="QAY251" s="80"/>
      <c r="QAZ251" s="80"/>
      <c r="QBA251" s="80"/>
      <c r="QBB251" s="80"/>
      <c r="QBC251" s="80"/>
      <c r="QBD251" s="80"/>
      <c r="QBE251" s="80"/>
      <c r="QBF251" s="80"/>
      <c r="QBG251" s="80"/>
      <c r="QBH251" s="80"/>
      <c r="QBI251" s="80"/>
      <c r="QBJ251" s="80"/>
      <c r="QBK251" s="80"/>
      <c r="QBL251" s="80"/>
      <c r="QBM251" s="80"/>
      <c r="QBN251" s="80"/>
      <c r="QBO251" s="80"/>
      <c r="QBP251" s="80"/>
      <c r="QBQ251" s="80"/>
      <c r="QBR251" s="80"/>
      <c r="QBS251" s="80"/>
      <c r="QBT251" s="80"/>
      <c r="QBU251" s="80"/>
      <c r="QBV251" s="80"/>
      <c r="QBW251" s="80"/>
      <c r="QBX251" s="80"/>
      <c r="QBY251" s="80"/>
      <c r="QBZ251" s="80"/>
      <c r="QCA251" s="80"/>
      <c r="QCB251" s="80"/>
      <c r="QCC251" s="80"/>
      <c r="QCD251" s="80"/>
      <c r="QCE251" s="80"/>
      <c r="QCF251" s="80"/>
      <c r="QCG251" s="80"/>
      <c r="QCH251" s="80"/>
      <c r="QCI251" s="80"/>
      <c r="QCJ251" s="80"/>
      <c r="QCK251" s="80"/>
      <c r="QCL251" s="80"/>
      <c r="QCM251" s="80"/>
      <c r="QCN251" s="80"/>
      <c r="QCO251" s="80"/>
      <c r="QCP251" s="80"/>
      <c r="QCQ251" s="80"/>
      <c r="QCR251" s="80"/>
      <c r="QCS251" s="80"/>
      <c r="QCT251" s="80"/>
      <c r="QCU251" s="80"/>
      <c r="QCV251" s="80"/>
      <c r="QCW251" s="80"/>
      <c r="QCX251" s="80"/>
      <c r="QCY251" s="80"/>
      <c r="QCZ251" s="80"/>
      <c r="QDA251" s="80"/>
      <c r="QDB251" s="80"/>
      <c r="QDC251" s="80"/>
      <c r="QDD251" s="80"/>
      <c r="QDE251" s="80"/>
      <c r="QDF251" s="80"/>
      <c r="QDG251" s="80"/>
      <c r="QDH251" s="80"/>
      <c r="QDI251" s="80"/>
      <c r="QDJ251" s="80"/>
      <c r="QDK251" s="80"/>
      <c r="QDL251" s="80"/>
      <c r="QDM251" s="80"/>
      <c r="QDN251" s="80"/>
      <c r="QDO251" s="80"/>
      <c r="QDP251" s="80"/>
      <c r="QDQ251" s="80"/>
      <c r="QDR251" s="80"/>
      <c r="QDS251" s="80"/>
      <c r="QDT251" s="80"/>
      <c r="QDU251" s="80"/>
      <c r="QDV251" s="80"/>
      <c r="QDW251" s="80"/>
      <c r="QDX251" s="80"/>
      <c r="QDY251" s="80"/>
      <c r="QDZ251" s="80"/>
      <c r="QEA251" s="80"/>
      <c r="QEB251" s="80"/>
      <c r="QEC251" s="80"/>
      <c r="QED251" s="80"/>
      <c r="QEE251" s="80"/>
      <c r="QEF251" s="80"/>
      <c r="QEG251" s="80"/>
      <c r="QEH251" s="80"/>
      <c r="QEI251" s="80"/>
      <c r="QEJ251" s="80"/>
      <c r="QEK251" s="80"/>
      <c r="QEL251" s="80"/>
      <c r="QEM251" s="80"/>
      <c r="QEN251" s="80"/>
      <c r="QEO251" s="80"/>
      <c r="QEP251" s="80"/>
      <c r="QEQ251" s="80"/>
      <c r="QER251" s="80"/>
      <c r="QES251" s="80"/>
      <c r="QET251" s="80"/>
      <c r="QEU251" s="80"/>
      <c r="QEV251" s="80"/>
      <c r="QEW251" s="80"/>
      <c r="QEX251" s="80"/>
      <c r="QEY251" s="80"/>
      <c r="QEZ251" s="80"/>
      <c r="QFA251" s="80"/>
      <c r="QFB251" s="80"/>
      <c r="QFC251" s="80"/>
      <c r="QFD251" s="80"/>
      <c r="QFE251" s="80"/>
      <c r="QFF251" s="80"/>
      <c r="QFG251" s="80"/>
      <c r="QFH251" s="80"/>
      <c r="QFI251" s="80"/>
      <c r="QFJ251" s="80"/>
      <c r="QFK251" s="80"/>
      <c r="QFL251" s="80"/>
      <c r="QFM251" s="80"/>
      <c r="QFN251" s="80"/>
      <c r="QFO251" s="80"/>
      <c r="QFP251" s="80"/>
      <c r="QFQ251" s="80"/>
      <c r="QFR251" s="80"/>
      <c r="QFS251" s="80"/>
      <c r="QFT251" s="80"/>
      <c r="QFU251" s="80"/>
      <c r="QFV251" s="80"/>
      <c r="QFW251" s="80"/>
      <c r="QFX251" s="80"/>
      <c r="QFY251" s="80"/>
      <c r="QFZ251" s="80"/>
      <c r="QGA251" s="80"/>
      <c r="QGB251" s="80"/>
      <c r="QGC251" s="80"/>
      <c r="QGD251" s="80"/>
      <c r="QGE251" s="80"/>
      <c r="QGF251" s="80"/>
      <c r="QGG251" s="80"/>
      <c r="QGH251" s="80"/>
      <c r="QGI251" s="80"/>
      <c r="QGJ251" s="80"/>
      <c r="QGK251" s="80"/>
      <c r="QGL251" s="80"/>
      <c r="QGM251" s="80"/>
      <c r="QGN251" s="80"/>
      <c r="QGO251" s="80"/>
      <c r="QGP251" s="80"/>
      <c r="QGQ251" s="80"/>
      <c r="QGR251" s="80"/>
      <c r="QGS251" s="80"/>
      <c r="QGT251" s="80"/>
      <c r="QGU251" s="80"/>
      <c r="QGV251" s="80"/>
      <c r="QGW251" s="80"/>
      <c r="QGX251" s="80"/>
      <c r="QGY251" s="80"/>
      <c r="QGZ251" s="80"/>
      <c r="QHA251" s="80"/>
      <c r="QHB251" s="80"/>
      <c r="QHC251" s="80"/>
      <c r="QHD251" s="80"/>
      <c r="QHE251" s="80"/>
      <c r="QHF251" s="80"/>
      <c r="QHG251" s="80"/>
      <c r="QHH251" s="80"/>
      <c r="QHI251" s="80"/>
      <c r="QHJ251" s="80"/>
      <c r="QHK251" s="80"/>
      <c r="QHL251" s="80"/>
      <c r="QHM251" s="80"/>
      <c r="QHN251" s="80"/>
      <c r="QHO251" s="80"/>
      <c r="QHP251" s="80"/>
      <c r="QHQ251" s="80"/>
      <c r="QHR251" s="80"/>
      <c r="QHS251" s="80"/>
      <c r="QHT251" s="80"/>
      <c r="QHU251" s="80"/>
      <c r="QHV251" s="80"/>
      <c r="QHW251" s="80"/>
      <c r="QHX251" s="80"/>
      <c r="QHY251" s="80"/>
      <c r="QHZ251" s="80"/>
      <c r="QIA251" s="80"/>
      <c r="QIB251" s="80"/>
      <c r="QIC251" s="80"/>
      <c r="QID251" s="80"/>
      <c r="QIE251" s="80"/>
      <c r="QIF251" s="80"/>
      <c r="QIG251" s="80"/>
      <c r="QIH251" s="80"/>
      <c r="QII251" s="80"/>
      <c r="QIJ251" s="80"/>
      <c r="QIK251" s="80"/>
      <c r="QIL251" s="80"/>
      <c r="QIM251" s="80"/>
      <c r="QIN251" s="80"/>
      <c r="QIO251" s="80"/>
      <c r="QIP251" s="80"/>
      <c r="QIQ251" s="80"/>
      <c r="QIR251" s="80"/>
      <c r="QIS251" s="80"/>
      <c r="QIT251" s="80"/>
      <c r="QIU251" s="80"/>
      <c r="QIV251" s="80"/>
      <c r="QIW251" s="80"/>
      <c r="QIX251" s="80"/>
      <c r="QIY251" s="80"/>
      <c r="QIZ251" s="80"/>
      <c r="QJA251" s="80"/>
      <c r="QJB251" s="80"/>
      <c r="QJC251" s="80"/>
      <c r="QJD251" s="80"/>
      <c r="QJE251" s="80"/>
      <c r="QJF251" s="80"/>
      <c r="QJG251" s="80"/>
      <c r="QJH251" s="80"/>
      <c r="QJI251" s="80"/>
      <c r="QJJ251" s="80"/>
      <c r="QJK251" s="80"/>
      <c r="QJL251" s="80"/>
      <c r="QJM251" s="80"/>
      <c r="QJN251" s="80"/>
      <c r="QJO251" s="80"/>
      <c r="QJP251" s="80"/>
      <c r="QJQ251" s="80"/>
      <c r="QJR251" s="80"/>
      <c r="QJS251" s="80"/>
      <c r="QJT251" s="80"/>
      <c r="QJU251" s="80"/>
      <c r="QJV251" s="80"/>
      <c r="QJW251" s="80"/>
      <c r="QJX251" s="80"/>
      <c r="QJY251" s="80"/>
      <c r="QJZ251" s="80"/>
      <c r="QKA251" s="80"/>
      <c r="QKB251" s="80"/>
      <c r="QKC251" s="80"/>
      <c r="QKD251" s="80"/>
      <c r="QKE251" s="80"/>
      <c r="QKF251" s="80"/>
      <c r="QKG251" s="80"/>
      <c r="QKH251" s="80"/>
      <c r="QKI251" s="80"/>
      <c r="QKJ251" s="80"/>
      <c r="QKK251" s="80"/>
      <c r="QKL251" s="80"/>
      <c r="QKM251" s="80"/>
      <c r="QKN251" s="80"/>
      <c r="QKO251" s="80"/>
      <c r="QKP251" s="80"/>
      <c r="QKQ251" s="80"/>
      <c r="QKR251" s="80"/>
      <c r="QKS251" s="80"/>
      <c r="QKT251" s="80"/>
      <c r="QKU251" s="80"/>
      <c r="QKV251" s="80"/>
      <c r="QKW251" s="80"/>
      <c r="QKX251" s="80"/>
      <c r="QKY251" s="80"/>
      <c r="QKZ251" s="80"/>
      <c r="QLA251" s="80"/>
      <c r="QLB251" s="80"/>
      <c r="QLC251" s="80"/>
      <c r="QLD251" s="80"/>
      <c r="QLE251" s="80"/>
      <c r="QLF251" s="80"/>
      <c r="QLG251" s="80"/>
      <c r="QLH251" s="80"/>
      <c r="QLI251" s="80"/>
      <c r="QLJ251" s="80"/>
      <c r="QLK251" s="80"/>
      <c r="QLL251" s="80"/>
      <c r="QLM251" s="80"/>
      <c r="QLN251" s="80"/>
      <c r="QLO251" s="80"/>
      <c r="QLP251" s="80"/>
      <c r="QLQ251" s="80"/>
      <c r="QLR251" s="80"/>
      <c r="QLS251" s="80"/>
      <c r="QLT251" s="80"/>
      <c r="QLU251" s="80"/>
      <c r="QLV251" s="80"/>
      <c r="QLW251" s="80"/>
      <c r="QLX251" s="80"/>
      <c r="QLY251" s="80"/>
      <c r="QLZ251" s="80"/>
      <c r="QMA251" s="80"/>
      <c r="QMB251" s="80"/>
      <c r="QMC251" s="80"/>
      <c r="QMD251" s="80"/>
      <c r="QME251" s="80"/>
      <c r="QMF251" s="80"/>
      <c r="QMG251" s="80"/>
      <c r="QMH251" s="80"/>
      <c r="QMI251" s="80"/>
      <c r="QMJ251" s="80"/>
      <c r="QMK251" s="80"/>
      <c r="QML251" s="80"/>
      <c r="QMM251" s="80"/>
      <c r="QMN251" s="80"/>
      <c r="QMO251" s="80"/>
      <c r="QMP251" s="80"/>
      <c r="QMQ251" s="80"/>
      <c r="QMR251" s="80"/>
      <c r="QMS251" s="80"/>
      <c r="QMT251" s="80"/>
      <c r="QMU251" s="80"/>
      <c r="QMV251" s="80"/>
      <c r="QMW251" s="80"/>
      <c r="QMX251" s="80"/>
      <c r="QMY251" s="80"/>
      <c r="QMZ251" s="80"/>
      <c r="QNA251" s="80"/>
      <c r="QNB251" s="80"/>
      <c r="QNC251" s="80"/>
      <c r="QND251" s="80"/>
      <c r="QNE251" s="80"/>
      <c r="QNF251" s="80"/>
      <c r="QNG251" s="80"/>
      <c r="QNH251" s="80"/>
      <c r="QNI251" s="80"/>
      <c r="QNJ251" s="80"/>
      <c r="QNK251" s="80"/>
      <c r="QNL251" s="80"/>
      <c r="QNM251" s="80"/>
      <c r="QNN251" s="80"/>
      <c r="QNO251" s="80"/>
      <c r="QNP251" s="80"/>
      <c r="QNQ251" s="80"/>
      <c r="QNR251" s="80"/>
      <c r="QNS251" s="80"/>
      <c r="QNT251" s="80"/>
      <c r="QNU251" s="80"/>
      <c r="QNV251" s="80"/>
      <c r="QNW251" s="80"/>
      <c r="QNX251" s="80"/>
      <c r="QNY251" s="80"/>
      <c r="QNZ251" s="80"/>
      <c r="QOA251" s="80"/>
      <c r="QOB251" s="80"/>
      <c r="QOC251" s="80"/>
      <c r="QOD251" s="80"/>
      <c r="QOE251" s="80"/>
      <c r="QOF251" s="80"/>
      <c r="QOG251" s="80"/>
      <c r="QOH251" s="80"/>
      <c r="QOI251" s="80"/>
      <c r="QOJ251" s="80"/>
      <c r="QOK251" s="80"/>
      <c r="QOL251" s="80"/>
      <c r="QOM251" s="80"/>
      <c r="QON251" s="80"/>
      <c r="QOO251" s="80"/>
      <c r="QOP251" s="80"/>
      <c r="QOQ251" s="80"/>
      <c r="QOR251" s="80"/>
      <c r="QOS251" s="80"/>
      <c r="QOT251" s="80"/>
      <c r="QOU251" s="80"/>
      <c r="QOV251" s="80"/>
      <c r="QOW251" s="80"/>
      <c r="QOX251" s="80"/>
      <c r="QOY251" s="80"/>
      <c r="QOZ251" s="80"/>
      <c r="QPA251" s="80"/>
      <c r="QPB251" s="80"/>
      <c r="QPC251" s="80"/>
      <c r="QPD251" s="80"/>
      <c r="QPE251" s="80"/>
      <c r="QPF251" s="80"/>
      <c r="QPG251" s="80"/>
      <c r="QPH251" s="80"/>
      <c r="QPI251" s="80"/>
      <c r="QPJ251" s="80"/>
      <c r="QPK251" s="80"/>
      <c r="QPL251" s="80"/>
      <c r="QPM251" s="80"/>
      <c r="QPN251" s="80"/>
      <c r="QPO251" s="80"/>
      <c r="QPP251" s="80"/>
      <c r="QPQ251" s="80"/>
      <c r="QPR251" s="80"/>
      <c r="QPS251" s="80"/>
      <c r="QPT251" s="80"/>
      <c r="QPU251" s="80"/>
      <c r="QPV251" s="80"/>
      <c r="QPW251" s="80"/>
      <c r="QPX251" s="80"/>
      <c r="QPY251" s="80"/>
      <c r="QPZ251" s="80"/>
      <c r="QQA251" s="80"/>
      <c r="QQB251" s="80"/>
      <c r="QQC251" s="80"/>
      <c r="QQD251" s="80"/>
      <c r="QQE251" s="80"/>
      <c r="QQF251" s="80"/>
      <c r="QQG251" s="80"/>
      <c r="QQH251" s="80"/>
      <c r="QQI251" s="80"/>
      <c r="QQJ251" s="80"/>
      <c r="QQK251" s="80"/>
      <c r="QQL251" s="80"/>
      <c r="QQM251" s="80"/>
      <c r="QQN251" s="80"/>
      <c r="QQO251" s="80"/>
      <c r="QQP251" s="80"/>
      <c r="QQQ251" s="80"/>
      <c r="QQR251" s="80"/>
      <c r="QQS251" s="80"/>
      <c r="QQT251" s="80"/>
      <c r="QQU251" s="80"/>
      <c r="QQV251" s="80"/>
      <c r="QQW251" s="80"/>
      <c r="QQX251" s="80"/>
      <c r="QQY251" s="80"/>
      <c r="QQZ251" s="80"/>
      <c r="QRA251" s="80"/>
      <c r="QRB251" s="80"/>
      <c r="QRC251" s="80"/>
      <c r="QRD251" s="80"/>
      <c r="QRE251" s="80"/>
      <c r="QRF251" s="80"/>
      <c r="QRG251" s="80"/>
      <c r="QRH251" s="80"/>
      <c r="QRI251" s="80"/>
      <c r="QRJ251" s="80"/>
      <c r="QRK251" s="80"/>
      <c r="QRL251" s="80"/>
      <c r="QRM251" s="80"/>
      <c r="QRN251" s="80"/>
      <c r="QRO251" s="80"/>
      <c r="QRP251" s="80"/>
      <c r="QRQ251" s="80"/>
      <c r="QRR251" s="80"/>
      <c r="QRS251" s="80"/>
      <c r="QRT251" s="80"/>
      <c r="QRU251" s="80"/>
      <c r="QRV251" s="80"/>
      <c r="QRW251" s="80"/>
      <c r="QRX251" s="80"/>
      <c r="QRY251" s="80"/>
      <c r="QRZ251" s="80"/>
      <c r="QSA251" s="80"/>
      <c r="QSB251" s="80"/>
      <c r="QSC251" s="80"/>
      <c r="QSD251" s="80"/>
      <c r="QSE251" s="80"/>
      <c r="QSF251" s="80"/>
      <c r="QSG251" s="80"/>
      <c r="QSH251" s="80"/>
      <c r="QSI251" s="80"/>
      <c r="QSJ251" s="80"/>
      <c r="QSK251" s="80"/>
      <c r="QSL251" s="80"/>
      <c r="QSM251" s="80"/>
      <c r="QSN251" s="80"/>
      <c r="QSO251" s="80"/>
      <c r="QSP251" s="80"/>
      <c r="QSQ251" s="80"/>
      <c r="QSR251" s="80"/>
      <c r="QSS251" s="80"/>
      <c r="QST251" s="80"/>
      <c r="QSU251" s="80"/>
      <c r="QSV251" s="80"/>
      <c r="QSW251" s="80"/>
      <c r="QSX251" s="80"/>
      <c r="QSY251" s="80"/>
      <c r="QSZ251" s="80"/>
      <c r="QTA251" s="80"/>
      <c r="QTB251" s="80"/>
      <c r="QTC251" s="80"/>
      <c r="QTD251" s="80"/>
      <c r="QTE251" s="80"/>
      <c r="QTF251" s="80"/>
      <c r="QTG251" s="80"/>
      <c r="QTH251" s="80"/>
      <c r="QTI251" s="80"/>
      <c r="QTJ251" s="80"/>
      <c r="QTK251" s="80"/>
      <c r="QTL251" s="80"/>
      <c r="QTM251" s="80"/>
      <c r="QTN251" s="80"/>
      <c r="QTO251" s="80"/>
      <c r="QTP251" s="80"/>
      <c r="QTQ251" s="80"/>
      <c r="QTR251" s="80"/>
      <c r="QTS251" s="80"/>
      <c r="QTT251" s="80"/>
      <c r="QTU251" s="80"/>
      <c r="QTV251" s="80"/>
      <c r="QTW251" s="80"/>
      <c r="QTX251" s="80"/>
      <c r="QTY251" s="80"/>
      <c r="QTZ251" s="80"/>
      <c r="QUA251" s="80"/>
      <c r="QUB251" s="80"/>
      <c r="QUC251" s="80"/>
      <c r="QUD251" s="80"/>
      <c r="QUE251" s="80"/>
      <c r="QUF251" s="80"/>
      <c r="QUG251" s="80"/>
      <c r="QUH251" s="80"/>
      <c r="QUI251" s="80"/>
      <c r="QUJ251" s="80"/>
      <c r="QUK251" s="80"/>
      <c r="QUL251" s="80"/>
      <c r="QUM251" s="80"/>
      <c r="QUN251" s="80"/>
      <c r="QUO251" s="80"/>
      <c r="QUP251" s="80"/>
      <c r="QUQ251" s="80"/>
      <c r="QUR251" s="80"/>
      <c r="QUS251" s="80"/>
      <c r="QUT251" s="80"/>
      <c r="QUU251" s="80"/>
      <c r="QUV251" s="80"/>
      <c r="QUW251" s="80"/>
      <c r="QUX251" s="80"/>
      <c r="QUY251" s="80"/>
      <c r="QUZ251" s="80"/>
      <c r="QVA251" s="80"/>
      <c r="QVB251" s="80"/>
      <c r="QVC251" s="80"/>
      <c r="QVD251" s="80"/>
      <c r="QVE251" s="80"/>
      <c r="QVF251" s="80"/>
      <c r="QVG251" s="80"/>
      <c r="QVH251" s="80"/>
      <c r="QVI251" s="80"/>
      <c r="QVJ251" s="80"/>
      <c r="QVK251" s="80"/>
      <c r="QVL251" s="80"/>
      <c r="QVM251" s="80"/>
      <c r="QVN251" s="80"/>
      <c r="QVO251" s="80"/>
      <c r="QVP251" s="80"/>
      <c r="QVQ251" s="80"/>
      <c r="QVR251" s="80"/>
      <c r="QVS251" s="80"/>
      <c r="QVT251" s="80"/>
      <c r="QVU251" s="80"/>
      <c r="QVV251" s="80"/>
      <c r="QVW251" s="80"/>
      <c r="QVX251" s="80"/>
      <c r="QVY251" s="80"/>
      <c r="QVZ251" s="80"/>
      <c r="QWA251" s="80"/>
      <c r="QWB251" s="80"/>
      <c r="QWC251" s="80"/>
      <c r="QWD251" s="80"/>
      <c r="QWE251" s="80"/>
      <c r="QWF251" s="80"/>
      <c r="QWG251" s="80"/>
      <c r="QWH251" s="80"/>
      <c r="QWI251" s="80"/>
      <c r="QWJ251" s="80"/>
      <c r="QWK251" s="80"/>
      <c r="QWL251" s="80"/>
      <c r="QWM251" s="80"/>
      <c r="QWN251" s="80"/>
      <c r="QWO251" s="80"/>
      <c r="QWP251" s="80"/>
      <c r="QWQ251" s="80"/>
      <c r="QWR251" s="80"/>
      <c r="QWS251" s="80"/>
      <c r="QWT251" s="80"/>
      <c r="QWU251" s="80"/>
      <c r="QWV251" s="80"/>
      <c r="QWW251" s="80"/>
      <c r="QWX251" s="80"/>
      <c r="QWY251" s="80"/>
      <c r="QWZ251" s="80"/>
      <c r="QXA251" s="80"/>
      <c r="QXB251" s="80"/>
      <c r="QXC251" s="80"/>
      <c r="QXD251" s="80"/>
      <c r="QXE251" s="80"/>
      <c r="QXF251" s="80"/>
      <c r="QXG251" s="80"/>
      <c r="QXH251" s="80"/>
      <c r="QXI251" s="80"/>
      <c r="QXJ251" s="80"/>
      <c r="QXK251" s="80"/>
      <c r="QXL251" s="80"/>
      <c r="QXM251" s="80"/>
      <c r="QXN251" s="80"/>
      <c r="QXO251" s="80"/>
      <c r="QXP251" s="80"/>
      <c r="QXQ251" s="80"/>
      <c r="QXR251" s="80"/>
      <c r="QXS251" s="80"/>
      <c r="QXT251" s="80"/>
      <c r="QXU251" s="80"/>
      <c r="QXV251" s="80"/>
      <c r="QXW251" s="80"/>
      <c r="QXX251" s="80"/>
      <c r="QXY251" s="80"/>
      <c r="QXZ251" s="80"/>
      <c r="QYA251" s="80"/>
      <c r="QYB251" s="80"/>
      <c r="QYC251" s="80"/>
      <c r="QYD251" s="80"/>
      <c r="QYE251" s="80"/>
      <c r="QYF251" s="80"/>
      <c r="QYG251" s="80"/>
      <c r="QYH251" s="80"/>
      <c r="QYI251" s="80"/>
      <c r="QYJ251" s="80"/>
      <c r="QYK251" s="80"/>
      <c r="QYL251" s="80"/>
      <c r="QYM251" s="80"/>
      <c r="QYN251" s="80"/>
      <c r="QYO251" s="80"/>
      <c r="QYP251" s="80"/>
      <c r="QYQ251" s="80"/>
      <c r="QYR251" s="80"/>
      <c r="QYS251" s="80"/>
      <c r="QYT251" s="80"/>
      <c r="QYU251" s="80"/>
      <c r="QYV251" s="80"/>
      <c r="QYW251" s="80"/>
      <c r="QYX251" s="80"/>
      <c r="QYY251" s="80"/>
      <c r="QYZ251" s="80"/>
      <c r="QZA251" s="80"/>
      <c r="QZB251" s="80"/>
      <c r="QZC251" s="80"/>
      <c r="QZD251" s="80"/>
      <c r="QZE251" s="80"/>
      <c r="QZF251" s="80"/>
      <c r="QZG251" s="80"/>
      <c r="QZH251" s="80"/>
      <c r="QZI251" s="80"/>
      <c r="QZJ251" s="80"/>
      <c r="QZK251" s="80"/>
      <c r="QZL251" s="80"/>
      <c r="QZM251" s="80"/>
      <c r="QZN251" s="80"/>
      <c r="QZO251" s="80"/>
      <c r="QZP251" s="80"/>
      <c r="QZQ251" s="80"/>
      <c r="QZR251" s="80"/>
      <c r="QZS251" s="80"/>
      <c r="QZT251" s="80"/>
      <c r="QZU251" s="80"/>
      <c r="QZV251" s="80"/>
      <c r="QZW251" s="80"/>
      <c r="QZX251" s="80"/>
      <c r="QZY251" s="80"/>
      <c r="QZZ251" s="80"/>
      <c r="RAA251" s="80"/>
      <c r="RAB251" s="80"/>
      <c r="RAC251" s="80"/>
      <c r="RAD251" s="80"/>
      <c r="RAE251" s="80"/>
      <c r="RAF251" s="80"/>
      <c r="RAG251" s="80"/>
      <c r="RAH251" s="80"/>
      <c r="RAI251" s="80"/>
      <c r="RAJ251" s="80"/>
      <c r="RAK251" s="80"/>
      <c r="RAL251" s="80"/>
      <c r="RAM251" s="80"/>
      <c r="RAN251" s="80"/>
      <c r="RAO251" s="80"/>
      <c r="RAP251" s="80"/>
      <c r="RAQ251" s="80"/>
      <c r="RAR251" s="80"/>
      <c r="RAS251" s="80"/>
      <c r="RAT251" s="80"/>
      <c r="RAU251" s="80"/>
      <c r="RAV251" s="80"/>
      <c r="RAW251" s="80"/>
      <c r="RAX251" s="80"/>
      <c r="RAY251" s="80"/>
      <c r="RAZ251" s="80"/>
      <c r="RBA251" s="80"/>
      <c r="RBB251" s="80"/>
      <c r="RBC251" s="80"/>
      <c r="RBD251" s="80"/>
      <c r="RBE251" s="80"/>
      <c r="RBF251" s="80"/>
      <c r="RBG251" s="80"/>
      <c r="RBH251" s="80"/>
      <c r="RBI251" s="80"/>
      <c r="RBJ251" s="80"/>
      <c r="RBK251" s="80"/>
      <c r="RBL251" s="80"/>
      <c r="RBM251" s="80"/>
      <c r="RBN251" s="80"/>
      <c r="RBO251" s="80"/>
      <c r="RBP251" s="80"/>
      <c r="RBQ251" s="80"/>
      <c r="RBR251" s="80"/>
      <c r="RBS251" s="80"/>
      <c r="RBT251" s="80"/>
      <c r="RBU251" s="80"/>
      <c r="RBV251" s="80"/>
      <c r="RBW251" s="80"/>
      <c r="RBX251" s="80"/>
      <c r="RBY251" s="80"/>
      <c r="RBZ251" s="80"/>
      <c r="RCA251" s="80"/>
      <c r="RCB251" s="80"/>
      <c r="RCC251" s="80"/>
      <c r="RCD251" s="80"/>
      <c r="RCE251" s="80"/>
      <c r="RCF251" s="80"/>
      <c r="RCG251" s="80"/>
      <c r="RCH251" s="80"/>
      <c r="RCI251" s="80"/>
      <c r="RCJ251" s="80"/>
      <c r="RCK251" s="80"/>
      <c r="RCL251" s="80"/>
      <c r="RCM251" s="80"/>
      <c r="RCN251" s="80"/>
      <c r="RCO251" s="80"/>
      <c r="RCP251" s="80"/>
      <c r="RCQ251" s="80"/>
      <c r="RCR251" s="80"/>
      <c r="RCS251" s="80"/>
      <c r="RCT251" s="80"/>
      <c r="RCU251" s="80"/>
      <c r="RCV251" s="80"/>
      <c r="RCW251" s="80"/>
      <c r="RCX251" s="80"/>
      <c r="RCY251" s="80"/>
      <c r="RCZ251" s="80"/>
      <c r="RDA251" s="80"/>
      <c r="RDB251" s="80"/>
      <c r="RDC251" s="80"/>
      <c r="RDD251" s="80"/>
      <c r="RDE251" s="80"/>
      <c r="RDF251" s="80"/>
      <c r="RDG251" s="80"/>
      <c r="RDH251" s="80"/>
      <c r="RDI251" s="80"/>
      <c r="RDJ251" s="80"/>
      <c r="RDK251" s="80"/>
      <c r="RDL251" s="80"/>
      <c r="RDM251" s="80"/>
      <c r="RDN251" s="80"/>
      <c r="RDO251" s="80"/>
      <c r="RDP251" s="80"/>
      <c r="RDQ251" s="80"/>
      <c r="RDR251" s="80"/>
      <c r="RDS251" s="80"/>
      <c r="RDT251" s="80"/>
      <c r="RDU251" s="80"/>
      <c r="RDV251" s="80"/>
      <c r="RDW251" s="80"/>
      <c r="RDX251" s="80"/>
      <c r="RDY251" s="80"/>
      <c r="RDZ251" s="80"/>
      <c r="REA251" s="80"/>
      <c r="REB251" s="80"/>
      <c r="REC251" s="80"/>
      <c r="RED251" s="80"/>
      <c r="REE251" s="80"/>
      <c r="REF251" s="80"/>
      <c r="REG251" s="80"/>
      <c r="REH251" s="80"/>
      <c r="REI251" s="80"/>
      <c r="REJ251" s="80"/>
      <c r="REK251" s="80"/>
      <c r="REL251" s="80"/>
      <c r="REM251" s="80"/>
      <c r="REN251" s="80"/>
      <c r="REO251" s="80"/>
      <c r="REP251" s="80"/>
      <c r="REQ251" s="80"/>
      <c r="RER251" s="80"/>
      <c r="RES251" s="80"/>
      <c r="RET251" s="80"/>
      <c r="REU251" s="80"/>
      <c r="REV251" s="80"/>
      <c r="REW251" s="80"/>
      <c r="REX251" s="80"/>
      <c r="REY251" s="80"/>
      <c r="REZ251" s="80"/>
      <c r="RFA251" s="80"/>
      <c r="RFB251" s="80"/>
      <c r="RFC251" s="80"/>
      <c r="RFD251" s="80"/>
      <c r="RFE251" s="80"/>
      <c r="RFF251" s="80"/>
      <c r="RFG251" s="80"/>
      <c r="RFH251" s="80"/>
      <c r="RFI251" s="80"/>
      <c r="RFJ251" s="80"/>
      <c r="RFK251" s="80"/>
      <c r="RFL251" s="80"/>
      <c r="RFM251" s="80"/>
      <c r="RFN251" s="80"/>
      <c r="RFO251" s="80"/>
      <c r="RFP251" s="80"/>
      <c r="RFQ251" s="80"/>
      <c r="RFR251" s="80"/>
      <c r="RFS251" s="80"/>
      <c r="RFT251" s="80"/>
      <c r="RFU251" s="80"/>
      <c r="RFV251" s="80"/>
      <c r="RFW251" s="80"/>
      <c r="RFX251" s="80"/>
      <c r="RFY251" s="80"/>
      <c r="RFZ251" s="80"/>
      <c r="RGA251" s="80"/>
      <c r="RGB251" s="80"/>
      <c r="RGC251" s="80"/>
      <c r="RGD251" s="80"/>
      <c r="RGE251" s="80"/>
      <c r="RGF251" s="80"/>
      <c r="RGG251" s="80"/>
      <c r="RGH251" s="80"/>
      <c r="RGI251" s="80"/>
      <c r="RGJ251" s="80"/>
      <c r="RGK251" s="80"/>
      <c r="RGL251" s="80"/>
      <c r="RGM251" s="80"/>
      <c r="RGN251" s="80"/>
      <c r="RGO251" s="80"/>
      <c r="RGP251" s="80"/>
      <c r="RGQ251" s="80"/>
      <c r="RGR251" s="80"/>
      <c r="RGS251" s="80"/>
      <c r="RGT251" s="80"/>
      <c r="RGU251" s="80"/>
      <c r="RGV251" s="80"/>
      <c r="RGW251" s="80"/>
      <c r="RGX251" s="80"/>
      <c r="RGY251" s="80"/>
      <c r="RGZ251" s="80"/>
      <c r="RHA251" s="80"/>
      <c r="RHB251" s="80"/>
      <c r="RHC251" s="80"/>
      <c r="RHD251" s="80"/>
      <c r="RHE251" s="80"/>
      <c r="RHF251" s="80"/>
      <c r="RHG251" s="80"/>
      <c r="RHH251" s="80"/>
      <c r="RHI251" s="80"/>
      <c r="RHJ251" s="80"/>
      <c r="RHK251" s="80"/>
      <c r="RHL251" s="80"/>
      <c r="RHM251" s="80"/>
      <c r="RHN251" s="80"/>
      <c r="RHO251" s="80"/>
      <c r="RHP251" s="80"/>
      <c r="RHQ251" s="80"/>
      <c r="RHR251" s="80"/>
      <c r="RHS251" s="80"/>
      <c r="RHT251" s="80"/>
      <c r="RHU251" s="80"/>
      <c r="RHV251" s="80"/>
      <c r="RHW251" s="80"/>
      <c r="RHX251" s="80"/>
      <c r="RHY251" s="80"/>
      <c r="RHZ251" s="80"/>
      <c r="RIA251" s="80"/>
      <c r="RIB251" s="80"/>
      <c r="RIC251" s="80"/>
      <c r="RID251" s="80"/>
      <c r="RIE251" s="80"/>
      <c r="RIF251" s="80"/>
      <c r="RIG251" s="80"/>
      <c r="RIH251" s="80"/>
      <c r="RII251" s="80"/>
      <c r="RIJ251" s="80"/>
      <c r="RIK251" s="80"/>
      <c r="RIL251" s="80"/>
      <c r="RIM251" s="80"/>
      <c r="RIN251" s="80"/>
      <c r="RIO251" s="80"/>
      <c r="RIP251" s="80"/>
      <c r="RIQ251" s="80"/>
      <c r="RIR251" s="80"/>
      <c r="RIS251" s="80"/>
      <c r="RIT251" s="80"/>
      <c r="RIU251" s="80"/>
      <c r="RIV251" s="80"/>
      <c r="RIW251" s="80"/>
      <c r="RIX251" s="80"/>
      <c r="RIY251" s="80"/>
      <c r="RIZ251" s="80"/>
      <c r="RJA251" s="80"/>
      <c r="RJB251" s="80"/>
      <c r="RJC251" s="80"/>
      <c r="RJD251" s="80"/>
      <c r="RJE251" s="80"/>
      <c r="RJF251" s="80"/>
      <c r="RJG251" s="80"/>
      <c r="RJH251" s="80"/>
      <c r="RJI251" s="80"/>
      <c r="RJJ251" s="80"/>
      <c r="RJK251" s="80"/>
      <c r="RJL251" s="80"/>
      <c r="RJM251" s="80"/>
      <c r="RJN251" s="80"/>
      <c r="RJO251" s="80"/>
      <c r="RJP251" s="80"/>
      <c r="RJQ251" s="80"/>
      <c r="RJR251" s="80"/>
      <c r="RJS251" s="80"/>
      <c r="RJT251" s="80"/>
      <c r="RJU251" s="80"/>
      <c r="RJV251" s="80"/>
      <c r="RJW251" s="80"/>
      <c r="RJX251" s="80"/>
      <c r="RJY251" s="80"/>
      <c r="RJZ251" s="80"/>
      <c r="RKA251" s="80"/>
      <c r="RKB251" s="80"/>
      <c r="RKC251" s="80"/>
      <c r="RKD251" s="80"/>
      <c r="RKE251" s="80"/>
      <c r="RKF251" s="80"/>
      <c r="RKG251" s="80"/>
      <c r="RKH251" s="80"/>
      <c r="RKI251" s="80"/>
      <c r="RKJ251" s="80"/>
      <c r="RKK251" s="80"/>
      <c r="RKL251" s="80"/>
      <c r="RKM251" s="80"/>
      <c r="RKN251" s="80"/>
      <c r="RKO251" s="80"/>
      <c r="RKP251" s="80"/>
      <c r="RKQ251" s="80"/>
      <c r="RKR251" s="80"/>
      <c r="RKS251" s="80"/>
      <c r="RKT251" s="80"/>
      <c r="RKU251" s="80"/>
      <c r="RKV251" s="80"/>
      <c r="RKW251" s="80"/>
      <c r="RKX251" s="80"/>
      <c r="RKY251" s="80"/>
      <c r="RKZ251" s="80"/>
      <c r="RLA251" s="80"/>
      <c r="RLB251" s="80"/>
      <c r="RLC251" s="80"/>
      <c r="RLD251" s="80"/>
      <c r="RLE251" s="80"/>
      <c r="RLF251" s="80"/>
      <c r="RLG251" s="80"/>
      <c r="RLH251" s="80"/>
      <c r="RLI251" s="80"/>
      <c r="RLJ251" s="80"/>
      <c r="RLK251" s="80"/>
      <c r="RLL251" s="80"/>
      <c r="RLM251" s="80"/>
      <c r="RLN251" s="80"/>
      <c r="RLO251" s="80"/>
      <c r="RLP251" s="80"/>
      <c r="RLQ251" s="80"/>
      <c r="RLR251" s="80"/>
      <c r="RLS251" s="80"/>
      <c r="RLT251" s="80"/>
      <c r="RLU251" s="80"/>
      <c r="RLV251" s="80"/>
      <c r="RLW251" s="80"/>
      <c r="RLX251" s="80"/>
      <c r="RLY251" s="80"/>
      <c r="RLZ251" s="80"/>
      <c r="RMA251" s="80"/>
      <c r="RMB251" s="80"/>
      <c r="RMC251" s="80"/>
      <c r="RMD251" s="80"/>
      <c r="RME251" s="80"/>
      <c r="RMF251" s="80"/>
      <c r="RMG251" s="80"/>
      <c r="RMH251" s="80"/>
      <c r="RMI251" s="80"/>
      <c r="RMJ251" s="80"/>
      <c r="RMK251" s="80"/>
      <c r="RML251" s="80"/>
      <c r="RMM251" s="80"/>
      <c r="RMN251" s="80"/>
      <c r="RMO251" s="80"/>
      <c r="RMP251" s="80"/>
      <c r="RMQ251" s="80"/>
      <c r="RMR251" s="80"/>
      <c r="RMS251" s="80"/>
      <c r="RMT251" s="80"/>
      <c r="RMU251" s="80"/>
      <c r="RMV251" s="80"/>
      <c r="RMW251" s="80"/>
      <c r="RMX251" s="80"/>
      <c r="RMY251" s="80"/>
      <c r="RMZ251" s="80"/>
      <c r="RNA251" s="80"/>
      <c r="RNB251" s="80"/>
      <c r="RNC251" s="80"/>
      <c r="RND251" s="80"/>
      <c r="RNE251" s="80"/>
      <c r="RNF251" s="80"/>
      <c r="RNG251" s="80"/>
      <c r="RNH251" s="80"/>
      <c r="RNI251" s="80"/>
      <c r="RNJ251" s="80"/>
      <c r="RNK251" s="80"/>
      <c r="RNL251" s="80"/>
      <c r="RNM251" s="80"/>
      <c r="RNN251" s="80"/>
      <c r="RNO251" s="80"/>
      <c r="RNP251" s="80"/>
      <c r="RNQ251" s="80"/>
      <c r="RNR251" s="80"/>
      <c r="RNS251" s="80"/>
      <c r="RNT251" s="80"/>
      <c r="RNU251" s="80"/>
      <c r="RNV251" s="80"/>
      <c r="RNW251" s="80"/>
      <c r="RNX251" s="80"/>
      <c r="RNY251" s="80"/>
      <c r="RNZ251" s="80"/>
      <c r="ROA251" s="80"/>
      <c r="ROB251" s="80"/>
      <c r="ROC251" s="80"/>
      <c r="ROD251" s="80"/>
      <c r="ROE251" s="80"/>
      <c r="ROF251" s="80"/>
      <c r="ROG251" s="80"/>
      <c r="ROH251" s="80"/>
      <c r="ROI251" s="80"/>
      <c r="ROJ251" s="80"/>
      <c r="ROK251" s="80"/>
      <c r="ROL251" s="80"/>
      <c r="ROM251" s="80"/>
      <c r="RON251" s="80"/>
      <c r="ROO251" s="80"/>
      <c r="ROP251" s="80"/>
      <c r="ROQ251" s="80"/>
      <c r="ROR251" s="80"/>
      <c r="ROS251" s="80"/>
      <c r="ROT251" s="80"/>
      <c r="ROU251" s="80"/>
      <c r="ROV251" s="80"/>
      <c r="ROW251" s="80"/>
      <c r="ROX251" s="80"/>
      <c r="ROY251" s="80"/>
      <c r="ROZ251" s="80"/>
      <c r="RPA251" s="80"/>
      <c r="RPB251" s="80"/>
      <c r="RPC251" s="80"/>
      <c r="RPD251" s="80"/>
      <c r="RPE251" s="80"/>
      <c r="RPF251" s="80"/>
      <c r="RPG251" s="80"/>
      <c r="RPH251" s="80"/>
      <c r="RPI251" s="80"/>
      <c r="RPJ251" s="80"/>
      <c r="RPK251" s="80"/>
      <c r="RPL251" s="80"/>
      <c r="RPM251" s="80"/>
      <c r="RPN251" s="80"/>
      <c r="RPO251" s="80"/>
      <c r="RPP251" s="80"/>
      <c r="RPQ251" s="80"/>
      <c r="RPR251" s="80"/>
      <c r="RPS251" s="80"/>
      <c r="RPT251" s="80"/>
      <c r="RPU251" s="80"/>
      <c r="RPV251" s="80"/>
      <c r="RPW251" s="80"/>
      <c r="RPX251" s="80"/>
      <c r="RPY251" s="80"/>
      <c r="RPZ251" s="80"/>
      <c r="RQA251" s="80"/>
      <c r="RQB251" s="80"/>
      <c r="RQC251" s="80"/>
      <c r="RQD251" s="80"/>
      <c r="RQE251" s="80"/>
      <c r="RQF251" s="80"/>
      <c r="RQG251" s="80"/>
      <c r="RQH251" s="80"/>
      <c r="RQI251" s="80"/>
      <c r="RQJ251" s="80"/>
      <c r="RQK251" s="80"/>
      <c r="RQL251" s="80"/>
      <c r="RQM251" s="80"/>
      <c r="RQN251" s="80"/>
      <c r="RQO251" s="80"/>
      <c r="RQP251" s="80"/>
      <c r="RQQ251" s="80"/>
      <c r="RQR251" s="80"/>
      <c r="RQS251" s="80"/>
      <c r="RQT251" s="80"/>
      <c r="RQU251" s="80"/>
      <c r="RQV251" s="80"/>
      <c r="RQW251" s="80"/>
      <c r="RQX251" s="80"/>
      <c r="RQY251" s="80"/>
      <c r="RQZ251" s="80"/>
      <c r="RRA251" s="80"/>
      <c r="RRB251" s="80"/>
      <c r="RRC251" s="80"/>
      <c r="RRD251" s="80"/>
      <c r="RRE251" s="80"/>
      <c r="RRF251" s="80"/>
      <c r="RRG251" s="80"/>
      <c r="RRH251" s="80"/>
      <c r="RRI251" s="80"/>
      <c r="RRJ251" s="80"/>
      <c r="RRK251" s="80"/>
      <c r="RRL251" s="80"/>
      <c r="RRM251" s="80"/>
      <c r="RRN251" s="80"/>
      <c r="RRO251" s="80"/>
      <c r="RRP251" s="80"/>
      <c r="RRQ251" s="80"/>
      <c r="RRR251" s="80"/>
      <c r="RRS251" s="80"/>
      <c r="RRT251" s="80"/>
      <c r="RRU251" s="80"/>
      <c r="RRV251" s="80"/>
      <c r="RRW251" s="80"/>
      <c r="RRX251" s="80"/>
      <c r="RRY251" s="80"/>
      <c r="RRZ251" s="80"/>
      <c r="RSA251" s="80"/>
      <c r="RSB251" s="80"/>
      <c r="RSC251" s="80"/>
      <c r="RSD251" s="80"/>
      <c r="RSE251" s="80"/>
      <c r="RSF251" s="80"/>
      <c r="RSG251" s="80"/>
      <c r="RSH251" s="80"/>
      <c r="RSI251" s="80"/>
      <c r="RSJ251" s="80"/>
      <c r="RSK251" s="80"/>
      <c r="RSL251" s="80"/>
      <c r="RSM251" s="80"/>
      <c r="RSN251" s="80"/>
      <c r="RSO251" s="80"/>
      <c r="RSP251" s="80"/>
      <c r="RSQ251" s="80"/>
      <c r="RSR251" s="80"/>
      <c r="RSS251" s="80"/>
      <c r="RST251" s="80"/>
      <c r="RSU251" s="80"/>
      <c r="RSV251" s="80"/>
      <c r="RSW251" s="80"/>
      <c r="RSX251" s="80"/>
      <c r="RSY251" s="80"/>
      <c r="RSZ251" s="80"/>
      <c r="RTA251" s="80"/>
      <c r="RTB251" s="80"/>
      <c r="RTC251" s="80"/>
      <c r="RTD251" s="80"/>
      <c r="RTE251" s="80"/>
      <c r="RTF251" s="80"/>
      <c r="RTG251" s="80"/>
      <c r="RTH251" s="80"/>
      <c r="RTI251" s="80"/>
      <c r="RTJ251" s="80"/>
      <c r="RTK251" s="80"/>
      <c r="RTL251" s="80"/>
      <c r="RTM251" s="80"/>
      <c r="RTN251" s="80"/>
      <c r="RTO251" s="80"/>
      <c r="RTP251" s="80"/>
      <c r="RTQ251" s="80"/>
      <c r="RTR251" s="80"/>
      <c r="RTS251" s="80"/>
      <c r="RTT251" s="80"/>
      <c r="RTU251" s="80"/>
      <c r="RTV251" s="80"/>
      <c r="RTW251" s="80"/>
      <c r="RTX251" s="80"/>
      <c r="RTY251" s="80"/>
      <c r="RTZ251" s="80"/>
      <c r="RUA251" s="80"/>
      <c r="RUB251" s="80"/>
      <c r="RUC251" s="80"/>
      <c r="RUD251" s="80"/>
      <c r="RUE251" s="80"/>
      <c r="RUF251" s="80"/>
      <c r="RUG251" s="80"/>
      <c r="RUH251" s="80"/>
      <c r="RUI251" s="80"/>
      <c r="RUJ251" s="80"/>
      <c r="RUK251" s="80"/>
      <c r="RUL251" s="80"/>
      <c r="RUM251" s="80"/>
      <c r="RUN251" s="80"/>
      <c r="RUO251" s="80"/>
      <c r="RUP251" s="80"/>
      <c r="RUQ251" s="80"/>
      <c r="RUR251" s="80"/>
      <c r="RUS251" s="80"/>
      <c r="RUT251" s="80"/>
      <c r="RUU251" s="80"/>
      <c r="RUV251" s="80"/>
      <c r="RUW251" s="80"/>
      <c r="RUX251" s="80"/>
      <c r="RUY251" s="80"/>
      <c r="RUZ251" s="80"/>
      <c r="RVA251" s="80"/>
      <c r="RVB251" s="80"/>
      <c r="RVC251" s="80"/>
      <c r="RVD251" s="80"/>
      <c r="RVE251" s="80"/>
      <c r="RVF251" s="80"/>
      <c r="RVG251" s="80"/>
      <c r="RVH251" s="80"/>
      <c r="RVI251" s="80"/>
      <c r="RVJ251" s="80"/>
      <c r="RVK251" s="80"/>
      <c r="RVL251" s="80"/>
      <c r="RVM251" s="80"/>
      <c r="RVN251" s="80"/>
      <c r="RVO251" s="80"/>
      <c r="RVP251" s="80"/>
      <c r="RVQ251" s="80"/>
      <c r="RVR251" s="80"/>
      <c r="RVS251" s="80"/>
      <c r="RVT251" s="80"/>
      <c r="RVU251" s="80"/>
      <c r="RVV251" s="80"/>
      <c r="RVW251" s="80"/>
      <c r="RVX251" s="80"/>
      <c r="RVY251" s="80"/>
      <c r="RVZ251" s="80"/>
      <c r="RWA251" s="80"/>
      <c r="RWB251" s="80"/>
      <c r="RWC251" s="80"/>
      <c r="RWD251" s="80"/>
      <c r="RWE251" s="80"/>
      <c r="RWF251" s="80"/>
      <c r="RWG251" s="80"/>
      <c r="RWH251" s="80"/>
      <c r="RWI251" s="80"/>
      <c r="RWJ251" s="80"/>
      <c r="RWK251" s="80"/>
      <c r="RWL251" s="80"/>
      <c r="RWM251" s="80"/>
      <c r="RWN251" s="80"/>
      <c r="RWO251" s="80"/>
      <c r="RWP251" s="80"/>
      <c r="RWQ251" s="80"/>
      <c r="RWR251" s="80"/>
      <c r="RWS251" s="80"/>
      <c r="RWT251" s="80"/>
      <c r="RWU251" s="80"/>
      <c r="RWV251" s="80"/>
      <c r="RWW251" s="80"/>
      <c r="RWX251" s="80"/>
      <c r="RWY251" s="80"/>
      <c r="RWZ251" s="80"/>
      <c r="RXA251" s="80"/>
      <c r="RXB251" s="80"/>
      <c r="RXC251" s="80"/>
      <c r="RXD251" s="80"/>
      <c r="RXE251" s="80"/>
      <c r="RXF251" s="80"/>
      <c r="RXG251" s="80"/>
      <c r="RXH251" s="80"/>
      <c r="RXI251" s="80"/>
      <c r="RXJ251" s="80"/>
      <c r="RXK251" s="80"/>
      <c r="RXL251" s="80"/>
      <c r="RXM251" s="80"/>
      <c r="RXN251" s="80"/>
      <c r="RXO251" s="80"/>
      <c r="RXP251" s="80"/>
      <c r="RXQ251" s="80"/>
      <c r="RXR251" s="80"/>
      <c r="RXS251" s="80"/>
      <c r="RXT251" s="80"/>
      <c r="RXU251" s="80"/>
      <c r="RXV251" s="80"/>
      <c r="RXW251" s="80"/>
      <c r="RXX251" s="80"/>
      <c r="RXY251" s="80"/>
      <c r="RXZ251" s="80"/>
      <c r="RYA251" s="80"/>
      <c r="RYB251" s="80"/>
      <c r="RYC251" s="80"/>
      <c r="RYD251" s="80"/>
      <c r="RYE251" s="80"/>
      <c r="RYF251" s="80"/>
      <c r="RYG251" s="80"/>
      <c r="RYH251" s="80"/>
      <c r="RYI251" s="80"/>
      <c r="RYJ251" s="80"/>
      <c r="RYK251" s="80"/>
      <c r="RYL251" s="80"/>
      <c r="RYM251" s="80"/>
      <c r="RYN251" s="80"/>
      <c r="RYO251" s="80"/>
      <c r="RYP251" s="80"/>
      <c r="RYQ251" s="80"/>
      <c r="RYR251" s="80"/>
      <c r="RYS251" s="80"/>
      <c r="RYT251" s="80"/>
      <c r="RYU251" s="80"/>
      <c r="RYV251" s="80"/>
      <c r="RYW251" s="80"/>
      <c r="RYX251" s="80"/>
      <c r="RYY251" s="80"/>
      <c r="RYZ251" s="80"/>
      <c r="RZA251" s="80"/>
      <c r="RZB251" s="80"/>
      <c r="RZC251" s="80"/>
      <c r="RZD251" s="80"/>
      <c r="RZE251" s="80"/>
      <c r="RZF251" s="80"/>
      <c r="RZG251" s="80"/>
      <c r="RZH251" s="80"/>
      <c r="RZI251" s="80"/>
      <c r="RZJ251" s="80"/>
      <c r="RZK251" s="80"/>
      <c r="RZL251" s="80"/>
      <c r="RZM251" s="80"/>
      <c r="RZN251" s="80"/>
      <c r="RZO251" s="80"/>
      <c r="RZP251" s="80"/>
      <c r="RZQ251" s="80"/>
      <c r="RZR251" s="80"/>
      <c r="RZS251" s="80"/>
      <c r="RZT251" s="80"/>
      <c r="RZU251" s="80"/>
      <c r="RZV251" s="80"/>
      <c r="RZW251" s="80"/>
      <c r="RZX251" s="80"/>
      <c r="RZY251" s="80"/>
      <c r="RZZ251" s="80"/>
      <c r="SAA251" s="80"/>
      <c r="SAB251" s="80"/>
      <c r="SAC251" s="80"/>
      <c r="SAD251" s="80"/>
      <c r="SAE251" s="80"/>
      <c r="SAF251" s="80"/>
      <c r="SAG251" s="80"/>
      <c r="SAH251" s="80"/>
      <c r="SAI251" s="80"/>
      <c r="SAJ251" s="80"/>
      <c r="SAK251" s="80"/>
      <c r="SAL251" s="80"/>
      <c r="SAM251" s="80"/>
      <c r="SAN251" s="80"/>
      <c r="SAO251" s="80"/>
      <c r="SAP251" s="80"/>
      <c r="SAQ251" s="80"/>
      <c r="SAR251" s="80"/>
      <c r="SAS251" s="80"/>
      <c r="SAT251" s="80"/>
      <c r="SAU251" s="80"/>
      <c r="SAV251" s="80"/>
      <c r="SAW251" s="80"/>
      <c r="SAX251" s="80"/>
      <c r="SAY251" s="80"/>
      <c r="SAZ251" s="80"/>
      <c r="SBA251" s="80"/>
      <c r="SBB251" s="80"/>
      <c r="SBC251" s="80"/>
      <c r="SBD251" s="80"/>
      <c r="SBE251" s="80"/>
      <c r="SBF251" s="80"/>
      <c r="SBG251" s="80"/>
      <c r="SBH251" s="80"/>
      <c r="SBI251" s="80"/>
      <c r="SBJ251" s="80"/>
      <c r="SBK251" s="80"/>
      <c r="SBL251" s="80"/>
      <c r="SBM251" s="80"/>
      <c r="SBN251" s="80"/>
      <c r="SBO251" s="80"/>
      <c r="SBP251" s="80"/>
      <c r="SBQ251" s="80"/>
      <c r="SBR251" s="80"/>
      <c r="SBS251" s="80"/>
      <c r="SBT251" s="80"/>
      <c r="SBU251" s="80"/>
      <c r="SBV251" s="80"/>
      <c r="SBW251" s="80"/>
      <c r="SBX251" s="80"/>
      <c r="SBY251" s="80"/>
      <c r="SBZ251" s="80"/>
      <c r="SCA251" s="80"/>
      <c r="SCB251" s="80"/>
      <c r="SCC251" s="80"/>
      <c r="SCD251" s="80"/>
      <c r="SCE251" s="80"/>
      <c r="SCF251" s="80"/>
      <c r="SCG251" s="80"/>
      <c r="SCH251" s="80"/>
      <c r="SCI251" s="80"/>
      <c r="SCJ251" s="80"/>
      <c r="SCK251" s="80"/>
      <c r="SCL251" s="80"/>
      <c r="SCM251" s="80"/>
      <c r="SCN251" s="80"/>
      <c r="SCO251" s="80"/>
      <c r="SCP251" s="80"/>
      <c r="SCQ251" s="80"/>
      <c r="SCR251" s="80"/>
      <c r="SCS251" s="80"/>
      <c r="SCT251" s="80"/>
      <c r="SCU251" s="80"/>
      <c r="SCV251" s="80"/>
      <c r="SCW251" s="80"/>
      <c r="SCX251" s="80"/>
      <c r="SCY251" s="80"/>
      <c r="SCZ251" s="80"/>
      <c r="SDA251" s="80"/>
      <c r="SDB251" s="80"/>
      <c r="SDC251" s="80"/>
      <c r="SDD251" s="80"/>
      <c r="SDE251" s="80"/>
      <c r="SDF251" s="80"/>
      <c r="SDG251" s="80"/>
      <c r="SDH251" s="80"/>
      <c r="SDI251" s="80"/>
      <c r="SDJ251" s="80"/>
      <c r="SDK251" s="80"/>
      <c r="SDL251" s="80"/>
      <c r="SDM251" s="80"/>
      <c r="SDN251" s="80"/>
      <c r="SDO251" s="80"/>
      <c r="SDP251" s="80"/>
      <c r="SDQ251" s="80"/>
      <c r="SDR251" s="80"/>
      <c r="SDS251" s="80"/>
      <c r="SDT251" s="80"/>
      <c r="SDU251" s="80"/>
      <c r="SDV251" s="80"/>
      <c r="SDW251" s="80"/>
      <c r="SDX251" s="80"/>
      <c r="SDY251" s="80"/>
      <c r="SDZ251" s="80"/>
      <c r="SEA251" s="80"/>
      <c r="SEB251" s="80"/>
      <c r="SEC251" s="80"/>
      <c r="SED251" s="80"/>
      <c r="SEE251" s="80"/>
      <c r="SEF251" s="80"/>
      <c r="SEG251" s="80"/>
      <c r="SEH251" s="80"/>
      <c r="SEI251" s="80"/>
      <c r="SEJ251" s="80"/>
      <c r="SEK251" s="80"/>
      <c r="SEL251" s="80"/>
      <c r="SEM251" s="80"/>
      <c r="SEN251" s="80"/>
      <c r="SEO251" s="80"/>
      <c r="SEP251" s="80"/>
      <c r="SEQ251" s="80"/>
      <c r="SER251" s="80"/>
      <c r="SES251" s="80"/>
      <c r="SET251" s="80"/>
      <c r="SEU251" s="80"/>
      <c r="SEV251" s="80"/>
      <c r="SEW251" s="80"/>
      <c r="SEX251" s="80"/>
      <c r="SEY251" s="80"/>
      <c r="SEZ251" s="80"/>
      <c r="SFA251" s="80"/>
      <c r="SFB251" s="80"/>
      <c r="SFC251" s="80"/>
      <c r="SFD251" s="80"/>
      <c r="SFE251" s="80"/>
      <c r="SFF251" s="80"/>
      <c r="SFG251" s="80"/>
      <c r="SFH251" s="80"/>
      <c r="SFI251" s="80"/>
      <c r="SFJ251" s="80"/>
      <c r="SFK251" s="80"/>
      <c r="SFL251" s="80"/>
      <c r="SFM251" s="80"/>
      <c r="SFN251" s="80"/>
      <c r="SFO251" s="80"/>
      <c r="SFP251" s="80"/>
      <c r="SFQ251" s="80"/>
      <c r="SFR251" s="80"/>
      <c r="SFS251" s="80"/>
      <c r="SFT251" s="80"/>
      <c r="SFU251" s="80"/>
      <c r="SFV251" s="80"/>
      <c r="SFW251" s="80"/>
      <c r="SFX251" s="80"/>
      <c r="SFY251" s="80"/>
      <c r="SFZ251" s="80"/>
      <c r="SGA251" s="80"/>
      <c r="SGB251" s="80"/>
      <c r="SGC251" s="80"/>
      <c r="SGD251" s="80"/>
      <c r="SGE251" s="80"/>
      <c r="SGF251" s="80"/>
      <c r="SGG251" s="80"/>
      <c r="SGH251" s="80"/>
      <c r="SGI251" s="80"/>
      <c r="SGJ251" s="80"/>
      <c r="SGK251" s="80"/>
      <c r="SGL251" s="80"/>
      <c r="SGM251" s="80"/>
      <c r="SGN251" s="80"/>
      <c r="SGO251" s="80"/>
      <c r="SGP251" s="80"/>
      <c r="SGQ251" s="80"/>
      <c r="SGR251" s="80"/>
      <c r="SGS251" s="80"/>
      <c r="SGT251" s="80"/>
      <c r="SGU251" s="80"/>
      <c r="SGV251" s="80"/>
      <c r="SGW251" s="80"/>
      <c r="SGX251" s="80"/>
      <c r="SGY251" s="80"/>
      <c r="SGZ251" s="80"/>
      <c r="SHA251" s="80"/>
      <c r="SHB251" s="80"/>
      <c r="SHC251" s="80"/>
      <c r="SHD251" s="80"/>
      <c r="SHE251" s="80"/>
      <c r="SHF251" s="80"/>
      <c r="SHG251" s="80"/>
      <c r="SHH251" s="80"/>
      <c r="SHI251" s="80"/>
      <c r="SHJ251" s="80"/>
      <c r="SHK251" s="80"/>
      <c r="SHL251" s="80"/>
      <c r="SHM251" s="80"/>
      <c r="SHN251" s="80"/>
      <c r="SHO251" s="80"/>
      <c r="SHP251" s="80"/>
      <c r="SHQ251" s="80"/>
      <c r="SHR251" s="80"/>
      <c r="SHS251" s="80"/>
      <c r="SHT251" s="80"/>
      <c r="SHU251" s="80"/>
      <c r="SHV251" s="80"/>
      <c r="SHW251" s="80"/>
      <c r="SHX251" s="80"/>
      <c r="SHY251" s="80"/>
      <c r="SHZ251" s="80"/>
      <c r="SIA251" s="80"/>
      <c r="SIB251" s="80"/>
      <c r="SIC251" s="80"/>
      <c r="SID251" s="80"/>
      <c r="SIE251" s="80"/>
      <c r="SIF251" s="80"/>
      <c r="SIG251" s="80"/>
      <c r="SIH251" s="80"/>
      <c r="SII251" s="80"/>
      <c r="SIJ251" s="80"/>
      <c r="SIK251" s="80"/>
      <c r="SIL251" s="80"/>
      <c r="SIM251" s="80"/>
      <c r="SIN251" s="80"/>
      <c r="SIO251" s="80"/>
      <c r="SIP251" s="80"/>
      <c r="SIQ251" s="80"/>
      <c r="SIR251" s="80"/>
      <c r="SIS251" s="80"/>
      <c r="SIT251" s="80"/>
      <c r="SIU251" s="80"/>
      <c r="SIV251" s="80"/>
      <c r="SIW251" s="80"/>
      <c r="SIX251" s="80"/>
      <c r="SIY251" s="80"/>
      <c r="SIZ251" s="80"/>
      <c r="SJA251" s="80"/>
      <c r="SJB251" s="80"/>
      <c r="SJC251" s="80"/>
      <c r="SJD251" s="80"/>
      <c r="SJE251" s="80"/>
      <c r="SJF251" s="80"/>
      <c r="SJG251" s="80"/>
      <c r="SJH251" s="80"/>
      <c r="SJI251" s="80"/>
      <c r="SJJ251" s="80"/>
      <c r="SJK251" s="80"/>
      <c r="SJL251" s="80"/>
      <c r="SJM251" s="80"/>
      <c r="SJN251" s="80"/>
      <c r="SJO251" s="80"/>
      <c r="SJP251" s="80"/>
      <c r="SJQ251" s="80"/>
      <c r="SJR251" s="80"/>
      <c r="SJS251" s="80"/>
      <c r="SJT251" s="80"/>
      <c r="SJU251" s="80"/>
      <c r="SJV251" s="80"/>
      <c r="SJW251" s="80"/>
      <c r="SJX251" s="80"/>
      <c r="SJY251" s="80"/>
      <c r="SJZ251" s="80"/>
      <c r="SKA251" s="80"/>
      <c r="SKB251" s="80"/>
      <c r="SKC251" s="80"/>
      <c r="SKD251" s="80"/>
      <c r="SKE251" s="80"/>
      <c r="SKF251" s="80"/>
      <c r="SKG251" s="80"/>
      <c r="SKH251" s="80"/>
      <c r="SKI251" s="80"/>
      <c r="SKJ251" s="80"/>
      <c r="SKK251" s="80"/>
      <c r="SKL251" s="80"/>
      <c r="SKM251" s="80"/>
      <c r="SKN251" s="80"/>
      <c r="SKO251" s="80"/>
      <c r="SKP251" s="80"/>
      <c r="SKQ251" s="80"/>
      <c r="SKR251" s="80"/>
      <c r="SKS251" s="80"/>
      <c r="SKT251" s="80"/>
      <c r="SKU251" s="80"/>
      <c r="SKV251" s="80"/>
      <c r="SKW251" s="80"/>
      <c r="SKX251" s="80"/>
      <c r="SKY251" s="80"/>
      <c r="SKZ251" s="80"/>
      <c r="SLA251" s="80"/>
      <c r="SLB251" s="80"/>
      <c r="SLC251" s="80"/>
      <c r="SLD251" s="80"/>
      <c r="SLE251" s="80"/>
      <c r="SLF251" s="80"/>
      <c r="SLG251" s="80"/>
      <c r="SLH251" s="80"/>
      <c r="SLI251" s="80"/>
      <c r="SLJ251" s="80"/>
      <c r="SLK251" s="80"/>
      <c r="SLL251" s="80"/>
      <c r="SLM251" s="80"/>
      <c r="SLN251" s="80"/>
      <c r="SLO251" s="80"/>
      <c r="SLP251" s="80"/>
      <c r="SLQ251" s="80"/>
      <c r="SLR251" s="80"/>
      <c r="SLS251" s="80"/>
      <c r="SLT251" s="80"/>
      <c r="SLU251" s="80"/>
      <c r="SLV251" s="80"/>
      <c r="SLW251" s="80"/>
      <c r="SLX251" s="80"/>
      <c r="SLY251" s="80"/>
      <c r="SLZ251" s="80"/>
      <c r="SMA251" s="80"/>
      <c r="SMB251" s="80"/>
      <c r="SMC251" s="80"/>
      <c r="SMD251" s="80"/>
      <c r="SME251" s="80"/>
      <c r="SMF251" s="80"/>
      <c r="SMG251" s="80"/>
      <c r="SMH251" s="80"/>
      <c r="SMI251" s="80"/>
      <c r="SMJ251" s="80"/>
      <c r="SMK251" s="80"/>
      <c r="SML251" s="80"/>
      <c r="SMM251" s="80"/>
      <c r="SMN251" s="80"/>
      <c r="SMO251" s="80"/>
      <c r="SMP251" s="80"/>
      <c r="SMQ251" s="80"/>
      <c r="SMR251" s="80"/>
      <c r="SMS251" s="80"/>
      <c r="SMT251" s="80"/>
      <c r="SMU251" s="80"/>
      <c r="SMV251" s="80"/>
      <c r="SMW251" s="80"/>
      <c r="SMX251" s="80"/>
      <c r="SMY251" s="80"/>
      <c r="SMZ251" s="80"/>
      <c r="SNA251" s="80"/>
      <c r="SNB251" s="80"/>
      <c r="SNC251" s="80"/>
      <c r="SND251" s="80"/>
      <c r="SNE251" s="80"/>
      <c r="SNF251" s="80"/>
      <c r="SNG251" s="80"/>
      <c r="SNH251" s="80"/>
      <c r="SNI251" s="80"/>
      <c r="SNJ251" s="80"/>
      <c r="SNK251" s="80"/>
      <c r="SNL251" s="80"/>
      <c r="SNM251" s="80"/>
      <c r="SNN251" s="80"/>
      <c r="SNO251" s="80"/>
      <c r="SNP251" s="80"/>
      <c r="SNQ251" s="80"/>
      <c r="SNR251" s="80"/>
      <c r="SNS251" s="80"/>
      <c r="SNT251" s="80"/>
      <c r="SNU251" s="80"/>
      <c r="SNV251" s="80"/>
      <c r="SNW251" s="80"/>
      <c r="SNX251" s="80"/>
      <c r="SNY251" s="80"/>
      <c r="SNZ251" s="80"/>
      <c r="SOA251" s="80"/>
      <c r="SOB251" s="80"/>
      <c r="SOC251" s="80"/>
      <c r="SOD251" s="80"/>
      <c r="SOE251" s="80"/>
      <c r="SOF251" s="80"/>
      <c r="SOG251" s="80"/>
      <c r="SOH251" s="80"/>
      <c r="SOI251" s="80"/>
      <c r="SOJ251" s="80"/>
      <c r="SOK251" s="80"/>
      <c r="SOL251" s="80"/>
      <c r="SOM251" s="80"/>
      <c r="SON251" s="80"/>
      <c r="SOO251" s="80"/>
      <c r="SOP251" s="80"/>
      <c r="SOQ251" s="80"/>
      <c r="SOR251" s="80"/>
      <c r="SOS251" s="80"/>
      <c r="SOT251" s="80"/>
      <c r="SOU251" s="80"/>
      <c r="SOV251" s="80"/>
      <c r="SOW251" s="80"/>
      <c r="SOX251" s="80"/>
      <c r="SOY251" s="80"/>
      <c r="SOZ251" s="80"/>
      <c r="SPA251" s="80"/>
      <c r="SPB251" s="80"/>
      <c r="SPC251" s="80"/>
      <c r="SPD251" s="80"/>
      <c r="SPE251" s="80"/>
      <c r="SPF251" s="80"/>
      <c r="SPG251" s="80"/>
      <c r="SPH251" s="80"/>
      <c r="SPI251" s="80"/>
      <c r="SPJ251" s="80"/>
      <c r="SPK251" s="80"/>
      <c r="SPL251" s="80"/>
      <c r="SPM251" s="80"/>
      <c r="SPN251" s="80"/>
      <c r="SPO251" s="80"/>
      <c r="SPP251" s="80"/>
      <c r="SPQ251" s="80"/>
      <c r="SPR251" s="80"/>
      <c r="SPS251" s="80"/>
      <c r="SPT251" s="80"/>
      <c r="SPU251" s="80"/>
      <c r="SPV251" s="80"/>
      <c r="SPW251" s="80"/>
      <c r="SPX251" s="80"/>
      <c r="SPY251" s="80"/>
      <c r="SPZ251" s="80"/>
      <c r="SQA251" s="80"/>
      <c r="SQB251" s="80"/>
      <c r="SQC251" s="80"/>
      <c r="SQD251" s="80"/>
      <c r="SQE251" s="80"/>
      <c r="SQF251" s="80"/>
      <c r="SQG251" s="80"/>
      <c r="SQH251" s="80"/>
      <c r="SQI251" s="80"/>
      <c r="SQJ251" s="80"/>
      <c r="SQK251" s="80"/>
      <c r="SQL251" s="80"/>
      <c r="SQM251" s="80"/>
      <c r="SQN251" s="80"/>
      <c r="SQO251" s="80"/>
      <c r="SQP251" s="80"/>
      <c r="SQQ251" s="80"/>
      <c r="SQR251" s="80"/>
      <c r="SQS251" s="80"/>
      <c r="SQT251" s="80"/>
      <c r="SQU251" s="80"/>
      <c r="SQV251" s="80"/>
      <c r="SQW251" s="80"/>
      <c r="SQX251" s="80"/>
      <c r="SQY251" s="80"/>
      <c r="SQZ251" s="80"/>
      <c r="SRA251" s="80"/>
      <c r="SRB251" s="80"/>
      <c r="SRC251" s="80"/>
      <c r="SRD251" s="80"/>
      <c r="SRE251" s="80"/>
      <c r="SRF251" s="80"/>
      <c r="SRG251" s="80"/>
      <c r="SRH251" s="80"/>
      <c r="SRI251" s="80"/>
      <c r="SRJ251" s="80"/>
      <c r="SRK251" s="80"/>
      <c r="SRL251" s="80"/>
      <c r="SRM251" s="80"/>
      <c r="SRN251" s="80"/>
      <c r="SRO251" s="80"/>
      <c r="SRP251" s="80"/>
      <c r="SRQ251" s="80"/>
      <c r="SRR251" s="80"/>
      <c r="SRS251" s="80"/>
      <c r="SRT251" s="80"/>
      <c r="SRU251" s="80"/>
      <c r="SRV251" s="80"/>
      <c r="SRW251" s="80"/>
      <c r="SRX251" s="80"/>
      <c r="SRY251" s="80"/>
      <c r="SRZ251" s="80"/>
      <c r="SSA251" s="80"/>
      <c r="SSB251" s="80"/>
      <c r="SSC251" s="80"/>
      <c r="SSD251" s="80"/>
      <c r="SSE251" s="80"/>
      <c r="SSF251" s="80"/>
      <c r="SSG251" s="80"/>
      <c r="SSH251" s="80"/>
      <c r="SSI251" s="80"/>
      <c r="SSJ251" s="80"/>
      <c r="SSK251" s="80"/>
      <c r="SSL251" s="80"/>
      <c r="SSM251" s="80"/>
      <c r="SSN251" s="80"/>
      <c r="SSO251" s="80"/>
      <c r="SSP251" s="80"/>
      <c r="SSQ251" s="80"/>
      <c r="SSR251" s="80"/>
      <c r="SSS251" s="80"/>
      <c r="SST251" s="80"/>
      <c r="SSU251" s="80"/>
      <c r="SSV251" s="80"/>
      <c r="SSW251" s="80"/>
      <c r="SSX251" s="80"/>
      <c r="SSY251" s="80"/>
      <c r="SSZ251" s="80"/>
      <c r="STA251" s="80"/>
      <c r="STB251" s="80"/>
      <c r="STC251" s="80"/>
      <c r="STD251" s="80"/>
      <c r="STE251" s="80"/>
      <c r="STF251" s="80"/>
      <c r="STG251" s="80"/>
      <c r="STH251" s="80"/>
      <c r="STI251" s="80"/>
      <c r="STJ251" s="80"/>
      <c r="STK251" s="80"/>
      <c r="STL251" s="80"/>
      <c r="STM251" s="80"/>
      <c r="STN251" s="80"/>
      <c r="STO251" s="80"/>
      <c r="STP251" s="80"/>
      <c r="STQ251" s="80"/>
      <c r="STR251" s="80"/>
      <c r="STS251" s="80"/>
      <c r="STT251" s="80"/>
      <c r="STU251" s="80"/>
      <c r="STV251" s="80"/>
      <c r="STW251" s="80"/>
      <c r="STX251" s="80"/>
      <c r="STY251" s="80"/>
      <c r="STZ251" s="80"/>
      <c r="SUA251" s="80"/>
      <c r="SUB251" s="80"/>
      <c r="SUC251" s="80"/>
      <c r="SUD251" s="80"/>
      <c r="SUE251" s="80"/>
      <c r="SUF251" s="80"/>
      <c r="SUG251" s="80"/>
      <c r="SUH251" s="80"/>
      <c r="SUI251" s="80"/>
      <c r="SUJ251" s="80"/>
      <c r="SUK251" s="80"/>
      <c r="SUL251" s="80"/>
      <c r="SUM251" s="80"/>
      <c r="SUN251" s="80"/>
      <c r="SUO251" s="80"/>
      <c r="SUP251" s="80"/>
      <c r="SUQ251" s="80"/>
      <c r="SUR251" s="80"/>
      <c r="SUS251" s="80"/>
      <c r="SUT251" s="80"/>
      <c r="SUU251" s="80"/>
      <c r="SUV251" s="80"/>
      <c r="SUW251" s="80"/>
      <c r="SUX251" s="80"/>
      <c r="SUY251" s="80"/>
      <c r="SUZ251" s="80"/>
      <c r="SVA251" s="80"/>
      <c r="SVB251" s="80"/>
      <c r="SVC251" s="80"/>
      <c r="SVD251" s="80"/>
      <c r="SVE251" s="80"/>
      <c r="SVF251" s="80"/>
      <c r="SVG251" s="80"/>
      <c r="SVH251" s="80"/>
      <c r="SVI251" s="80"/>
      <c r="SVJ251" s="80"/>
      <c r="SVK251" s="80"/>
      <c r="SVL251" s="80"/>
      <c r="SVM251" s="80"/>
      <c r="SVN251" s="80"/>
      <c r="SVO251" s="80"/>
      <c r="SVP251" s="80"/>
      <c r="SVQ251" s="80"/>
      <c r="SVR251" s="80"/>
      <c r="SVS251" s="80"/>
      <c r="SVT251" s="80"/>
      <c r="SVU251" s="80"/>
      <c r="SVV251" s="80"/>
      <c r="SVW251" s="80"/>
      <c r="SVX251" s="80"/>
      <c r="SVY251" s="80"/>
      <c r="SVZ251" s="80"/>
      <c r="SWA251" s="80"/>
      <c r="SWB251" s="80"/>
      <c r="SWC251" s="80"/>
      <c r="SWD251" s="80"/>
      <c r="SWE251" s="80"/>
      <c r="SWF251" s="80"/>
      <c r="SWG251" s="80"/>
      <c r="SWH251" s="80"/>
      <c r="SWI251" s="80"/>
      <c r="SWJ251" s="80"/>
      <c r="SWK251" s="80"/>
      <c r="SWL251" s="80"/>
      <c r="SWM251" s="80"/>
      <c r="SWN251" s="80"/>
      <c r="SWO251" s="80"/>
      <c r="SWP251" s="80"/>
      <c r="SWQ251" s="80"/>
      <c r="SWR251" s="80"/>
      <c r="SWS251" s="80"/>
      <c r="SWT251" s="80"/>
      <c r="SWU251" s="80"/>
      <c r="SWV251" s="80"/>
      <c r="SWW251" s="80"/>
      <c r="SWX251" s="80"/>
      <c r="SWY251" s="80"/>
      <c r="SWZ251" s="80"/>
      <c r="SXA251" s="80"/>
      <c r="SXB251" s="80"/>
      <c r="SXC251" s="80"/>
      <c r="SXD251" s="80"/>
      <c r="SXE251" s="80"/>
      <c r="SXF251" s="80"/>
      <c r="SXG251" s="80"/>
      <c r="SXH251" s="80"/>
      <c r="SXI251" s="80"/>
      <c r="SXJ251" s="80"/>
      <c r="SXK251" s="80"/>
      <c r="SXL251" s="80"/>
      <c r="SXM251" s="80"/>
      <c r="SXN251" s="80"/>
      <c r="SXO251" s="80"/>
      <c r="SXP251" s="80"/>
      <c r="SXQ251" s="80"/>
      <c r="SXR251" s="80"/>
      <c r="SXS251" s="80"/>
      <c r="SXT251" s="80"/>
      <c r="SXU251" s="80"/>
      <c r="SXV251" s="80"/>
      <c r="SXW251" s="80"/>
      <c r="SXX251" s="80"/>
      <c r="SXY251" s="80"/>
      <c r="SXZ251" s="80"/>
      <c r="SYA251" s="80"/>
      <c r="SYB251" s="80"/>
      <c r="SYC251" s="80"/>
      <c r="SYD251" s="80"/>
      <c r="SYE251" s="80"/>
      <c r="SYF251" s="80"/>
      <c r="SYG251" s="80"/>
      <c r="SYH251" s="80"/>
      <c r="SYI251" s="80"/>
      <c r="SYJ251" s="80"/>
      <c r="SYK251" s="80"/>
      <c r="SYL251" s="80"/>
      <c r="SYM251" s="80"/>
      <c r="SYN251" s="80"/>
      <c r="SYO251" s="80"/>
      <c r="SYP251" s="80"/>
      <c r="SYQ251" s="80"/>
      <c r="SYR251" s="80"/>
      <c r="SYS251" s="80"/>
      <c r="SYT251" s="80"/>
      <c r="SYU251" s="80"/>
      <c r="SYV251" s="80"/>
      <c r="SYW251" s="80"/>
      <c r="SYX251" s="80"/>
      <c r="SYY251" s="80"/>
      <c r="SYZ251" s="80"/>
      <c r="SZA251" s="80"/>
      <c r="SZB251" s="80"/>
      <c r="SZC251" s="80"/>
      <c r="SZD251" s="80"/>
      <c r="SZE251" s="80"/>
      <c r="SZF251" s="80"/>
      <c r="SZG251" s="80"/>
      <c r="SZH251" s="80"/>
      <c r="SZI251" s="80"/>
      <c r="SZJ251" s="80"/>
      <c r="SZK251" s="80"/>
      <c r="SZL251" s="80"/>
      <c r="SZM251" s="80"/>
      <c r="SZN251" s="80"/>
      <c r="SZO251" s="80"/>
      <c r="SZP251" s="80"/>
      <c r="SZQ251" s="80"/>
      <c r="SZR251" s="80"/>
      <c r="SZS251" s="80"/>
      <c r="SZT251" s="80"/>
      <c r="SZU251" s="80"/>
      <c r="SZV251" s="80"/>
      <c r="SZW251" s="80"/>
      <c r="SZX251" s="80"/>
      <c r="SZY251" s="80"/>
      <c r="SZZ251" s="80"/>
      <c r="TAA251" s="80"/>
      <c r="TAB251" s="80"/>
      <c r="TAC251" s="80"/>
      <c r="TAD251" s="80"/>
      <c r="TAE251" s="80"/>
      <c r="TAF251" s="80"/>
      <c r="TAG251" s="80"/>
      <c r="TAH251" s="80"/>
      <c r="TAI251" s="80"/>
      <c r="TAJ251" s="80"/>
      <c r="TAK251" s="80"/>
      <c r="TAL251" s="80"/>
      <c r="TAM251" s="80"/>
      <c r="TAN251" s="80"/>
      <c r="TAO251" s="80"/>
      <c r="TAP251" s="80"/>
      <c r="TAQ251" s="80"/>
      <c r="TAR251" s="80"/>
      <c r="TAS251" s="80"/>
      <c r="TAT251" s="80"/>
      <c r="TAU251" s="80"/>
      <c r="TAV251" s="80"/>
      <c r="TAW251" s="80"/>
      <c r="TAX251" s="80"/>
      <c r="TAY251" s="80"/>
      <c r="TAZ251" s="80"/>
      <c r="TBA251" s="80"/>
      <c r="TBB251" s="80"/>
      <c r="TBC251" s="80"/>
      <c r="TBD251" s="80"/>
      <c r="TBE251" s="80"/>
      <c r="TBF251" s="80"/>
      <c r="TBG251" s="80"/>
      <c r="TBH251" s="80"/>
      <c r="TBI251" s="80"/>
      <c r="TBJ251" s="80"/>
      <c r="TBK251" s="80"/>
      <c r="TBL251" s="80"/>
      <c r="TBM251" s="80"/>
      <c r="TBN251" s="80"/>
      <c r="TBO251" s="80"/>
      <c r="TBP251" s="80"/>
      <c r="TBQ251" s="80"/>
      <c r="TBR251" s="80"/>
      <c r="TBS251" s="80"/>
      <c r="TBT251" s="80"/>
      <c r="TBU251" s="80"/>
      <c r="TBV251" s="80"/>
      <c r="TBW251" s="80"/>
      <c r="TBX251" s="80"/>
      <c r="TBY251" s="80"/>
      <c r="TBZ251" s="80"/>
      <c r="TCA251" s="80"/>
      <c r="TCB251" s="80"/>
      <c r="TCC251" s="80"/>
      <c r="TCD251" s="80"/>
      <c r="TCE251" s="80"/>
      <c r="TCF251" s="80"/>
      <c r="TCG251" s="80"/>
      <c r="TCH251" s="80"/>
      <c r="TCI251" s="80"/>
      <c r="TCJ251" s="80"/>
      <c r="TCK251" s="80"/>
      <c r="TCL251" s="80"/>
      <c r="TCM251" s="80"/>
      <c r="TCN251" s="80"/>
      <c r="TCO251" s="80"/>
      <c r="TCP251" s="80"/>
      <c r="TCQ251" s="80"/>
      <c r="TCR251" s="80"/>
      <c r="TCS251" s="80"/>
      <c r="TCT251" s="80"/>
      <c r="TCU251" s="80"/>
      <c r="TCV251" s="80"/>
      <c r="TCW251" s="80"/>
      <c r="TCX251" s="80"/>
      <c r="TCY251" s="80"/>
      <c r="TCZ251" s="80"/>
      <c r="TDA251" s="80"/>
      <c r="TDB251" s="80"/>
      <c r="TDC251" s="80"/>
      <c r="TDD251" s="80"/>
      <c r="TDE251" s="80"/>
      <c r="TDF251" s="80"/>
      <c r="TDG251" s="80"/>
      <c r="TDH251" s="80"/>
      <c r="TDI251" s="80"/>
      <c r="TDJ251" s="80"/>
      <c r="TDK251" s="80"/>
      <c r="TDL251" s="80"/>
      <c r="TDM251" s="80"/>
      <c r="TDN251" s="80"/>
      <c r="TDO251" s="80"/>
      <c r="TDP251" s="80"/>
      <c r="TDQ251" s="80"/>
      <c r="TDR251" s="80"/>
      <c r="TDS251" s="80"/>
      <c r="TDT251" s="80"/>
      <c r="TDU251" s="80"/>
      <c r="TDV251" s="80"/>
      <c r="TDW251" s="80"/>
      <c r="TDX251" s="80"/>
      <c r="TDY251" s="80"/>
      <c r="TDZ251" s="80"/>
      <c r="TEA251" s="80"/>
      <c r="TEB251" s="80"/>
      <c r="TEC251" s="80"/>
      <c r="TED251" s="80"/>
      <c r="TEE251" s="80"/>
      <c r="TEF251" s="80"/>
      <c r="TEG251" s="80"/>
      <c r="TEH251" s="80"/>
      <c r="TEI251" s="80"/>
      <c r="TEJ251" s="80"/>
      <c r="TEK251" s="80"/>
      <c r="TEL251" s="80"/>
      <c r="TEM251" s="80"/>
      <c r="TEN251" s="80"/>
      <c r="TEO251" s="80"/>
      <c r="TEP251" s="80"/>
      <c r="TEQ251" s="80"/>
      <c r="TER251" s="80"/>
      <c r="TES251" s="80"/>
      <c r="TET251" s="80"/>
      <c r="TEU251" s="80"/>
      <c r="TEV251" s="80"/>
      <c r="TEW251" s="80"/>
      <c r="TEX251" s="80"/>
      <c r="TEY251" s="80"/>
      <c r="TEZ251" s="80"/>
      <c r="TFA251" s="80"/>
      <c r="TFB251" s="80"/>
      <c r="TFC251" s="80"/>
      <c r="TFD251" s="80"/>
      <c r="TFE251" s="80"/>
      <c r="TFF251" s="80"/>
      <c r="TFG251" s="80"/>
      <c r="TFH251" s="80"/>
      <c r="TFI251" s="80"/>
      <c r="TFJ251" s="80"/>
      <c r="TFK251" s="80"/>
      <c r="TFL251" s="80"/>
      <c r="TFM251" s="80"/>
      <c r="TFN251" s="80"/>
      <c r="TFO251" s="80"/>
      <c r="TFP251" s="80"/>
      <c r="TFQ251" s="80"/>
      <c r="TFR251" s="80"/>
      <c r="TFS251" s="80"/>
      <c r="TFT251" s="80"/>
      <c r="TFU251" s="80"/>
      <c r="TFV251" s="80"/>
      <c r="TFW251" s="80"/>
      <c r="TFX251" s="80"/>
      <c r="TFY251" s="80"/>
      <c r="TFZ251" s="80"/>
      <c r="TGA251" s="80"/>
      <c r="TGB251" s="80"/>
      <c r="TGC251" s="80"/>
      <c r="TGD251" s="80"/>
      <c r="TGE251" s="80"/>
      <c r="TGF251" s="80"/>
      <c r="TGG251" s="80"/>
      <c r="TGH251" s="80"/>
      <c r="TGI251" s="80"/>
      <c r="TGJ251" s="80"/>
      <c r="TGK251" s="80"/>
      <c r="TGL251" s="80"/>
      <c r="TGM251" s="80"/>
      <c r="TGN251" s="80"/>
      <c r="TGO251" s="80"/>
      <c r="TGP251" s="80"/>
      <c r="TGQ251" s="80"/>
      <c r="TGR251" s="80"/>
      <c r="TGS251" s="80"/>
      <c r="TGT251" s="80"/>
      <c r="TGU251" s="80"/>
      <c r="TGV251" s="80"/>
      <c r="TGW251" s="80"/>
      <c r="TGX251" s="80"/>
      <c r="TGY251" s="80"/>
      <c r="TGZ251" s="80"/>
      <c r="THA251" s="80"/>
      <c r="THB251" s="80"/>
      <c r="THC251" s="80"/>
      <c r="THD251" s="80"/>
      <c r="THE251" s="80"/>
      <c r="THF251" s="80"/>
      <c r="THG251" s="80"/>
      <c r="THH251" s="80"/>
      <c r="THI251" s="80"/>
      <c r="THJ251" s="80"/>
      <c r="THK251" s="80"/>
      <c r="THL251" s="80"/>
      <c r="THM251" s="80"/>
      <c r="THN251" s="80"/>
      <c r="THO251" s="80"/>
      <c r="THP251" s="80"/>
      <c r="THQ251" s="80"/>
      <c r="THR251" s="80"/>
      <c r="THS251" s="80"/>
      <c r="THT251" s="80"/>
      <c r="THU251" s="80"/>
      <c r="THV251" s="80"/>
      <c r="THW251" s="80"/>
      <c r="THX251" s="80"/>
      <c r="THY251" s="80"/>
      <c r="THZ251" s="80"/>
      <c r="TIA251" s="80"/>
      <c r="TIB251" s="80"/>
      <c r="TIC251" s="80"/>
      <c r="TID251" s="80"/>
      <c r="TIE251" s="80"/>
      <c r="TIF251" s="80"/>
      <c r="TIG251" s="80"/>
      <c r="TIH251" s="80"/>
      <c r="TII251" s="80"/>
      <c r="TIJ251" s="80"/>
      <c r="TIK251" s="80"/>
      <c r="TIL251" s="80"/>
      <c r="TIM251" s="80"/>
      <c r="TIN251" s="80"/>
      <c r="TIO251" s="80"/>
      <c r="TIP251" s="80"/>
      <c r="TIQ251" s="80"/>
      <c r="TIR251" s="80"/>
      <c r="TIS251" s="80"/>
      <c r="TIT251" s="80"/>
      <c r="TIU251" s="80"/>
      <c r="TIV251" s="80"/>
      <c r="TIW251" s="80"/>
      <c r="TIX251" s="80"/>
      <c r="TIY251" s="80"/>
      <c r="TIZ251" s="80"/>
      <c r="TJA251" s="80"/>
      <c r="TJB251" s="80"/>
      <c r="TJC251" s="80"/>
      <c r="TJD251" s="80"/>
      <c r="TJE251" s="80"/>
      <c r="TJF251" s="80"/>
      <c r="TJG251" s="80"/>
      <c r="TJH251" s="80"/>
      <c r="TJI251" s="80"/>
      <c r="TJJ251" s="80"/>
      <c r="TJK251" s="80"/>
      <c r="TJL251" s="80"/>
      <c r="TJM251" s="80"/>
      <c r="TJN251" s="80"/>
      <c r="TJO251" s="80"/>
      <c r="TJP251" s="80"/>
      <c r="TJQ251" s="80"/>
      <c r="TJR251" s="80"/>
      <c r="TJS251" s="80"/>
      <c r="TJT251" s="80"/>
      <c r="TJU251" s="80"/>
      <c r="TJV251" s="80"/>
      <c r="TJW251" s="80"/>
      <c r="TJX251" s="80"/>
      <c r="TJY251" s="80"/>
      <c r="TJZ251" s="80"/>
      <c r="TKA251" s="80"/>
      <c r="TKB251" s="80"/>
      <c r="TKC251" s="80"/>
      <c r="TKD251" s="80"/>
      <c r="TKE251" s="80"/>
      <c r="TKF251" s="80"/>
      <c r="TKG251" s="80"/>
      <c r="TKH251" s="80"/>
      <c r="TKI251" s="80"/>
      <c r="TKJ251" s="80"/>
      <c r="TKK251" s="80"/>
      <c r="TKL251" s="80"/>
      <c r="TKM251" s="80"/>
      <c r="TKN251" s="80"/>
      <c r="TKO251" s="80"/>
      <c r="TKP251" s="80"/>
      <c r="TKQ251" s="80"/>
      <c r="TKR251" s="80"/>
      <c r="TKS251" s="80"/>
      <c r="TKT251" s="80"/>
      <c r="TKU251" s="80"/>
      <c r="TKV251" s="80"/>
      <c r="TKW251" s="80"/>
      <c r="TKX251" s="80"/>
      <c r="TKY251" s="80"/>
      <c r="TKZ251" s="80"/>
      <c r="TLA251" s="80"/>
      <c r="TLB251" s="80"/>
      <c r="TLC251" s="80"/>
      <c r="TLD251" s="80"/>
      <c r="TLE251" s="80"/>
      <c r="TLF251" s="80"/>
      <c r="TLG251" s="80"/>
      <c r="TLH251" s="80"/>
      <c r="TLI251" s="80"/>
      <c r="TLJ251" s="80"/>
      <c r="TLK251" s="80"/>
      <c r="TLL251" s="80"/>
      <c r="TLM251" s="80"/>
      <c r="TLN251" s="80"/>
      <c r="TLO251" s="80"/>
      <c r="TLP251" s="80"/>
      <c r="TLQ251" s="80"/>
      <c r="TLR251" s="80"/>
      <c r="TLS251" s="80"/>
      <c r="TLT251" s="80"/>
      <c r="TLU251" s="80"/>
      <c r="TLV251" s="80"/>
      <c r="TLW251" s="80"/>
      <c r="TLX251" s="80"/>
      <c r="TLY251" s="80"/>
      <c r="TLZ251" s="80"/>
      <c r="TMA251" s="80"/>
      <c r="TMB251" s="80"/>
      <c r="TMC251" s="80"/>
      <c r="TMD251" s="80"/>
      <c r="TME251" s="80"/>
      <c r="TMF251" s="80"/>
      <c r="TMG251" s="80"/>
      <c r="TMH251" s="80"/>
      <c r="TMI251" s="80"/>
      <c r="TMJ251" s="80"/>
      <c r="TMK251" s="80"/>
      <c r="TML251" s="80"/>
      <c r="TMM251" s="80"/>
      <c r="TMN251" s="80"/>
      <c r="TMO251" s="80"/>
      <c r="TMP251" s="80"/>
      <c r="TMQ251" s="80"/>
      <c r="TMR251" s="80"/>
      <c r="TMS251" s="80"/>
      <c r="TMT251" s="80"/>
      <c r="TMU251" s="80"/>
      <c r="TMV251" s="80"/>
      <c r="TMW251" s="80"/>
      <c r="TMX251" s="80"/>
      <c r="TMY251" s="80"/>
      <c r="TMZ251" s="80"/>
      <c r="TNA251" s="80"/>
      <c r="TNB251" s="80"/>
      <c r="TNC251" s="80"/>
      <c r="TND251" s="80"/>
      <c r="TNE251" s="80"/>
      <c r="TNF251" s="80"/>
      <c r="TNG251" s="80"/>
      <c r="TNH251" s="80"/>
      <c r="TNI251" s="80"/>
      <c r="TNJ251" s="80"/>
      <c r="TNK251" s="80"/>
      <c r="TNL251" s="80"/>
      <c r="TNM251" s="80"/>
      <c r="TNN251" s="80"/>
      <c r="TNO251" s="80"/>
      <c r="TNP251" s="80"/>
      <c r="TNQ251" s="80"/>
      <c r="TNR251" s="80"/>
      <c r="TNS251" s="80"/>
      <c r="TNT251" s="80"/>
      <c r="TNU251" s="80"/>
      <c r="TNV251" s="80"/>
      <c r="TNW251" s="80"/>
      <c r="TNX251" s="80"/>
      <c r="TNY251" s="80"/>
      <c r="TNZ251" s="80"/>
      <c r="TOA251" s="80"/>
      <c r="TOB251" s="80"/>
      <c r="TOC251" s="80"/>
      <c r="TOD251" s="80"/>
      <c r="TOE251" s="80"/>
      <c r="TOF251" s="80"/>
      <c r="TOG251" s="80"/>
      <c r="TOH251" s="80"/>
      <c r="TOI251" s="80"/>
      <c r="TOJ251" s="80"/>
      <c r="TOK251" s="80"/>
      <c r="TOL251" s="80"/>
      <c r="TOM251" s="80"/>
      <c r="TON251" s="80"/>
      <c r="TOO251" s="80"/>
      <c r="TOP251" s="80"/>
      <c r="TOQ251" s="80"/>
      <c r="TOR251" s="80"/>
      <c r="TOS251" s="80"/>
      <c r="TOT251" s="80"/>
      <c r="TOU251" s="80"/>
      <c r="TOV251" s="80"/>
      <c r="TOW251" s="80"/>
      <c r="TOX251" s="80"/>
      <c r="TOY251" s="80"/>
      <c r="TOZ251" s="80"/>
      <c r="TPA251" s="80"/>
      <c r="TPB251" s="80"/>
      <c r="TPC251" s="80"/>
      <c r="TPD251" s="80"/>
      <c r="TPE251" s="80"/>
      <c r="TPF251" s="80"/>
      <c r="TPG251" s="80"/>
      <c r="TPH251" s="80"/>
      <c r="TPI251" s="80"/>
      <c r="TPJ251" s="80"/>
      <c r="TPK251" s="80"/>
      <c r="TPL251" s="80"/>
      <c r="TPM251" s="80"/>
      <c r="TPN251" s="80"/>
      <c r="TPO251" s="80"/>
      <c r="TPP251" s="80"/>
      <c r="TPQ251" s="80"/>
      <c r="TPR251" s="80"/>
      <c r="TPS251" s="80"/>
      <c r="TPT251" s="80"/>
      <c r="TPU251" s="80"/>
      <c r="TPV251" s="80"/>
      <c r="TPW251" s="80"/>
      <c r="TPX251" s="80"/>
      <c r="TPY251" s="80"/>
      <c r="TPZ251" s="80"/>
      <c r="TQA251" s="80"/>
      <c r="TQB251" s="80"/>
      <c r="TQC251" s="80"/>
      <c r="TQD251" s="80"/>
      <c r="TQE251" s="80"/>
      <c r="TQF251" s="80"/>
      <c r="TQG251" s="80"/>
      <c r="TQH251" s="80"/>
      <c r="TQI251" s="80"/>
      <c r="TQJ251" s="80"/>
      <c r="TQK251" s="80"/>
      <c r="TQL251" s="80"/>
      <c r="TQM251" s="80"/>
      <c r="TQN251" s="80"/>
      <c r="TQO251" s="80"/>
      <c r="TQP251" s="80"/>
      <c r="TQQ251" s="80"/>
      <c r="TQR251" s="80"/>
      <c r="TQS251" s="80"/>
      <c r="TQT251" s="80"/>
      <c r="TQU251" s="80"/>
      <c r="TQV251" s="80"/>
      <c r="TQW251" s="80"/>
      <c r="TQX251" s="80"/>
      <c r="TQY251" s="80"/>
      <c r="TQZ251" s="80"/>
      <c r="TRA251" s="80"/>
      <c r="TRB251" s="80"/>
      <c r="TRC251" s="80"/>
      <c r="TRD251" s="80"/>
      <c r="TRE251" s="80"/>
      <c r="TRF251" s="80"/>
      <c r="TRG251" s="80"/>
      <c r="TRH251" s="80"/>
      <c r="TRI251" s="80"/>
      <c r="TRJ251" s="80"/>
      <c r="TRK251" s="80"/>
      <c r="TRL251" s="80"/>
      <c r="TRM251" s="80"/>
      <c r="TRN251" s="80"/>
      <c r="TRO251" s="80"/>
      <c r="TRP251" s="80"/>
      <c r="TRQ251" s="80"/>
      <c r="TRR251" s="80"/>
      <c r="TRS251" s="80"/>
      <c r="TRT251" s="80"/>
      <c r="TRU251" s="80"/>
      <c r="TRV251" s="80"/>
      <c r="TRW251" s="80"/>
      <c r="TRX251" s="80"/>
      <c r="TRY251" s="80"/>
      <c r="TRZ251" s="80"/>
      <c r="TSA251" s="80"/>
      <c r="TSB251" s="80"/>
      <c r="TSC251" s="80"/>
      <c r="TSD251" s="80"/>
      <c r="TSE251" s="80"/>
      <c r="TSF251" s="80"/>
      <c r="TSG251" s="80"/>
      <c r="TSH251" s="80"/>
      <c r="TSI251" s="80"/>
      <c r="TSJ251" s="80"/>
      <c r="TSK251" s="80"/>
      <c r="TSL251" s="80"/>
      <c r="TSM251" s="80"/>
      <c r="TSN251" s="80"/>
      <c r="TSO251" s="80"/>
      <c r="TSP251" s="80"/>
      <c r="TSQ251" s="80"/>
      <c r="TSR251" s="80"/>
      <c r="TSS251" s="80"/>
      <c r="TST251" s="80"/>
      <c r="TSU251" s="80"/>
      <c r="TSV251" s="80"/>
      <c r="TSW251" s="80"/>
      <c r="TSX251" s="80"/>
      <c r="TSY251" s="80"/>
      <c r="TSZ251" s="80"/>
      <c r="TTA251" s="80"/>
      <c r="TTB251" s="80"/>
      <c r="TTC251" s="80"/>
      <c r="TTD251" s="80"/>
      <c r="TTE251" s="80"/>
      <c r="TTF251" s="80"/>
      <c r="TTG251" s="80"/>
      <c r="TTH251" s="80"/>
      <c r="TTI251" s="80"/>
      <c r="TTJ251" s="80"/>
      <c r="TTK251" s="80"/>
      <c r="TTL251" s="80"/>
      <c r="TTM251" s="80"/>
      <c r="TTN251" s="80"/>
      <c r="TTO251" s="80"/>
      <c r="TTP251" s="80"/>
      <c r="TTQ251" s="80"/>
      <c r="TTR251" s="80"/>
      <c r="TTS251" s="80"/>
      <c r="TTT251" s="80"/>
      <c r="TTU251" s="80"/>
      <c r="TTV251" s="80"/>
      <c r="TTW251" s="80"/>
      <c r="TTX251" s="80"/>
      <c r="TTY251" s="80"/>
      <c r="TTZ251" s="80"/>
      <c r="TUA251" s="80"/>
      <c r="TUB251" s="80"/>
      <c r="TUC251" s="80"/>
      <c r="TUD251" s="80"/>
      <c r="TUE251" s="80"/>
      <c r="TUF251" s="80"/>
      <c r="TUG251" s="80"/>
      <c r="TUH251" s="80"/>
      <c r="TUI251" s="80"/>
      <c r="TUJ251" s="80"/>
      <c r="TUK251" s="80"/>
      <c r="TUL251" s="80"/>
      <c r="TUM251" s="80"/>
      <c r="TUN251" s="80"/>
      <c r="TUO251" s="80"/>
      <c r="TUP251" s="80"/>
      <c r="TUQ251" s="80"/>
      <c r="TUR251" s="80"/>
      <c r="TUS251" s="80"/>
      <c r="TUT251" s="80"/>
      <c r="TUU251" s="80"/>
      <c r="TUV251" s="80"/>
      <c r="TUW251" s="80"/>
      <c r="TUX251" s="80"/>
      <c r="TUY251" s="80"/>
      <c r="TUZ251" s="80"/>
      <c r="TVA251" s="80"/>
      <c r="TVB251" s="80"/>
      <c r="TVC251" s="80"/>
      <c r="TVD251" s="80"/>
      <c r="TVE251" s="80"/>
      <c r="TVF251" s="80"/>
      <c r="TVG251" s="80"/>
      <c r="TVH251" s="80"/>
      <c r="TVI251" s="80"/>
      <c r="TVJ251" s="80"/>
      <c r="TVK251" s="80"/>
      <c r="TVL251" s="80"/>
      <c r="TVM251" s="80"/>
      <c r="TVN251" s="80"/>
      <c r="TVO251" s="80"/>
      <c r="TVP251" s="80"/>
      <c r="TVQ251" s="80"/>
      <c r="TVR251" s="80"/>
      <c r="TVS251" s="80"/>
      <c r="TVT251" s="80"/>
      <c r="TVU251" s="80"/>
      <c r="TVV251" s="80"/>
      <c r="TVW251" s="80"/>
      <c r="TVX251" s="80"/>
      <c r="TVY251" s="80"/>
      <c r="TVZ251" s="80"/>
      <c r="TWA251" s="80"/>
      <c r="TWB251" s="80"/>
      <c r="TWC251" s="80"/>
      <c r="TWD251" s="80"/>
      <c r="TWE251" s="80"/>
      <c r="TWF251" s="80"/>
      <c r="TWG251" s="80"/>
      <c r="TWH251" s="80"/>
      <c r="TWI251" s="80"/>
      <c r="TWJ251" s="80"/>
      <c r="TWK251" s="80"/>
      <c r="TWL251" s="80"/>
      <c r="TWM251" s="80"/>
      <c r="TWN251" s="80"/>
      <c r="TWO251" s="80"/>
      <c r="TWP251" s="80"/>
      <c r="TWQ251" s="80"/>
      <c r="TWR251" s="80"/>
      <c r="TWS251" s="80"/>
      <c r="TWT251" s="80"/>
      <c r="TWU251" s="80"/>
      <c r="TWV251" s="80"/>
      <c r="TWW251" s="80"/>
      <c r="TWX251" s="80"/>
      <c r="TWY251" s="80"/>
      <c r="TWZ251" s="80"/>
      <c r="TXA251" s="80"/>
      <c r="TXB251" s="80"/>
      <c r="TXC251" s="80"/>
      <c r="TXD251" s="80"/>
      <c r="TXE251" s="80"/>
      <c r="TXF251" s="80"/>
      <c r="TXG251" s="80"/>
      <c r="TXH251" s="80"/>
      <c r="TXI251" s="80"/>
      <c r="TXJ251" s="80"/>
      <c r="TXK251" s="80"/>
      <c r="TXL251" s="80"/>
      <c r="TXM251" s="80"/>
      <c r="TXN251" s="80"/>
      <c r="TXO251" s="80"/>
      <c r="TXP251" s="80"/>
      <c r="TXQ251" s="80"/>
      <c r="TXR251" s="80"/>
      <c r="TXS251" s="80"/>
      <c r="TXT251" s="80"/>
      <c r="TXU251" s="80"/>
      <c r="TXV251" s="80"/>
      <c r="TXW251" s="80"/>
      <c r="TXX251" s="80"/>
      <c r="TXY251" s="80"/>
      <c r="TXZ251" s="80"/>
      <c r="TYA251" s="80"/>
      <c r="TYB251" s="80"/>
      <c r="TYC251" s="80"/>
      <c r="TYD251" s="80"/>
      <c r="TYE251" s="80"/>
      <c r="TYF251" s="80"/>
      <c r="TYG251" s="80"/>
      <c r="TYH251" s="80"/>
      <c r="TYI251" s="80"/>
      <c r="TYJ251" s="80"/>
      <c r="TYK251" s="80"/>
      <c r="TYL251" s="80"/>
      <c r="TYM251" s="80"/>
      <c r="TYN251" s="80"/>
      <c r="TYO251" s="80"/>
      <c r="TYP251" s="80"/>
      <c r="TYQ251" s="80"/>
      <c r="TYR251" s="80"/>
      <c r="TYS251" s="80"/>
      <c r="TYT251" s="80"/>
      <c r="TYU251" s="80"/>
      <c r="TYV251" s="80"/>
      <c r="TYW251" s="80"/>
      <c r="TYX251" s="80"/>
      <c r="TYY251" s="80"/>
      <c r="TYZ251" s="80"/>
      <c r="TZA251" s="80"/>
      <c r="TZB251" s="80"/>
      <c r="TZC251" s="80"/>
      <c r="TZD251" s="80"/>
      <c r="TZE251" s="80"/>
      <c r="TZF251" s="80"/>
      <c r="TZG251" s="80"/>
      <c r="TZH251" s="80"/>
      <c r="TZI251" s="80"/>
      <c r="TZJ251" s="80"/>
      <c r="TZK251" s="80"/>
      <c r="TZL251" s="80"/>
      <c r="TZM251" s="80"/>
      <c r="TZN251" s="80"/>
      <c r="TZO251" s="80"/>
      <c r="TZP251" s="80"/>
      <c r="TZQ251" s="80"/>
      <c r="TZR251" s="80"/>
      <c r="TZS251" s="80"/>
      <c r="TZT251" s="80"/>
      <c r="TZU251" s="80"/>
      <c r="TZV251" s="80"/>
      <c r="TZW251" s="80"/>
      <c r="TZX251" s="80"/>
      <c r="TZY251" s="80"/>
      <c r="TZZ251" s="80"/>
      <c r="UAA251" s="80"/>
      <c r="UAB251" s="80"/>
      <c r="UAC251" s="80"/>
      <c r="UAD251" s="80"/>
      <c r="UAE251" s="80"/>
      <c r="UAF251" s="80"/>
      <c r="UAG251" s="80"/>
      <c r="UAH251" s="80"/>
      <c r="UAI251" s="80"/>
      <c r="UAJ251" s="80"/>
      <c r="UAK251" s="80"/>
      <c r="UAL251" s="80"/>
      <c r="UAM251" s="80"/>
      <c r="UAN251" s="80"/>
      <c r="UAO251" s="80"/>
      <c r="UAP251" s="80"/>
      <c r="UAQ251" s="80"/>
      <c r="UAR251" s="80"/>
      <c r="UAS251" s="80"/>
      <c r="UAT251" s="80"/>
      <c r="UAU251" s="80"/>
      <c r="UAV251" s="80"/>
      <c r="UAW251" s="80"/>
      <c r="UAX251" s="80"/>
      <c r="UAY251" s="80"/>
      <c r="UAZ251" s="80"/>
      <c r="UBA251" s="80"/>
      <c r="UBB251" s="80"/>
      <c r="UBC251" s="80"/>
      <c r="UBD251" s="80"/>
      <c r="UBE251" s="80"/>
      <c r="UBF251" s="80"/>
      <c r="UBG251" s="80"/>
      <c r="UBH251" s="80"/>
      <c r="UBI251" s="80"/>
      <c r="UBJ251" s="80"/>
      <c r="UBK251" s="80"/>
      <c r="UBL251" s="80"/>
      <c r="UBM251" s="80"/>
      <c r="UBN251" s="80"/>
      <c r="UBO251" s="80"/>
      <c r="UBP251" s="80"/>
      <c r="UBQ251" s="80"/>
      <c r="UBR251" s="80"/>
      <c r="UBS251" s="80"/>
      <c r="UBT251" s="80"/>
      <c r="UBU251" s="80"/>
      <c r="UBV251" s="80"/>
      <c r="UBW251" s="80"/>
      <c r="UBX251" s="80"/>
      <c r="UBY251" s="80"/>
      <c r="UBZ251" s="80"/>
      <c r="UCA251" s="80"/>
      <c r="UCB251" s="80"/>
      <c r="UCC251" s="80"/>
      <c r="UCD251" s="80"/>
      <c r="UCE251" s="80"/>
      <c r="UCF251" s="80"/>
      <c r="UCG251" s="80"/>
      <c r="UCH251" s="80"/>
      <c r="UCI251" s="80"/>
      <c r="UCJ251" s="80"/>
      <c r="UCK251" s="80"/>
      <c r="UCL251" s="80"/>
      <c r="UCM251" s="80"/>
      <c r="UCN251" s="80"/>
      <c r="UCO251" s="80"/>
      <c r="UCP251" s="80"/>
      <c r="UCQ251" s="80"/>
      <c r="UCR251" s="80"/>
      <c r="UCS251" s="80"/>
      <c r="UCT251" s="80"/>
      <c r="UCU251" s="80"/>
      <c r="UCV251" s="80"/>
      <c r="UCW251" s="80"/>
      <c r="UCX251" s="80"/>
      <c r="UCY251" s="80"/>
      <c r="UCZ251" s="80"/>
      <c r="UDA251" s="80"/>
      <c r="UDB251" s="80"/>
      <c r="UDC251" s="80"/>
      <c r="UDD251" s="80"/>
      <c r="UDE251" s="80"/>
      <c r="UDF251" s="80"/>
      <c r="UDG251" s="80"/>
      <c r="UDH251" s="80"/>
      <c r="UDI251" s="80"/>
      <c r="UDJ251" s="80"/>
      <c r="UDK251" s="80"/>
      <c r="UDL251" s="80"/>
      <c r="UDM251" s="80"/>
      <c r="UDN251" s="80"/>
      <c r="UDO251" s="80"/>
      <c r="UDP251" s="80"/>
      <c r="UDQ251" s="80"/>
      <c r="UDR251" s="80"/>
      <c r="UDS251" s="80"/>
      <c r="UDT251" s="80"/>
      <c r="UDU251" s="80"/>
      <c r="UDV251" s="80"/>
      <c r="UDW251" s="80"/>
      <c r="UDX251" s="80"/>
      <c r="UDY251" s="80"/>
      <c r="UDZ251" s="80"/>
      <c r="UEA251" s="80"/>
      <c r="UEB251" s="80"/>
      <c r="UEC251" s="80"/>
      <c r="UED251" s="80"/>
      <c r="UEE251" s="80"/>
      <c r="UEF251" s="80"/>
      <c r="UEG251" s="80"/>
      <c r="UEH251" s="80"/>
      <c r="UEI251" s="80"/>
      <c r="UEJ251" s="80"/>
      <c r="UEK251" s="80"/>
      <c r="UEL251" s="80"/>
      <c r="UEM251" s="80"/>
      <c r="UEN251" s="80"/>
      <c r="UEO251" s="80"/>
      <c r="UEP251" s="80"/>
      <c r="UEQ251" s="80"/>
      <c r="UER251" s="80"/>
      <c r="UES251" s="80"/>
      <c r="UET251" s="80"/>
      <c r="UEU251" s="80"/>
      <c r="UEV251" s="80"/>
      <c r="UEW251" s="80"/>
      <c r="UEX251" s="80"/>
      <c r="UEY251" s="80"/>
      <c r="UEZ251" s="80"/>
      <c r="UFA251" s="80"/>
      <c r="UFB251" s="80"/>
      <c r="UFC251" s="80"/>
      <c r="UFD251" s="80"/>
      <c r="UFE251" s="80"/>
      <c r="UFF251" s="80"/>
      <c r="UFG251" s="80"/>
      <c r="UFH251" s="80"/>
      <c r="UFI251" s="80"/>
      <c r="UFJ251" s="80"/>
      <c r="UFK251" s="80"/>
      <c r="UFL251" s="80"/>
      <c r="UFM251" s="80"/>
      <c r="UFN251" s="80"/>
      <c r="UFO251" s="80"/>
      <c r="UFP251" s="80"/>
      <c r="UFQ251" s="80"/>
      <c r="UFR251" s="80"/>
      <c r="UFS251" s="80"/>
      <c r="UFT251" s="80"/>
      <c r="UFU251" s="80"/>
      <c r="UFV251" s="80"/>
      <c r="UFW251" s="80"/>
      <c r="UFX251" s="80"/>
      <c r="UFY251" s="80"/>
      <c r="UFZ251" s="80"/>
      <c r="UGA251" s="80"/>
      <c r="UGB251" s="80"/>
      <c r="UGC251" s="80"/>
      <c r="UGD251" s="80"/>
      <c r="UGE251" s="80"/>
      <c r="UGF251" s="80"/>
      <c r="UGG251" s="80"/>
      <c r="UGH251" s="80"/>
      <c r="UGI251" s="80"/>
      <c r="UGJ251" s="80"/>
      <c r="UGK251" s="80"/>
      <c r="UGL251" s="80"/>
      <c r="UGM251" s="80"/>
      <c r="UGN251" s="80"/>
      <c r="UGO251" s="80"/>
      <c r="UGP251" s="80"/>
      <c r="UGQ251" s="80"/>
      <c r="UGR251" s="80"/>
      <c r="UGS251" s="80"/>
      <c r="UGT251" s="80"/>
      <c r="UGU251" s="80"/>
      <c r="UGV251" s="80"/>
      <c r="UGW251" s="80"/>
      <c r="UGX251" s="80"/>
      <c r="UGY251" s="80"/>
      <c r="UGZ251" s="80"/>
      <c r="UHA251" s="80"/>
      <c r="UHB251" s="80"/>
      <c r="UHC251" s="80"/>
      <c r="UHD251" s="80"/>
      <c r="UHE251" s="80"/>
      <c r="UHF251" s="80"/>
      <c r="UHG251" s="80"/>
      <c r="UHH251" s="80"/>
      <c r="UHI251" s="80"/>
      <c r="UHJ251" s="80"/>
      <c r="UHK251" s="80"/>
      <c r="UHL251" s="80"/>
      <c r="UHM251" s="80"/>
      <c r="UHN251" s="80"/>
      <c r="UHO251" s="80"/>
      <c r="UHP251" s="80"/>
      <c r="UHQ251" s="80"/>
      <c r="UHR251" s="80"/>
      <c r="UHS251" s="80"/>
      <c r="UHT251" s="80"/>
      <c r="UHU251" s="80"/>
      <c r="UHV251" s="80"/>
      <c r="UHW251" s="80"/>
      <c r="UHX251" s="80"/>
      <c r="UHY251" s="80"/>
      <c r="UHZ251" s="80"/>
      <c r="UIA251" s="80"/>
      <c r="UIB251" s="80"/>
      <c r="UIC251" s="80"/>
      <c r="UID251" s="80"/>
      <c r="UIE251" s="80"/>
      <c r="UIF251" s="80"/>
      <c r="UIG251" s="80"/>
      <c r="UIH251" s="80"/>
      <c r="UII251" s="80"/>
      <c r="UIJ251" s="80"/>
      <c r="UIK251" s="80"/>
      <c r="UIL251" s="80"/>
      <c r="UIM251" s="80"/>
      <c r="UIN251" s="80"/>
      <c r="UIO251" s="80"/>
      <c r="UIP251" s="80"/>
      <c r="UIQ251" s="80"/>
      <c r="UIR251" s="80"/>
      <c r="UIS251" s="80"/>
      <c r="UIT251" s="80"/>
      <c r="UIU251" s="80"/>
      <c r="UIV251" s="80"/>
      <c r="UIW251" s="80"/>
      <c r="UIX251" s="80"/>
      <c r="UIY251" s="80"/>
      <c r="UIZ251" s="80"/>
      <c r="UJA251" s="80"/>
      <c r="UJB251" s="80"/>
      <c r="UJC251" s="80"/>
      <c r="UJD251" s="80"/>
      <c r="UJE251" s="80"/>
      <c r="UJF251" s="80"/>
      <c r="UJG251" s="80"/>
      <c r="UJH251" s="80"/>
      <c r="UJI251" s="80"/>
      <c r="UJJ251" s="80"/>
      <c r="UJK251" s="80"/>
      <c r="UJL251" s="80"/>
      <c r="UJM251" s="80"/>
      <c r="UJN251" s="80"/>
      <c r="UJO251" s="80"/>
      <c r="UJP251" s="80"/>
      <c r="UJQ251" s="80"/>
      <c r="UJR251" s="80"/>
      <c r="UJS251" s="80"/>
      <c r="UJT251" s="80"/>
      <c r="UJU251" s="80"/>
      <c r="UJV251" s="80"/>
      <c r="UJW251" s="80"/>
      <c r="UJX251" s="80"/>
      <c r="UJY251" s="80"/>
      <c r="UJZ251" s="80"/>
      <c r="UKA251" s="80"/>
      <c r="UKB251" s="80"/>
      <c r="UKC251" s="80"/>
      <c r="UKD251" s="80"/>
      <c r="UKE251" s="80"/>
      <c r="UKF251" s="80"/>
      <c r="UKG251" s="80"/>
      <c r="UKH251" s="80"/>
      <c r="UKI251" s="80"/>
      <c r="UKJ251" s="80"/>
      <c r="UKK251" s="80"/>
      <c r="UKL251" s="80"/>
      <c r="UKM251" s="80"/>
      <c r="UKN251" s="80"/>
      <c r="UKO251" s="80"/>
      <c r="UKP251" s="80"/>
      <c r="UKQ251" s="80"/>
      <c r="UKR251" s="80"/>
      <c r="UKS251" s="80"/>
      <c r="UKT251" s="80"/>
      <c r="UKU251" s="80"/>
      <c r="UKV251" s="80"/>
      <c r="UKW251" s="80"/>
      <c r="UKX251" s="80"/>
      <c r="UKY251" s="80"/>
      <c r="UKZ251" s="80"/>
      <c r="ULA251" s="80"/>
      <c r="ULB251" s="80"/>
      <c r="ULC251" s="80"/>
      <c r="ULD251" s="80"/>
      <c r="ULE251" s="80"/>
      <c r="ULF251" s="80"/>
      <c r="ULG251" s="80"/>
      <c r="ULH251" s="80"/>
      <c r="ULI251" s="80"/>
      <c r="ULJ251" s="80"/>
      <c r="ULK251" s="80"/>
      <c r="ULL251" s="80"/>
      <c r="ULM251" s="80"/>
      <c r="ULN251" s="80"/>
      <c r="ULO251" s="80"/>
      <c r="ULP251" s="80"/>
      <c r="ULQ251" s="80"/>
      <c r="ULR251" s="80"/>
      <c r="ULS251" s="80"/>
      <c r="ULT251" s="80"/>
      <c r="ULU251" s="80"/>
      <c r="ULV251" s="80"/>
      <c r="ULW251" s="80"/>
      <c r="ULX251" s="80"/>
      <c r="ULY251" s="80"/>
      <c r="ULZ251" s="80"/>
      <c r="UMA251" s="80"/>
      <c r="UMB251" s="80"/>
      <c r="UMC251" s="80"/>
      <c r="UMD251" s="80"/>
      <c r="UME251" s="80"/>
      <c r="UMF251" s="80"/>
      <c r="UMG251" s="80"/>
      <c r="UMH251" s="80"/>
      <c r="UMI251" s="80"/>
      <c r="UMJ251" s="80"/>
      <c r="UMK251" s="80"/>
      <c r="UML251" s="80"/>
      <c r="UMM251" s="80"/>
      <c r="UMN251" s="80"/>
      <c r="UMO251" s="80"/>
      <c r="UMP251" s="80"/>
      <c r="UMQ251" s="80"/>
      <c r="UMR251" s="80"/>
      <c r="UMS251" s="80"/>
      <c r="UMT251" s="80"/>
      <c r="UMU251" s="80"/>
      <c r="UMV251" s="80"/>
      <c r="UMW251" s="80"/>
      <c r="UMX251" s="80"/>
      <c r="UMY251" s="80"/>
      <c r="UMZ251" s="80"/>
      <c r="UNA251" s="80"/>
      <c r="UNB251" s="80"/>
      <c r="UNC251" s="80"/>
      <c r="UND251" s="80"/>
      <c r="UNE251" s="80"/>
      <c r="UNF251" s="80"/>
      <c r="UNG251" s="80"/>
      <c r="UNH251" s="80"/>
      <c r="UNI251" s="80"/>
      <c r="UNJ251" s="80"/>
      <c r="UNK251" s="80"/>
      <c r="UNL251" s="80"/>
      <c r="UNM251" s="80"/>
      <c r="UNN251" s="80"/>
      <c r="UNO251" s="80"/>
      <c r="UNP251" s="80"/>
      <c r="UNQ251" s="80"/>
      <c r="UNR251" s="80"/>
      <c r="UNS251" s="80"/>
      <c r="UNT251" s="80"/>
      <c r="UNU251" s="80"/>
      <c r="UNV251" s="80"/>
      <c r="UNW251" s="80"/>
      <c r="UNX251" s="80"/>
      <c r="UNY251" s="80"/>
      <c r="UNZ251" s="80"/>
      <c r="UOA251" s="80"/>
      <c r="UOB251" s="80"/>
      <c r="UOC251" s="80"/>
      <c r="UOD251" s="80"/>
      <c r="UOE251" s="80"/>
      <c r="UOF251" s="80"/>
      <c r="UOG251" s="80"/>
      <c r="UOH251" s="80"/>
      <c r="UOI251" s="80"/>
      <c r="UOJ251" s="80"/>
      <c r="UOK251" s="80"/>
      <c r="UOL251" s="80"/>
      <c r="UOM251" s="80"/>
      <c r="UON251" s="80"/>
      <c r="UOO251" s="80"/>
      <c r="UOP251" s="80"/>
      <c r="UOQ251" s="80"/>
      <c r="UOR251" s="80"/>
      <c r="UOS251" s="80"/>
      <c r="UOT251" s="80"/>
      <c r="UOU251" s="80"/>
      <c r="UOV251" s="80"/>
      <c r="UOW251" s="80"/>
      <c r="UOX251" s="80"/>
      <c r="UOY251" s="80"/>
      <c r="UOZ251" s="80"/>
      <c r="UPA251" s="80"/>
      <c r="UPB251" s="80"/>
      <c r="UPC251" s="80"/>
      <c r="UPD251" s="80"/>
      <c r="UPE251" s="80"/>
      <c r="UPF251" s="80"/>
      <c r="UPG251" s="80"/>
      <c r="UPH251" s="80"/>
      <c r="UPI251" s="80"/>
      <c r="UPJ251" s="80"/>
      <c r="UPK251" s="80"/>
      <c r="UPL251" s="80"/>
      <c r="UPM251" s="80"/>
      <c r="UPN251" s="80"/>
      <c r="UPO251" s="80"/>
      <c r="UPP251" s="80"/>
      <c r="UPQ251" s="80"/>
      <c r="UPR251" s="80"/>
      <c r="UPS251" s="80"/>
      <c r="UPT251" s="80"/>
      <c r="UPU251" s="80"/>
      <c r="UPV251" s="80"/>
      <c r="UPW251" s="80"/>
      <c r="UPX251" s="80"/>
      <c r="UPY251" s="80"/>
      <c r="UPZ251" s="80"/>
      <c r="UQA251" s="80"/>
      <c r="UQB251" s="80"/>
      <c r="UQC251" s="80"/>
      <c r="UQD251" s="80"/>
      <c r="UQE251" s="80"/>
      <c r="UQF251" s="80"/>
      <c r="UQG251" s="80"/>
      <c r="UQH251" s="80"/>
      <c r="UQI251" s="80"/>
      <c r="UQJ251" s="80"/>
      <c r="UQK251" s="80"/>
      <c r="UQL251" s="80"/>
      <c r="UQM251" s="80"/>
      <c r="UQN251" s="80"/>
      <c r="UQO251" s="80"/>
      <c r="UQP251" s="80"/>
      <c r="UQQ251" s="80"/>
      <c r="UQR251" s="80"/>
      <c r="UQS251" s="80"/>
      <c r="UQT251" s="80"/>
      <c r="UQU251" s="80"/>
      <c r="UQV251" s="80"/>
      <c r="UQW251" s="80"/>
      <c r="UQX251" s="80"/>
      <c r="UQY251" s="80"/>
      <c r="UQZ251" s="80"/>
      <c r="URA251" s="80"/>
      <c r="URB251" s="80"/>
      <c r="URC251" s="80"/>
      <c r="URD251" s="80"/>
      <c r="URE251" s="80"/>
      <c r="URF251" s="80"/>
      <c r="URG251" s="80"/>
      <c r="URH251" s="80"/>
      <c r="URI251" s="80"/>
      <c r="URJ251" s="80"/>
      <c r="URK251" s="80"/>
      <c r="URL251" s="80"/>
      <c r="URM251" s="80"/>
      <c r="URN251" s="80"/>
      <c r="URO251" s="80"/>
      <c r="URP251" s="80"/>
      <c r="URQ251" s="80"/>
      <c r="URR251" s="80"/>
      <c r="URS251" s="80"/>
      <c r="URT251" s="80"/>
      <c r="URU251" s="80"/>
      <c r="URV251" s="80"/>
      <c r="URW251" s="80"/>
      <c r="URX251" s="80"/>
      <c r="URY251" s="80"/>
      <c r="URZ251" s="80"/>
      <c r="USA251" s="80"/>
      <c r="USB251" s="80"/>
      <c r="USC251" s="80"/>
      <c r="USD251" s="80"/>
      <c r="USE251" s="80"/>
      <c r="USF251" s="80"/>
      <c r="USG251" s="80"/>
      <c r="USH251" s="80"/>
      <c r="USI251" s="80"/>
      <c r="USJ251" s="80"/>
      <c r="USK251" s="80"/>
      <c r="USL251" s="80"/>
      <c r="USM251" s="80"/>
      <c r="USN251" s="80"/>
      <c r="USO251" s="80"/>
      <c r="USP251" s="80"/>
      <c r="USQ251" s="80"/>
      <c r="USR251" s="80"/>
      <c r="USS251" s="80"/>
      <c r="UST251" s="80"/>
      <c r="USU251" s="80"/>
      <c r="USV251" s="80"/>
      <c r="USW251" s="80"/>
      <c r="USX251" s="80"/>
      <c r="USY251" s="80"/>
      <c r="USZ251" s="80"/>
      <c r="UTA251" s="80"/>
      <c r="UTB251" s="80"/>
      <c r="UTC251" s="80"/>
      <c r="UTD251" s="80"/>
      <c r="UTE251" s="80"/>
      <c r="UTF251" s="80"/>
      <c r="UTG251" s="80"/>
      <c r="UTH251" s="80"/>
      <c r="UTI251" s="80"/>
      <c r="UTJ251" s="80"/>
      <c r="UTK251" s="80"/>
      <c r="UTL251" s="80"/>
      <c r="UTM251" s="80"/>
      <c r="UTN251" s="80"/>
      <c r="UTO251" s="80"/>
      <c r="UTP251" s="80"/>
      <c r="UTQ251" s="80"/>
      <c r="UTR251" s="80"/>
      <c r="UTS251" s="80"/>
      <c r="UTT251" s="80"/>
      <c r="UTU251" s="80"/>
      <c r="UTV251" s="80"/>
      <c r="UTW251" s="80"/>
      <c r="UTX251" s="80"/>
      <c r="UTY251" s="80"/>
      <c r="UTZ251" s="80"/>
      <c r="UUA251" s="80"/>
      <c r="UUB251" s="80"/>
      <c r="UUC251" s="80"/>
      <c r="UUD251" s="80"/>
      <c r="UUE251" s="80"/>
      <c r="UUF251" s="80"/>
      <c r="UUG251" s="80"/>
      <c r="UUH251" s="80"/>
      <c r="UUI251" s="80"/>
      <c r="UUJ251" s="80"/>
      <c r="UUK251" s="80"/>
      <c r="UUL251" s="80"/>
      <c r="UUM251" s="80"/>
      <c r="UUN251" s="80"/>
      <c r="UUO251" s="80"/>
      <c r="UUP251" s="80"/>
      <c r="UUQ251" s="80"/>
      <c r="UUR251" s="80"/>
      <c r="UUS251" s="80"/>
      <c r="UUT251" s="80"/>
      <c r="UUU251" s="80"/>
      <c r="UUV251" s="80"/>
      <c r="UUW251" s="80"/>
      <c r="UUX251" s="80"/>
      <c r="UUY251" s="80"/>
      <c r="UUZ251" s="80"/>
      <c r="UVA251" s="80"/>
      <c r="UVB251" s="80"/>
      <c r="UVC251" s="80"/>
      <c r="UVD251" s="80"/>
      <c r="UVE251" s="80"/>
      <c r="UVF251" s="80"/>
      <c r="UVG251" s="80"/>
      <c r="UVH251" s="80"/>
      <c r="UVI251" s="80"/>
      <c r="UVJ251" s="80"/>
      <c r="UVK251" s="80"/>
      <c r="UVL251" s="80"/>
      <c r="UVM251" s="80"/>
      <c r="UVN251" s="80"/>
      <c r="UVO251" s="80"/>
      <c r="UVP251" s="80"/>
      <c r="UVQ251" s="80"/>
      <c r="UVR251" s="80"/>
      <c r="UVS251" s="80"/>
      <c r="UVT251" s="80"/>
      <c r="UVU251" s="80"/>
      <c r="UVV251" s="80"/>
      <c r="UVW251" s="80"/>
      <c r="UVX251" s="80"/>
      <c r="UVY251" s="80"/>
      <c r="UVZ251" s="80"/>
      <c r="UWA251" s="80"/>
      <c r="UWB251" s="80"/>
      <c r="UWC251" s="80"/>
      <c r="UWD251" s="80"/>
      <c r="UWE251" s="80"/>
      <c r="UWF251" s="80"/>
      <c r="UWG251" s="80"/>
      <c r="UWH251" s="80"/>
      <c r="UWI251" s="80"/>
      <c r="UWJ251" s="80"/>
      <c r="UWK251" s="80"/>
      <c r="UWL251" s="80"/>
      <c r="UWM251" s="80"/>
      <c r="UWN251" s="80"/>
      <c r="UWO251" s="80"/>
      <c r="UWP251" s="80"/>
      <c r="UWQ251" s="80"/>
      <c r="UWR251" s="80"/>
      <c r="UWS251" s="80"/>
      <c r="UWT251" s="80"/>
      <c r="UWU251" s="80"/>
      <c r="UWV251" s="80"/>
      <c r="UWW251" s="80"/>
      <c r="UWX251" s="80"/>
      <c r="UWY251" s="80"/>
      <c r="UWZ251" s="80"/>
      <c r="UXA251" s="80"/>
      <c r="UXB251" s="80"/>
      <c r="UXC251" s="80"/>
      <c r="UXD251" s="80"/>
      <c r="UXE251" s="80"/>
      <c r="UXF251" s="80"/>
      <c r="UXG251" s="80"/>
      <c r="UXH251" s="80"/>
      <c r="UXI251" s="80"/>
      <c r="UXJ251" s="80"/>
      <c r="UXK251" s="80"/>
      <c r="UXL251" s="80"/>
      <c r="UXM251" s="80"/>
      <c r="UXN251" s="80"/>
      <c r="UXO251" s="80"/>
      <c r="UXP251" s="80"/>
      <c r="UXQ251" s="80"/>
      <c r="UXR251" s="80"/>
      <c r="UXS251" s="80"/>
      <c r="UXT251" s="80"/>
      <c r="UXU251" s="80"/>
      <c r="UXV251" s="80"/>
      <c r="UXW251" s="80"/>
      <c r="UXX251" s="80"/>
      <c r="UXY251" s="80"/>
      <c r="UXZ251" s="80"/>
      <c r="UYA251" s="80"/>
      <c r="UYB251" s="80"/>
      <c r="UYC251" s="80"/>
      <c r="UYD251" s="80"/>
      <c r="UYE251" s="80"/>
      <c r="UYF251" s="80"/>
      <c r="UYG251" s="80"/>
      <c r="UYH251" s="80"/>
      <c r="UYI251" s="80"/>
      <c r="UYJ251" s="80"/>
      <c r="UYK251" s="80"/>
      <c r="UYL251" s="80"/>
      <c r="UYM251" s="80"/>
      <c r="UYN251" s="80"/>
      <c r="UYO251" s="80"/>
      <c r="UYP251" s="80"/>
      <c r="UYQ251" s="80"/>
      <c r="UYR251" s="80"/>
      <c r="UYS251" s="80"/>
      <c r="UYT251" s="80"/>
      <c r="UYU251" s="80"/>
      <c r="UYV251" s="80"/>
      <c r="UYW251" s="80"/>
      <c r="UYX251" s="80"/>
      <c r="UYY251" s="80"/>
      <c r="UYZ251" s="80"/>
      <c r="UZA251" s="80"/>
      <c r="UZB251" s="80"/>
      <c r="UZC251" s="80"/>
      <c r="UZD251" s="80"/>
      <c r="UZE251" s="80"/>
      <c r="UZF251" s="80"/>
      <c r="UZG251" s="80"/>
      <c r="UZH251" s="80"/>
      <c r="UZI251" s="80"/>
      <c r="UZJ251" s="80"/>
      <c r="UZK251" s="80"/>
      <c r="UZL251" s="80"/>
      <c r="UZM251" s="80"/>
      <c r="UZN251" s="80"/>
      <c r="UZO251" s="80"/>
      <c r="UZP251" s="80"/>
      <c r="UZQ251" s="80"/>
      <c r="UZR251" s="80"/>
      <c r="UZS251" s="80"/>
      <c r="UZT251" s="80"/>
      <c r="UZU251" s="80"/>
      <c r="UZV251" s="80"/>
      <c r="UZW251" s="80"/>
      <c r="UZX251" s="80"/>
      <c r="UZY251" s="80"/>
      <c r="UZZ251" s="80"/>
      <c r="VAA251" s="80"/>
      <c r="VAB251" s="80"/>
      <c r="VAC251" s="80"/>
      <c r="VAD251" s="80"/>
      <c r="VAE251" s="80"/>
      <c r="VAF251" s="80"/>
      <c r="VAG251" s="80"/>
      <c r="VAH251" s="80"/>
      <c r="VAI251" s="80"/>
      <c r="VAJ251" s="80"/>
      <c r="VAK251" s="80"/>
      <c r="VAL251" s="80"/>
      <c r="VAM251" s="80"/>
      <c r="VAN251" s="80"/>
      <c r="VAO251" s="80"/>
      <c r="VAP251" s="80"/>
      <c r="VAQ251" s="80"/>
      <c r="VAR251" s="80"/>
      <c r="VAS251" s="80"/>
      <c r="VAT251" s="80"/>
      <c r="VAU251" s="80"/>
      <c r="VAV251" s="80"/>
      <c r="VAW251" s="80"/>
      <c r="VAX251" s="80"/>
      <c r="VAY251" s="80"/>
      <c r="VAZ251" s="80"/>
      <c r="VBA251" s="80"/>
      <c r="VBB251" s="80"/>
      <c r="VBC251" s="80"/>
      <c r="VBD251" s="80"/>
      <c r="VBE251" s="80"/>
      <c r="VBF251" s="80"/>
      <c r="VBG251" s="80"/>
      <c r="VBH251" s="80"/>
      <c r="VBI251" s="80"/>
      <c r="VBJ251" s="80"/>
      <c r="VBK251" s="80"/>
      <c r="VBL251" s="80"/>
      <c r="VBM251" s="80"/>
      <c r="VBN251" s="80"/>
      <c r="VBO251" s="80"/>
      <c r="VBP251" s="80"/>
      <c r="VBQ251" s="80"/>
      <c r="VBR251" s="80"/>
      <c r="VBS251" s="80"/>
      <c r="VBT251" s="80"/>
      <c r="VBU251" s="80"/>
      <c r="VBV251" s="80"/>
      <c r="VBW251" s="80"/>
      <c r="VBX251" s="80"/>
      <c r="VBY251" s="80"/>
      <c r="VBZ251" s="80"/>
      <c r="VCA251" s="80"/>
      <c r="VCB251" s="80"/>
      <c r="VCC251" s="80"/>
      <c r="VCD251" s="80"/>
      <c r="VCE251" s="80"/>
      <c r="VCF251" s="80"/>
      <c r="VCG251" s="80"/>
      <c r="VCH251" s="80"/>
      <c r="VCI251" s="80"/>
      <c r="VCJ251" s="80"/>
      <c r="VCK251" s="80"/>
      <c r="VCL251" s="80"/>
      <c r="VCM251" s="80"/>
      <c r="VCN251" s="80"/>
      <c r="VCO251" s="80"/>
      <c r="VCP251" s="80"/>
      <c r="VCQ251" s="80"/>
      <c r="VCR251" s="80"/>
      <c r="VCS251" s="80"/>
      <c r="VCT251" s="80"/>
      <c r="VCU251" s="80"/>
      <c r="VCV251" s="80"/>
      <c r="VCW251" s="80"/>
      <c r="VCX251" s="80"/>
      <c r="VCY251" s="80"/>
      <c r="VCZ251" s="80"/>
      <c r="VDA251" s="80"/>
      <c r="VDB251" s="80"/>
      <c r="VDC251" s="80"/>
      <c r="VDD251" s="80"/>
      <c r="VDE251" s="80"/>
      <c r="VDF251" s="80"/>
      <c r="VDG251" s="80"/>
      <c r="VDH251" s="80"/>
      <c r="VDI251" s="80"/>
      <c r="VDJ251" s="80"/>
      <c r="VDK251" s="80"/>
      <c r="VDL251" s="80"/>
      <c r="VDM251" s="80"/>
      <c r="VDN251" s="80"/>
      <c r="VDO251" s="80"/>
      <c r="VDP251" s="80"/>
      <c r="VDQ251" s="80"/>
      <c r="VDR251" s="80"/>
      <c r="VDS251" s="80"/>
      <c r="VDT251" s="80"/>
      <c r="VDU251" s="80"/>
      <c r="VDV251" s="80"/>
      <c r="VDW251" s="80"/>
      <c r="VDX251" s="80"/>
      <c r="VDY251" s="80"/>
      <c r="VDZ251" s="80"/>
      <c r="VEA251" s="80"/>
      <c r="VEB251" s="80"/>
      <c r="VEC251" s="80"/>
      <c r="VED251" s="80"/>
      <c r="VEE251" s="80"/>
      <c r="VEF251" s="80"/>
      <c r="VEG251" s="80"/>
      <c r="VEH251" s="80"/>
      <c r="VEI251" s="80"/>
      <c r="VEJ251" s="80"/>
      <c r="VEK251" s="80"/>
      <c r="VEL251" s="80"/>
      <c r="VEM251" s="80"/>
      <c r="VEN251" s="80"/>
      <c r="VEO251" s="80"/>
      <c r="VEP251" s="80"/>
      <c r="VEQ251" s="80"/>
      <c r="VER251" s="80"/>
      <c r="VES251" s="80"/>
      <c r="VET251" s="80"/>
      <c r="VEU251" s="80"/>
      <c r="VEV251" s="80"/>
      <c r="VEW251" s="80"/>
      <c r="VEX251" s="80"/>
      <c r="VEY251" s="80"/>
      <c r="VEZ251" s="80"/>
      <c r="VFA251" s="80"/>
      <c r="VFB251" s="80"/>
      <c r="VFC251" s="80"/>
      <c r="VFD251" s="80"/>
      <c r="VFE251" s="80"/>
      <c r="VFF251" s="80"/>
      <c r="VFG251" s="80"/>
      <c r="VFH251" s="80"/>
      <c r="VFI251" s="80"/>
      <c r="VFJ251" s="80"/>
      <c r="VFK251" s="80"/>
      <c r="VFL251" s="80"/>
      <c r="VFM251" s="80"/>
      <c r="VFN251" s="80"/>
      <c r="VFO251" s="80"/>
      <c r="VFP251" s="80"/>
      <c r="VFQ251" s="80"/>
      <c r="VFR251" s="80"/>
      <c r="VFS251" s="80"/>
      <c r="VFT251" s="80"/>
      <c r="VFU251" s="80"/>
      <c r="VFV251" s="80"/>
      <c r="VFW251" s="80"/>
      <c r="VFX251" s="80"/>
      <c r="VFY251" s="80"/>
      <c r="VFZ251" s="80"/>
      <c r="VGA251" s="80"/>
      <c r="VGB251" s="80"/>
      <c r="VGC251" s="80"/>
      <c r="VGD251" s="80"/>
      <c r="VGE251" s="80"/>
      <c r="VGF251" s="80"/>
      <c r="VGG251" s="80"/>
      <c r="VGH251" s="80"/>
      <c r="VGI251" s="80"/>
      <c r="VGJ251" s="80"/>
      <c r="VGK251" s="80"/>
      <c r="VGL251" s="80"/>
      <c r="VGM251" s="80"/>
      <c r="VGN251" s="80"/>
      <c r="VGO251" s="80"/>
      <c r="VGP251" s="80"/>
      <c r="VGQ251" s="80"/>
      <c r="VGR251" s="80"/>
      <c r="VGS251" s="80"/>
      <c r="VGT251" s="80"/>
      <c r="VGU251" s="80"/>
      <c r="VGV251" s="80"/>
      <c r="VGW251" s="80"/>
      <c r="VGX251" s="80"/>
      <c r="VGY251" s="80"/>
      <c r="VGZ251" s="80"/>
      <c r="VHA251" s="80"/>
      <c r="VHB251" s="80"/>
      <c r="VHC251" s="80"/>
      <c r="VHD251" s="80"/>
      <c r="VHE251" s="80"/>
      <c r="VHF251" s="80"/>
      <c r="VHG251" s="80"/>
      <c r="VHH251" s="80"/>
      <c r="VHI251" s="80"/>
      <c r="VHJ251" s="80"/>
      <c r="VHK251" s="80"/>
      <c r="VHL251" s="80"/>
      <c r="VHM251" s="80"/>
      <c r="VHN251" s="80"/>
      <c r="VHO251" s="80"/>
      <c r="VHP251" s="80"/>
      <c r="VHQ251" s="80"/>
      <c r="VHR251" s="80"/>
      <c r="VHS251" s="80"/>
      <c r="VHT251" s="80"/>
      <c r="VHU251" s="80"/>
      <c r="VHV251" s="80"/>
      <c r="VHW251" s="80"/>
      <c r="VHX251" s="80"/>
      <c r="VHY251" s="80"/>
      <c r="VHZ251" s="80"/>
      <c r="VIA251" s="80"/>
      <c r="VIB251" s="80"/>
      <c r="VIC251" s="80"/>
      <c r="VID251" s="80"/>
      <c r="VIE251" s="80"/>
      <c r="VIF251" s="80"/>
      <c r="VIG251" s="80"/>
      <c r="VIH251" s="80"/>
      <c r="VII251" s="80"/>
      <c r="VIJ251" s="80"/>
      <c r="VIK251" s="80"/>
      <c r="VIL251" s="80"/>
      <c r="VIM251" s="80"/>
      <c r="VIN251" s="80"/>
      <c r="VIO251" s="80"/>
      <c r="VIP251" s="80"/>
      <c r="VIQ251" s="80"/>
      <c r="VIR251" s="80"/>
      <c r="VIS251" s="80"/>
      <c r="VIT251" s="80"/>
      <c r="VIU251" s="80"/>
      <c r="VIV251" s="80"/>
      <c r="VIW251" s="80"/>
      <c r="VIX251" s="80"/>
      <c r="VIY251" s="80"/>
      <c r="VIZ251" s="80"/>
      <c r="VJA251" s="80"/>
      <c r="VJB251" s="80"/>
      <c r="VJC251" s="80"/>
      <c r="VJD251" s="80"/>
      <c r="VJE251" s="80"/>
      <c r="VJF251" s="80"/>
      <c r="VJG251" s="80"/>
      <c r="VJH251" s="80"/>
      <c r="VJI251" s="80"/>
      <c r="VJJ251" s="80"/>
      <c r="VJK251" s="80"/>
      <c r="VJL251" s="80"/>
      <c r="VJM251" s="80"/>
      <c r="VJN251" s="80"/>
      <c r="VJO251" s="80"/>
      <c r="VJP251" s="80"/>
      <c r="VJQ251" s="80"/>
      <c r="VJR251" s="80"/>
      <c r="VJS251" s="80"/>
      <c r="VJT251" s="80"/>
      <c r="VJU251" s="80"/>
      <c r="VJV251" s="80"/>
      <c r="VJW251" s="80"/>
      <c r="VJX251" s="80"/>
      <c r="VJY251" s="80"/>
      <c r="VJZ251" s="80"/>
      <c r="VKA251" s="80"/>
      <c r="VKB251" s="80"/>
      <c r="VKC251" s="80"/>
      <c r="VKD251" s="80"/>
      <c r="VKE251" s="80"/>
      <c r="VKF251" s="80"/>
      <c r="VKG251" s="80"/>
      <c r="VKH251" s="80"/>
      <c r="VKI251" s="80"/>
      <c r="VKJ251" s="80"/>
      <c r="VKK251" s="80"/>
      <c r="VKL251" s="80"/>
      <c r="VKM251" s="80"/>
      <c r="VKN251" s="80"/>
      <c r="VKO251" s="80"/>
      <c r="VKP251" s="80"/>
      <c r="VKQ251" s="80"/>
      <c r="VKR251" s="80"/>
      <c r="VKS251" s="80"/>
      <c r="VKT251" s="80"/>
      <c r="VKU251" s="80"/>
      <c r="VKV251" s="80"/>
      <c r="VKW251" s="80"/>
      <c r="VKX251" s="80"/>
      <c r="VKY251" s="80"/>
      <c r="VKZ251" s="80"/>
      <c r="VLA251" s="80"/>
      <c r="VLB251" s="80"/>
      <c r="VLC251" s="80"/>
      <c r="VLD251" s="80"/>
      <c r="VLE251" s="80"/>
      <c r="VLF251" s="80"/>
      <c r="VLG251" s="80"/>
      <c r="VLH251" s="80"/>
      <c r="VLI251" s="80"/>
      <c r="VLJ251" s="80"/>
      <c r="VLK251" s="80"/>
      <c r="VLL251" s="80"/>
      <c r="VLM251" s="80"/>
      <c r="VLN251" s="80"/>
      <c r="VLO251" s="80"/>
      <c r="VLP251" s="80"/>
      <c r="VLQ251" s="80"/>
      <c r="VLR251" s="80"/>
      <c r="VLS251" s="80"/>
      <c r="VLT251" s="80"/>
      <c r="VLU251" s="80"/>
      <c r="VLV251" s="80"/>
      <c r="VLW251" s="80"/>
      <c r="VLX251" s="80"/>
      <c r="VLY251" s="80"/>
      <c r="VLZ251" s="80"/>
      <c r="VMA251" s="80"/>
      <c r="VMB251" s="80"/>
      <c r="VMC251" s="80"/>
      <c r="VMD251" s="80"/>
      <c r="VME251" s="80"/>
      <c r="VMF251" s="80"/>
      <c r="VMG251" s="80"/>
      <c r="VMH251" s="80"/>
      <c r="VMI251" s="80"/>
      <c r="VMJ251" s="80"/>
      <c r="VMK251" s="80"/>
      <c r="VML251" s="80"/>
      <c r="VMM251" s="80"/>
      <c r="VMN251" s="80"/>
      <c r="VMO251" s="80"/>
      <c r="VMP251" s="80"/>
      <c r="VMQ251" s="80"/>
      <c r="VMR251" s="80"/>
      <c r="VMS251" s="80"/>
      <c r="VMT251" s="80"/>
      <c r="VMU251" s="80"/>
      <c r="VMV251" s="80"/>
      <c r="VMW251" s="80"/>
      <c r="VMX251" s="80"/>
      <c r="VMY251" s="80"/>
      <c r="VMZ251" s="80"/>
      <c r="VNA251" s="80"/>
      <c r="VNB251" s="80"/>
      <c r="VNC251" s="80"/>
      <c r="VND251" s="80"/>
      <c r="VNE251" s="80"/>
      <c r="VNF251" s="80"/>
      <c r="VNG251" s="80"/>
      <c r="VNH251" s="80"/>
      <c r="VNI251" s="80"/>
      <c r="VNJ251" s="80"/>
      <c r="VNK251" s="80"/>
      <c r="VNL251" s="80"/>
      <c r="VNM251" s="80"/>
      <c r="VNN251" s="80"/>
      <c r="VNO251" s="80"/>
      <c r="VNP251" s="80"/>
      <c r="VNQ251" s="80"/>
      <c r="VNR251" s="80"/>
      <c r="VNS251" s="80"/>
      <c r="VNT251" s="80"/>
      <c r="VNU251" s="80"/>
      <c r="VNV251" s="80"/>
      <c r="VNW251" s="80"/>
      <c r="VNX251" s="80"/>
      <c r="VNY251" s="80"/>
      <c r="VNZ251" s="80"/>
      <c r="VOA251" s="80"/>
      <c r="VOB251" s="80"/>
      <c r="VOC251" s="80"/>
      <c r="VOD251" s="80"/>
      <c r="VOE251" s="80"/>
      <c r="VOF251" s="80"/>
      <c r="VOG251" s="80"/>
      <c r="VOH251" s="80"/>
      <c r="VOI251" s="80"/>
      <c r="VOJ251" s="80"/>
      <c r="VOK251" s="80"/>
      <c r="VOL251" s="80"/>
      <c r="VOM251" s="80"/>
      <c r="VON251" s="80"/>
      <c r="VOO251" s="80"/>
      <c r="VOP251" s="80"/>
      <c r="VOQ251" s="80"/>
      <c r="VOR251" s="80"/>
      <c r="VOS251" s="80"/>
      <c r="VOT251" s="80"/>
      <c r="VOU251" s="80"/>
      <c r="VOV251" s="80"/>
      <c r="VOW251" s="80"/>
      <c r="VOX251" s="80"/>
      <c r="VOY251" s="80"/>
      <c r="VOZ251" s="80"/>
      <c r="VPA251" s="80"/>
      <c r="VPB251" s="80"/>
      <c r="VPC251" s="80"/>
      <c r="VPD251" s="80"/>
      <c r="VPE251" s="80"/>
      <c r="VPF251" s="80"/>
      <c r="VPG251" s="80"/>
      <c r="VPH251" s="80"/>
      <c r="VPI251" s="80"/>
      <c r="VPJ251" s="80"/>
      <c r="VPK251" s="80"/>
      <c r="VPL251" s="80"/>
      <c r="VPM251" s="80"/>
      <c r="VPN251" s="80"/>
      <c r="VPO251" s="80"/>
      <c r="VPP251" s="80"/>
      <c r="VPQ251" s="80"/>
      <c r="VPR251" s="80"/>
      <c r="VPS251" s="80"/>
      <c r="VPT251" s="80"/>
      <c r="VPU251" s="80"/>
      <c r="VPV251" s="80"/>
      <c r="VPW251" s="80"/>
      <c r="VPX251" s="80"/>
      <c r="VPY251" s="80"/>
      <c r="VPZ251" s="80"/>
      <c r="VQA251" s="80"/>
      <c r="VQB251" s="80"/>
      <c r="VQC251" s="80"/>
      <c r="VQD251" s="80"/>
      <c r="VQE251" s="80"/>
      <c r="VQF251" s="80"/>
      <c r="VQG251" s="80"/>
      <c r="VQH251" s="80"/>
      <c r="VQI251" s="80"/>
      <c r="VQJ251" s="80"/>
      <c r="VQK251" s="80"/>
      <c r="VQL251" s="80"/>
      <c r="VQM251" s="80"/>
      <c r="VQN251" s="80"/>
      <c r="VQO251" s="80"/>
      <c r="VQP251" s="80"/>
      <c r="VQQ251" s="80"/>
      <c r="VQR251" s="80"/>
      <c r="VQS251" s="80"/>
      <c r="VQT251" s="80"/>
      <c r="VQU251" s="80"/>
      <c r="VQV251" s="80"/>
      <c r="VQW251" s="80"/>
      <c r="VQX251" s="80"/>
      <c r="VQY251" s="80"/>
      <c r="VQZ251" s="80"/>
      <c r="VRA251" s="80"/>
      <c r="VRB251" s="80"/>
      <c r="VRC251" s="80"/>
      <c r="VRD251" s="80"/>
      <c r="VRE251" s="80"/>
      <c r="VRF251" s="80"/>
      <c r="VRG251" s="80"/>
      <c r="VRH251" s="80"/>
      <c r="VRI251" s="80"/>
      <c r="VRJ251" s="80"/>
      <c r="VRK251" s="80"/>
      <c r="VRL251" s="80"/>
      <c r="VRM251" s="80"/>
      <c r="VRN251" s="80"/>
      <c r="VRO251" s="80"/>
      <c r="VRP251" s="80"/>
      <c r="VRQ251" s="80"/>
      <c r="VRR251" s="80"/>
      <c r="VRS251" s="80"/>
      <c r="VRT251" s="80"/>
      <c r="VRU251" s="80"/>
      <c r="VRV251" s="80"/>
      <c r="VRW251" s="80"/>
      <c r="VRX251" s="80"/>
      <c r="VRY251" s="80"/>
      <c r="VRZ251" s="80"/>
      <c r="VSA251" s="80"/>
      <c r="VSB251" s="80"/>
      <c r="VSC251" s="80"/>
      <c r="VSD251" s="80"/>
      <c r="VSE251" s="80"/>
      <c r="VSF251" s="80"/>
      <c r="VSG251" s="80"/>
      <c r="VSH251" s="80"/>
      <c r="VSI251" s="80"/>
      <c r="VSJ251" s="80"/>
      <c r="VSK251" s="80"/>
      <c r="VSL251" s="80"/>
      <c r="VSM251" s="80"/>
      <c r="VSN251" s="80"/>
      <c r="VSO251" s="80"/>
      <c r="VSP251" s="80"/>
      <c r="VSQ251" s="80"/>
      <c r="VSR251" s="80"/>
      <c r="VSS251" s="80"/>
      <c r="VST251" s="80"/>
      <c r="VSU251" s="80"/>
      <c r="VSV251" s="80"/>
      <c r="VSW251" s="80"/>
      <c r="VSX251" s="80"/>
      <c r="VSY251" s="80"/>
      <c r="VSZ251" s="80"/>
      <c r="VTA251" s="80"/>
      <c r="VTB251" s="80"/>
      <c r="VTC251" s="80"/>
      <c r="VTD251" s="80"/>
      <c r="VTE251" s="80"/>
      <c r="VTF251" s="80"/>
      <c r="VTG251" s="80"/>
      <c r="VTH251" s="80"/>
      <c r="VTI251" s="80"/>
      <c r="VTJ251" s="80"/>
      <c r="VTK251" s="80"/>
      <c r="VTL251" s="80"/>
      <c r="VTM251" s="80"/>
      <c r="VTN251" s="80"/>
      <c r="VTO251" s="80"/>
      <c r="VTP251" s="80"/>
      <c r="VTQ251" s="80"/>
      <c r="VTR251" s="80"/>
      <c r="VTS251" s="80"/>
      <c r="VTT251" s="80"/>
      <c r="VTU251" s="80"/>
      <c r="VTV251" s="80"/>
      <c r="VTW251" s="80"/>
      <c r="VTX251" s="80"/>
      <c r="VTY251" s="80"/>
      <c r="VTZ251" s="80"/>
      <c r="VUA251" s="80"/>
      <c r="VUB251" s="80"/>
      <c r="VUC251" s="80"/>
      <c r="VUD251" s="80"/>
      <c r="VUE251" s="80"/>
      <c r="VUF251" s="80"/>
      <c r="VUG251" s="80"/>
      <c r="VUH251" s="80"/>
      <c r="VUI251" s="80"/>
      <c r="VUJ251" s="80"/>
      <c r="VUK251" s="80"/>
      <c r="VUL251" s="80"/>
      <c r="VUM251" s="80"/>
      <c r="VUN251" s="80"/>
      <c r="VUO251" s="80"/>
      <c r="VUP251" s="80"/>
      <c r="VUQ251" s="80"/>
      <c r="VUR251" s="80"/>
      <c r="VUS251" s="80"/>
      <c r="VUT251" s="80"/>
      <c r="VUU251" s="80"/>
      <c r="VUV251" s="80"/>
      <c r="VUW251" s="80"/>
      <c r="VUX251" s="80"/>
      <c r="VUY251" s="80"/>
      <c r="VUZ251" s="80"/>
      <c r="VVA251" s="80"/>
      <c r="VVB251" s="80"/>
      <c r="VVC251" s="80"/>
      <c r="VVD251" s="80"/>
      <c r="VVE251" s="80"/>
      <c r="VVF251" s="80"/>
      <c r="VVG251" s="80"/>
      <c r="VVH251" s="80"/>
      <c r="VVI251" s="80"/>
      <c r="VVJ251" s="80"/>
      <c r="VVK251" s="80"/>
      <c r="VVL251" s="80"/>
      <c r="VVM251" s="80"/>
      <c r="VVN251" s="80"/>
      <c r="VVO251" s="80"/>
      <c r="VVP251" s="80"/>
      <c r="VVQ251" s="80"/>
      <c r="VVR251" s="80"/>
      <c r="VVS251" s="80"/>
      <c r="VVT251" s="80"/>
      <c r="VVU251" s="80"/>
      <c r="VVV251" s="80"/>
      <c r="VVW251" s="80"/>
      <c r="VVX251" s="80"/>
      <c r="VVY251" s="80"/>
      <c r="VVZ251" s="80"/>
      <c r="VWA251" s="80"/>
      <c r="VWB251" s="80"/>
      <c r="VWC251" s="80"/>
      <c r="VWD251" s="80"/>
      <c r="VWE251" s="80"/>
      <c r="VWF251" s="80"/>
      <c r="VWG251" s="80"/>
      <c r="VWH251" s="80"/>
      <c r="VWI251" s="80"/>
      <c r="VWJ251" s="80"/>
      <c r="VWK251" s="80"/>
      <c r="VWL251" s="80"/>
      <c r="VWM251" s="80"/>
      <c r="VWN251" s="80"/>
      <c r="VWO251" s="80"/>
      <c r="VWP251" s="80"/>
      <c r="VWQ251" s="80"/>
      <c r="VWR251" s="80"/>
      <c r="VWS251" s="80"/>
      <c r="VWT251" s="80"/>
      <c r="VWU251" s="80"/>
      <c r="VWV251" s="80"/>
      <c r="VWW251" s="80"/>
      <c r="VWX251" s="80"/>
      <c r="VWY251" s="80"/>
      <c r="VWZ251" s="80"/>
      <c r="VXA251" s="80"/>
      <c r="VXB251" s="80"/>
      <c r="VXC251" s="80"/>
      <c r="VXD251" s="80"/>
      <c r="VXE251" s="80"/>
      <c r="VXF251" s="80"/>
      <c r="VXG251" s="80"/>
      <c r="VXH251" s="80"/>
      <c r="VXI251" s="80"/>
      <c r="VXJ251" s="80"/>
      <c r="VXK251" s="80"/>
      <c r="VXL251" s="80"/>
      <c r="VXM251" s="80"/>
      <c r="VXN251" s="80"/>
      <c r="VXO251" s="80"/>
      <c r="VXP251" s="80"/>
      <c r="VXQ251" s="80"/>
      <c r="VXR251" s="80"/>
      <c r="VXS251" s="80"/>
      <c r="VXT251" s="80"/>
      <c r="VXU251" s="80"/>
      <c r="VXV251" s="80"/>
      <c r="VXW251" s="80"/>
      <c r="VXX251" s="80"/>
      <c r="VXY251" s="80"/>
      <c r="VXZ251" s="80"/>
      <c r="VYA251" s="80"/>
      <c r="VYB251" s="80"/>
      <c r="VYC251" s="80"/>
      <c r="VYD251" s="80"/>
      <c r="VYE251" s="80"/>
      <c r="VYF251" s="80"/>
      <c r="VYG251" s="80"/>
      <c r="VYH251" s="80"/>
      <c r="VYI251" s="80"/>
      <c r="VYJ251" s="80"/>
      <c r="VYK251" s="80"/>
      <c r="VYL251" s="80"/>
      <c r="VYM251" s="80"/>
      <c r="VYN251" s="80"/>
      <c r="VYO251" s="80"/>
      <c r="VYP251" s="80"/>
      <c r="VYQ251" s="80"/>
      <c r="VYR251" s="80"/>
      <c r="VYS251" s="80"/>
      <c r="VYT251" s="80"/>
      <c r="VYU251" s="80"/>
      <c r="VYV251" s="80"/>
      <c r="VYW251" s="80"/>
      <c r="VYX251" s="80"/>
      <c r="VYY251" s="80"/>
      <c r="VYZ251" s="80"/>
      <c r="VZA251" s="80"/>
      <c r="VZB251" s="80"/>
      <c r="VZC251" s="80"/>
      <c r="VZD251" s="80"/>
      <c r="VZE251" s="80"/>
      <c r="VZF251" s="80"/>
      <c r="VZG251" s="80"/>
      <c r="VZH251" s="80"/>
      <c r="VZI251" s="80"/>
      <c r="VZJ251" s="80"/>
      <c r="VZK251" s="80"/>
      <c r="VZL251" s="80"/>
      <c r="VZM251" s="80"/>
      <c r="VZN251" s="80"/>
      <c r="VZO251" s="80"/>
      <c r="VZP251" s="80"/>
      <c r="VZQ251" s="80"/>
      <c r="VZR251" s="80"/>
      <c r="VZS251" s="80"/>
      <c r="VZT251" s="80"/>
      <c r="VZU251" s="80"/>
      <c r="VZV251" s="80"/>
      <c r="VZW251" s="80"/>
      <c r="VZX251" s="80"/>
      <c r="VZY251" s="80"/>
      <c r="VZZ251" s="80"/>
      <c r="WAA251" s="80"/>
      <c r="WAB251" s="80"/>
      <c r="WAC251" s="80"/>
      <c r="WAD251" s="80"/>
      <c r="WAE251" s="80"/>
      <c r="WAF251" s="80"/>
      <c r="WAG251" s="80"/>
      <c r="WAH251" s="80"/>
      <c r="WAI251" s="80"/>
      <c r="WAJ251" s="80"/>
      <c r="WAK251" s="80"/>
      <c r="WAL251" s="80"/>
      <c r="WAM251" s="80"/>
      <c r="WAN251" s="80"/>
      <c r="WAO251" s="80"/>
      <c r="WAP251" s="80"/>
      <c r="WAQ251" s="80"/>
      <c r="WAR251" s="80"/>
      <c r="WAS251" s="80"/>
      <c r="WAT251" s="80"/>
      <c r="WAU251" s="80"/>
      <c r="WAV251" s="80"/>
      <c r="WAW251" s="80"/>
      <c r="WAX251" s="80"/>
      <c r="WAY251" s="80"/>
      <c r="WAZ251" s="80"/>
      <c r="WBA251" s="80"/>
      <c r="WBB251" s="80"/>
      <c r="WBC251" s="80"/>
      <c r="WBD251" s="80"/>
      <c r="WBE251" s="80"/>
      <c r="WBF251" s="80"/>
      <c r="WBG251" s="80"/>
      <c r="WBH251" s="80"/>
      <c r="WBI251" s="80"/>
      <c r="WBJ251" s="80"/>
      <c r="WBK251" s="80"/>
      <c r="WBL251" s="80"/>
      <c r="WBM251" s="80"/>
      <c r="WBN251" s="80"/>
      <c r="WBO251" s="80"/>
      <c r="WBP251" s="80"/>
      <c r="WBQ251" s="80"/>
      <c r="WBR251" s="80"/>
      <c r="WBS251" s="80"/>
      <c r="WBT251" s="80"/>
      <c r="WBU251" s="80"/>
      <c r="WBV251" s="80"/>
      <c r="WBW251" s="80"/>
      <c r="WBX251" s="80"/>
      <c r="WBY251" s="80"/>
      <c r="WBZ251" s="80"/>
      <c r="WCA251" s="80"/>
      <c r="WCB251" s="80"/>
      <c r="WCC251" s="80"/>
      <c r="WCD251" s="80"/>
      <c r="WCE251" s="80"/>
      <c r="WCF251" s="80"/>
      <c r="WCG251" s="80"/>
      <c r="WCH251" s="80"/>
      <c r="WCI251" s="80"/>
      <c r="WCJ251" s="80"/>
      <c r="WCK251" s="80"/>
      <c r="WCL251" s="80"/>
      <c r="WCM251" s="80"/>
      <c r="WCN251" s="80"/>
      <c r="WCO251" s="80"/>
      <c r="WCP251" s="80"/>
      <c r="WCQ251" s="80"/>
      <c r="WCR251" s="80"/>
      <c r="WCS251" s="80"/>
      <c r="WCT251" s="80"/>
      <c r="WCU251" s="80"/>
      <c r="WCV251" s="80"/>
      <c r="WCW251" s="80"/>
      <c r="WCX251" s="80"/>
      <c r="WCY251" s="80"/>
      <c r="WCZ251" s="80"/>
      <c r="WDA251" s="80"/>
      <c r="WDB251" s="80"/>
      <c r="WDC251" s="80"/>
      <c r="WDD251" s="80"/>
      <c r="WDE251" s="80"/>
      <c r="WDF251" s="80"/>
      <c r="WDG251" s="80"/>
      <c r="WDH251" s="80"/>
      <c r="WDI251" s="80"/>
      <c r="WDJ251" s="80"/>
      <c r="WDK251" s="80"/>
      <c r="WDL251" s="80"/>
      <c r="WDM251" s="80"/>
      <c r="WDN251" s="80"/>
      <c r="WDO251" s="80"/>
      <c r="WDP251" s="80"/>
      <c r="WDQ251" s="80"/>
      <c r="WDR251" s="80"/>
      <c r="WDS251" s="80"/>
      <c r="WDT251" s="80"/>
      <c r="WDU251" s="80"/>
      <c r="WDV251" s="80"/>
      <c r="WDW251" s="80"/>
      <c r="WDX251" s="80"/>
      <c r="WDY251" s="80"/>
      <c r="WDZ251" s="80"/>
      <c r="WEA251" s="80"/>
      <c r="WEB251" s="80"/>
      <c r="WEC251" s="80"/>
      <c r="WED251" s="80"/>
      <c r="WEE251" s="80"/>
      <c r="WEF251" s="80"/>
      <c r="WEG251" s="80"/>
      <c r="WEH251" s="80"/>
      <c r="WEI251" s="80"/>
      <c r="WEJ251" s="80"/>
      <c r="WEK251" s="80"/>
      <c r="WEL251" s="80"/>
      <c r="WEM251" s="80"/>
      <c r="WEN251" s="80"/>
      <c r="WEO251" s="80"/>
      <c r="WEP251" s="80"/>
      <c r="WEQ251" s="80"/>
      <c r="WER251" s="80"/>
      <c r="WES251" s="80"/>
      <c r="WET251" s="80"/>
      <c r="WEU251" s="80"/>
      <c r="WEV251" s="80"/>
      <c r="WEW251" s="80"/>
      <c r="WEX251" s="80"/>
      <c r="WEY251" s="80"/>
      <c r="WEZ251" s="80"/>
      <c r="WFA251" s="80"/>
      <c r="WFB251" s="80"/>
      <c r="WFC251" s="80"/>
      <c r="WFD251" s="80"/>
      <c r="WFE251" s="80"/>
      <c r="WFF251" s="80"/>
      <c r="WFG251" s="80"/>
      <c r="WFH251" s="80"/>
      <c r="WFI251" s="80"/>
      <c r="WFJ251" s="80"/>
      <c r="WFK251" s="80"/>
      <c r="WFL251" s="80"/>
      <c r="WFM251" s="80"/>
      <c r="WFN251" s="80"/>
      <c r="WFO251" s="80"/>
      <c r="WFP251" s="80"/>
      <c r="WFQ251" s="80"/>
      <c r="WFR251" s="80"/>
      <c r="WFS251" s="80"/>
      <c r="WFT251" s="80"/>
      <c r="WFU251" s="80"/>
      <c r="WFV251" s="80"/>
      <c r="WFW251" s="80"/>
      <c r="WFX251" s="80"/>
      <c r="WFY251" s="80"/>
      <c r="WFZ251" s="80"/>
      <c r="WGA251" s="80"/>
      <c r="WGB251" s="80"/>
      <c r="WGC251" s="80"/>
      <c r="WGD251" s="80"/>
      <c r="WGE251" s="80"/>
      <c r="WGF251" s="80"/>
      <c r="WGG251" s="80"/>
      <c r="WGH251" s="80"/>
      <c r="WGI251" s="80"/>
      <c r="WGJ251" s="80"/>
      <c r="WGK251" s="80"/>
      <c r="WGL251" s="80"/>
      <c r="WGM251" s="80"/>
      <c r="WGN251" s="80"/>
      <c r="WGO251" s="80"/>
      <c r="WGP251" s="80"/>
      <c r="WGQ251" s="80"/>
      <c r="WGR251" s="80"/>
      <c r="WGS251" s="80"/>
      <c r="WGT251" s="80"/>
      <c r="WGU251" s="80"/>
      <c r="WGV251" s="80"/>
      <c r="WGW251" s="80"/>
      <c r="WGX251" s="80"/>
      <c r="WGY251" s="80"/>
      <c r="WGZ251" s="80"/>
      <c r="WHA251" s="80"/>
      <c r="WHB251" s="80"/>
      <c r="WHC251" s="80"/>
      <c r="WHD251" s="80"/>
      <c r="WHE251" s="80"/>
      <c r="WHF251" s="80"/>
      <c r="WHG251" s="80"/>
      <c r="WHH251" s="80"/>
      <c r="WHI251" s="80"/>
      <c r="WHJ251" s="80"/>
      <c r="WHK251" s="80"/>
      <c r="WHL251" s="80"/>
      <c r="WHM251" s="80"/>
      <c r="WHN251" s="80"/>
      <c r="WHO251" s="80"/>
      <c r="WHP251" s="80"/>
      <c r="WHQ251" s="80"/>
      <c r="WHR251" s="80"/>
      <c r="WHS251" s="80"/>
      <c r="WHT251" s="80"/>
      <c r="WHU251" s="80"/>
      <c r="WHV251" s="80"/>
      <c r="WHW251" s="80"/>
      <c r="WHX251" s="80"/>
      <c r="WHY251" s="80"/>
      <c r="WHZ251" s="80"/>
      <c r="WIA251" s="80"/>
      <c r="WIB251" s="80"/>
      <c r="WIC251" s="80"/>
      <c r="WID251" s="80"/>
      <c r="WIE251" s="80"/>
      <c r="WIF251" s="80"/>
      <c r="WIG251" s="80"/>
      <c r="WIH251" s="80"/>
      <c r="WII251" s="80"/>
      <c r="WIJ251" s="80"/>
      <c r="WIK251" s="80"/>
      <c r="WIL251" s="80"/>
      <c r="WIM251" s="80"/>
      <c r="WIN251" s="80"/>
      <c r="WIO251" s="80"/>
      <c r="WIP251" s="80"/>
      <c r="WIQ251" s="80"/>
      <c r="WIR251" s="80"/>
      <c r="WIS251" s="80"/>
      <c r="WIT251" s="80"/>
      <c r="WIU251" s="80"/>
      <c r="WIV251" s="80"/>
      <c r="WIW251" s="80"/>
      <c r="WIX251" s="80"/>
      <c r="WIY251" s="80"/>
      <c r="WIZ251" s="80"/>
      <c r="WJA251" s="80"/>
      <c r="WJB251" s="80"/>
      <c r="WJC251" s="80"/>
      <c r="WJD251" s="80"/>
      <c r="WJE251" s="80"/>
      <c r="WJF251" s="80"/>
      <c r="WJG251" s="80"/>
      <c r="WJH251" s="80"/>
      <c r="WJI251" s="80"/>
      <c r="WJJ251" s="80"/>
      <c r="WJK251" s="80"/>
      <c r="WJL251" s="80"/>
      <c r="WJM251" s="80"/>
      <c r="WJN251" s="80"/>
      <c r="WJO251" s="80"/>
      <c r="WJP251" s="80"/>
      <c r="WJQ251" s="80"/>
      <c r="WJR251" s="80"/>
      <c r="WJS251" s="80"/>
      <c r="WJT251" s="80"/>
      <c r="WJU251" s="80"/>
      <c r="WJV251" s="80"/>
      <c r="WJW251" s="80"/>
      <c r="WJX251" s="80"/>
      <c r="WJY251" s="80"/>
      <c r="WJZ251" s="80"/>
      <c r="WKA251" s="80"/>
      <c r="WKB251" s="80"/>
      <c r="WKC251" s="80"/>
      <c r="WKD251" s="80"/>
      <c r="WKE251" s="80"/>
      <c r="WKF251" s="80"/>
      <c r="WKG251" s="80"/>
      <c r="WKH251" s="80"/>
      <c r="WKI251" s="80"/>
      <c r="WKJ251" s="80"/>
      <c r="WKK251" s="80"/>
      <c r="WKL251" s="80"/>
      <c r="WKM251" s="80"/>
      <c r="WKN251" s="80"/>
      <c r="WKO251" s="80"/>
      <c r="WKP251" s="80"/>
      <c r="WKQ251" s="80"/>
      <c r="WKR251" s="80"/>
      <c r="WKS251" s="80"/>
      <c r="WKT251" s="80"/>
      <c r="WKU251" s="80"/>
      <c r="WKV251" s="80"/>
      <c r="WKW251" s="80"/>
      <c r="WKX251" s="80"/>
      <c r="WKY251" s="80"/>
      <c r="WKZ251" s="80"/>
      <c r="WLA251" s="80"/>
      <c r="WLB251" s="80"/>
      <c r="WLC251" s="80"/>
      <c r="WLD251" s="80"/>
      <c r="WLE251" s="80"/>
      <c r="WLF251" s="80"/>
      <c r="WLG251" s="80"/>
      <c r="WLH251" s="80"/>
      <c r="WLI251" s="80"/>
      <c r="WLJ251" s="80"/>
      <c r="WLK251" s="80"/>
      <c r="WLL251" s="80"/>
      <c r="WLM251" s="80"/>
      <c r="WLN251" s="80"/>
      <c r="WLO251" s="80"/>
      <c r="WLP251" s="80"/>
      <c r="WLQ251" s="80"/>
      <c r="WLR251" s="80"/>
      <c r="WLS251" s="80"/>
      <c r="WLT251" s="80"/>
      <c r="WLU251" s="80"/>
      <c r="WLV251" s="80"/>
      <c r="WLW251" s="80"/>
      <c r="WLX251" s="80"/>
      <c r="WLY251" s="80"/>
      <c r="WLZ251" s="80"/>
      <c r="WMA251" s="80"/>
      <c r="WMB251" s="80"/>
      <c r="WMC251" s="80"/>
      <c r="WMD251" s="80"/>
      <c r="WME251" s="80"/>
      <c r="WMF251" s="80"/>
      <c r="WMG251" s="80"/>
      <c r="WMH251" s="80"/>
      <c r="WMI251" s="80"/>
      <c r="WMJ251" s="80"/>
      <c r="WMK251" s="80"/>
      <c r="WML251" s="80"/>
      <c r="WMM251" s="80"/>
      <c r="WMN251" s="80"/>
      <c r="WMO251" s="80"/>
      <c r="WMP251" s="80"/>
      <c r="WMQ251" s="80"/>
      <c r="WMR251" s="80"/>
      <c r="WMS251" s="80"/>
      <c r="WMT251" s="80"/>
      <c r="WMU251" s="80"/>
      <c r="WMV251" s="80"/>
      <c r="WMW251" s="80"/>
      <c r="WMX251" s="80"/>
      <c r="WMY251" s="80"/>
      <c r="WMZ251" s="80"/>
      <c r="WNA251" s="80"/>
      <c r="WNB251" s="80"/>
      <c r="WNC251" s="80"/>
      <c r="WND251" s="80"/>
      <c r="WNE251" s="80"/>
      <c r="WNF251" s="80"/>
      <c r="WNG251" s="80"/>
      <c r="WNH251" s="80"/>
      <c r="WNI251" s="80"/>
      <c r="WNJ251" s="80"/>
      <c r="WNK251" s="80"/>
      <c r="WNL251" s="80"/>
      <c r="WNM251" s="80"/>
      <c r="WNN251" s="80"/>
      <c r="WNO251" s="80"/>
      <c r="WNP251" s="80"/>
      <c r="WNQ251" s="80"/>
      <c r="WNR251" s="80"/>
      <c r="WNS251" s="80"/>
      <c r="WNT251" s="80"/>
      <c r="WNU251" s="80"/>
      <c r="WNV251" s="80"/>
      <c r="WNW251" s="80"/>
      <c r="WNX251" s="80"/>
      <c r="WNY251" s="80"/>
      <c r="WNZ251" s="80"/>
      <c r="WOA251" s="80"/>
      <c r="WOB251" s="80"/>
      <c r="WOC251" s="80"/>
      <c r="WOD251" s="80"/>
      <c r="WOE251" s="80"/>
      <c r="WOF251" s="80"/>
      <c r="WOG251" s="80"/>
      <c r="WOH251" s="80"/>
      <c r="WOI251" s="80"/>
      <c r="WOJ251" s="80"/>
      <c r="WOK251" s="80"/>
      <c r="WOL251" s="80"/>
      <c r="WOM251" s="80"/>
      <c r="WON251" s="80"/>
      <c r="WOO251" s="80"/>
      <c r="WOP251" s="80"/>
      <c r="WOQ251" s="80"/>
      <c r="WOR251" s="80"/>
      <c r="WOS251" s="80"/>
      <c r="WOT251" s="80"/>
      <c r="WOU251" s="80"/>
      <c r="WOV251" s="80"/>
      <c r="WOW251" s="80"/>
      <c r="WOX251" s="80"/>
      <c r="WOY251" s="80"/>
      <c r="WOZ251" s="80"/>
      <c r="WPA251" s="80"/>
      <c r="WPB251" s="80"/>
      <c r="WPC251" s="80"/>
      <c r="WPD251" s="80"/>
      <c r="WPE251" s="80"/>
      <c r="WPF251" s="80"/>
      <c r="WPG251" s="80"/>
      <c r="WPH251" s="80"/>
      <c r="WPI251" s="80"/>
      <c r="WPJ251" s="80"/>
      <c r="WPK251" s="80"/>
      <c r="WPL251" s="80"/>
      <c r="WPM251" s="80"/>
      <c r="WPN251" s="80"/>
      <c r="WPO251" s="80"/>
      <c r="WPP251" s="80"/>
      <c r="WPQ251" s="80"/>
      <c r="WPR251" s="80"/>
      <c r="WPS251" s="80"/>
      <c r="WPT251" s="80"/>
      <c r="WPU251" s="80"/>
      <c r="WPV251" s="80"/>
      <c r="WPW251" s="80"/>
      <c r="WPX251" s="80"/>
      <c r="WPY251" s="80"/>
      <c r="WPZ251" s="80"/>
      <c r="WQA251" s="80"/>
      <c r="WQB251" s="80"/>
      <c r="WQC251" s="80"/>
      <c r="WQD251" s="80"/>
      <c r="WQE251" s="80"/>
      <c r="WQF251" s="80"/>
      <c r="WQG251" s="80"/>
      <c r="WQH251" s="80"/>
      <c r="WQI251" s="80"/>
      <c r="WQJ251" s="80"/>
      <c r="WQK251" s="80"/>
      <c r="WQL251" s="80"/>
      <c r="WQM251" s="80"/>
      <c r="WQN251" s="80"/>
      <c r="WQO251" s="80"/>
      <c r="WQP251" s="80"/>
      <c r="WQQ251" s="80"/>
      <c r="WQR251" s="80"/>
      <c r="WQS251" s="80"/>
      <c r="WQT251" s="80"/>
      <c r="WQU251" s="80"/>
      <c r="WQV251" s="80"/>
      <c r="WQW251" s="80"/>
      <c r="WQX251" s="80"/>
      <c r="WQY251" s="80"/>
      <c r="WQZ251" s="80"/>
      <c r="WRA251" s="80"/>
      <c r="WRB251" s="80"/>
      <c r="WRC251" s="80"/>
      <c r="WRD251" s="80"/>
      <c r="WRE251" s="80"/>
      <c r="WRF251" s="80"/>
      <c r="WRG251" s="80"/>
      <c r="WRH251" s="80"/>
      <c r="WRI251" s="80"/>
      <c r="WRJ251" s="80"/>
      <c r="WRK251" s="80"/>
      <c r="WRL251" s="80"/>
      <c r="WRM251" s="80"/>
      <c r="WRN251" s="80"/>
      <c r="WRO251" s="80"/>
      <c r="WRP251" s="80"/>
      <c r="WRQ251" s="80"/>
      <c r="WRR251" s="80"/>
      <c r="WRS251" s="80"/>
      <c r="WRT251" s="80"/>
      <c r="WRU251" s="80"/>
      <c r="WRV251" s="80"/>
      <c r="WRW251" s="80"/>
      <c r="WRX251" s="80"/>
      <c r="WRY251" s="80"/>
      <c r="WRZ251" s="80"/>
      <c r="WSA251" s="80"/>
      <c r="WSB251" s="80"/>
      <c r="WSC251" s="80"/>
      <c r="WSD251" s="80"/>
      <c r="WSE251" s="80"/>
      <c r="WSF251" s="80"/>
      <c r="WSG251" s="80"/>
      <c r="WSH251" s="80"/>
      <c r="WSI251" s="80"/>
      <c r="WSJ251" s="80"/>
      <c r="WSK251" s="80"/>
      <c r="WSL251" s="80"/>
      <c r="WSM251" s="80"/>
      <c r="WSN251" s="80"/>
      <c r="WSO251" s="80"/>
      <c r="WSP251" s="80"/>
      <c r="WSQ251" s="80"/>
      <c r="WSR251" s="80"/>
      <c r="WSS251" s="80"/>
      <c r="WST251" s="80"/>
      <c r="WSU251" s="80"/>
      <c r="WSV251" s="80"/>
      <c r="WSW251" s="80"/>
      <c r="WSX251" s="80"/>
      <c r="WSY251" s="80"/>
      <c r="WSZ251" s="80"/>
      <c r="WTA251" s="80"/>
      <c r="WTB251" s="80"/>
      <c r="WTC251" s="80"/>
      <c r="WTD251" s="80"/>
      <c r="WTE251" s="80"/>
      <c r="WTF251" s="80"/>
      <c r="WTG251" s="80"/>
      <c r="WTH251" s="80"/>
      <c r="WTI251" s="80"/>
      <c r="WTJ251" s="80"/>
      <c r="WTK251" s="80"/>
      <c r="WTL251" s="80"/>
      <c r="WTM251" s="80"/>
      <c r="WTN251" s="80"/>
      <c r="WTO251" s="80"/>
      <c r="WTP251" s="80"/>
      <c r="WTQ251" s="80"/>
      <c r="WTR251" s="80"/>
      <c r="WTS251" s="80"/>
      <c r="WTT251" s="80"/>
      <c r="WTU251" s="80"/>
      <c r="WTV251" s="80"/>
      <c r="WTW251" s="80"/>
      <c r="WTX251" s="80"/>
      <c r="WTY251" s="80"/>
      <c r="WTZ251" s="80"/>
      <c r="WUA251" s="80"/>
      <c r="WUB251" s="80"/>
      <c r="WUC251" s="80"/>
      <c r="WUD251" s="80"/>
      <c r="WUE251" s="80"/>
      <c r="WUF251" s="80"/>
      <c r="WUG251" s="80"/>
      <c r="WUH251" s="80"/>
      <c r="WUI251" s="80"/>
      <c r="WUJ251" s="80"/>
      <c r="WUK251" s="80"/>
      <c r="WUL251" s="80"/>
      <c r="WUM251" s="80"/>
      <c r="WUN251" s="80"/>
      <c r="WUO251" s="80"/>
      <c r="WUP251" s="80"/>
      <c r="WUQ251" s="80"/>
      <c r="WUR251" s="80"/>
      <c r="WUS251" s="80"/>
      <c r="WUT251" s="80"/>
      <c r="WUU251" s="80"/>
      <c r="WUV251" s="80"/>
      <c r="WUW251" s="80"/>
      <c r="WUX251" s="80"/>
      <c r="WUY251" s="80"/>
      <c r="WUZ251" s="80"/>
      <c r="WVA251" s="80"/>
      <c r="WVB251" s="80"/>
      <c r="WVC251" s="80"/>
      <c r="WVD251" s="80"/>
      <c r="WVE251" s="80"/>
      <c r="WVF251" s="80"/>
      <c r="WVG251" s="80"/>
      <c r="WVH251" s="80"/>
      <c r="WVI251" s="80"/>
      <c r="WVJ251" s="80"/>
      <c r="WVK251" s="80"/>
      <c r="WVL251" s="80"/>
      <c r="WVM251" s="80"/>
      <c r="WVN251" s="80"/>
      <c r="WVO251" s="80"/>
      <c r="WVP251" s="80"/>
      <c r="WVQ251" s="80"/>
      <c r="WVR251" s="80"/>
      <c r="WVS251" s="80"/>
      <c r="WVT251" s="80"/>
      <c r="WVU251" s="80"/>
      <c r="WVV251" s="80"/>
      <c r="WVW251" s="80"/>
      <c r="WVX251" s="80"/>
      <c r="WVY251" s="80"/>
      <c r="WVZ251" s="80"/>
      <c r="WWA251" s="80"/>
      <c r="WWB251" s="80"/>
      <c r="WWC251" s="80"/>
      <c r="WWD251" s="80"/>
      <c r="WWE251" s="80"/>
      <c r="WWF251" s="80"/>
      <c r="WWG251" s="80"/>
      <c r="WWH251" s="80"/>
      <c r="WWI251" s="80"/>
      <c r="WWJ251" s="80"/>
      <c r="WWK251" s="80"/>
      <c r="WWL251" s="80"/>
      <c r="WWM251" s="80"/>
      <c r="WWN251" s="80"/>
      <c r="WWO251" s="80"/>
      <c r="WWP251" s="80"/>
      <c r="WWQ251" s="80"/>
      <c r="WWR251" s="80"/>
      <c r="WWS251" s="80"/>
      <c r="WWT251" s="80"/>
      <c r="WWU251" s="80"/>
      <c r="WWV251" s="80"/>
      <c r="WWW251" s="80"/>
      <c r="WWX251" s="80"/>
      <c r="WWY251" s="80"/>
      <c r="WWZ251" s="80"/>
      <c r="WXA251" s="80"/>
      <c r="WXB251" s="80"/>
      <c r="WXC251" s="80"/>
      <c r="WXD251" s="80"/>
      <c r="WXE251" s="80"/>
      <c r="WXF251" s="80"/>
      <c r="WXG251" s="80"/>
      <c r="WXH251" s="80"/>
      <c r="WXI251" s="80"/>
      <c r="WXJ251" s="80"/>
      <c r="WXK251" s="80"/>
      <c r="WXL251" s="80"/>
      <c r="WXM251" s="80"/>
      <c r="WXN251" s="80"/>
      <c r="WXO251" s="80"/>
      <c r="WXP251" s="80"/>
      <c r="WXQ251" s="80"/>
      <c r="WXR251" s="80"/>
      <c r="WXS251" s="80"/>
      <c r="WXT251" s="80"/>
      <c r="WXU251" s="80"/>
      <c r="WXV251" s="80"/>
      <c r="WXW251" s="80"/>
      <c r="WXX251" s="80"/>
      <c r="WXY251" s="80"/>
      <c r="WXZ251" s="80"/>
      <c r="WYA251" s="80"/>
      <c r="WYB251" s="80"/>
      <c r="WYC251" s="80"/>
      <c r="WYD251" s="80"/>
      <c r="WYE251" s="80"/>
      <c r="WYF251" s="80"/>
      <c r="WYG251" s="80"/>
      <c r="WYH251" s="80"/>
      <c r="WYI251" s="80"/>
      <c r="WYJ251" s="80"/>
      <c r="WYK251" s="80"/>
      <c r="WYL251" s="80"/>
      <c r="WYM251" s="80"/>
      <c r="WYN251" s="80"/>
      <c r="WYO251" s="80"/>
      <c r="WYP251" s="80"/>
      <c r="WYQ251" s="80"/>
      <c r="WYR251" s="80"/>
      <c r="WYS251" s="80"/>
      <c r="WYT251" s="80"/>
      <c r="WYU251" s="80"/>
      <c r="WYV251" s="80"/>
      <c r="WYW251" s="80"/>
      <c r="WYX251" s="80"/>
      <c r="WYY251" s="80"/>
      <c r="WYZ251" s="80"/>
      <c r="WZA251" s="80"/>
      <c r="WZB251" s="80"/>
      <c r="WZC251" s="80"/>
      <c r="WZD251" s="80"/>
      <c r="WZE251" s="80"/>
      <c r="WZF251" s="80"/>
      <c r="WZG251" s="80"/>
      <c r="WZH251" s="80"/>
      <c r="WZI251" s="80"/>
      <c r="WZJ251" s="80"/>
      <c r="WZK251" s="80"/>
      <c r="WZL251" s="80"/>
      <c r="WZM251" s="80"/>
      <c r="WZN251" s="80"/>
      <c r="WZO251" s="80"/>
      <c r="WZP251" s="80"/>
      <c r="WZQ251" s="80"/>
      <c r="WZR251" s="80"/>
      <c r="WZS251" s="80"/>
      <c r="WZT251" s="80"/>
      <c r="WZU251" s="80"/>
      <c r="WZV251" s="80"/>
      <c r="WZW251" s="80"/>
      <c r="WZX251" s="80"/>
      <c r="WZY251" s="80"/>
      <c r="WZZ251" s="80"/>
      <c r="XAA251" s="80"/>
      <c r="XAB251" s="80"/>
      <c r="XAC251" s="80"/>
      <c r="XAD251" s="80"/>
      <c r="XAE251" s="80"/>
      <c r="XAF251" s="80"/>
      <c r="XAG251" s="80"/>
      <c r="XAH251" s="80"/>
      <c r="XAI251" s="80"/>
      <c r="XAJ251" s="80"/>
      <c r="XAK251" s="80"/>
      <c r="XAL251" s="80"/>
      <c r="XAM251" s="80"/>
      <c r="XAN251" s="80"/>
      <c r="XAO251" s="80"/>
      <c r="XAP251" s="80"/>
      <c r="XAQ251" s="80"/>
      <c r="XAR251" s="80"/>
      <c r="XAS251" s="80"/>
      <c r="XAT251" s="80"/>
      <c r="XAU251" s="80"/>
      <c r="XAV251" s="80"/>
      <c r="XAW251" s="80"/>
      <c r="XAX251" s="80"/>
      <c r="XAY251" s="80"/>
      <c r="XAZ251" s="80"/>
      <c r="XBA251" s="80"/>
      <c r="XBB251" s="80"/>
      <c r="XBC251" s="80"/>
      <c r="XBD251" s="80"/>
      <c r="XBE251" s="80"/>
      <c r="XBF251" s="80"/>
      <c r="XBG251" s="80"/>
      <c r="XBH251" s="80"/>
      <c r="XBI251" s="80"/>
      <c r="XBJ251" s="80"/>
      <c r="XBK251" s="80"/>
      <c r="XBL251" s="80"/>
      <c r="XBM251" s="80"/>
      <c r="XBN251" s="80"/>
      <c r="XBO251" s="80"/>
      <c r="XBP251" s="80"/>
      <c r="XBQ251" s="80"/>
      <c r="XBR251" s="80"/>
      <c r="XBS251" s="80"/>
      <c r="XBT251" s="80"/>
      <c r="XBU251" s="80"/>
      <c r="XBV251" s="80"/>
      <c r="XBW251" s="80"/>
      <c r="XBX251" s="80"/>
      <c r="XBY251" s="80"/>
      <c r="XBZ251" s="80"/>
      <c r="XCA251" s="80"/>
      <c r="XCB251" s="80"/>
      <c r="XCC251" s="80"/>
      <c r="XCD251" s="80"/>
      <c r="XCE251" s="80"/>
      <c r="XCF251" s="80"/>
      <c r="XCG251" s="80"/>
      <c r="XCH251" s="80"/>
      <c r="XCI251" s="80"/>
      <c r="XCJ251" s="80"/>
      <c r="XCK251" s="80"/>
      <c r="XCL251" s="80"/>
      <c r="XCM251" s="80"/>
      <c r="XCN251" s="80"/>
      <c r="XCO251" s="80"/>
      <c r="XCP251" s="80"/>
      <c r="XCQ251" s="80"/>
      <c r="XCR251" s="80"/>
      <c r="XCS251" s="80"/>
      <c r="XCT251" s="80"/>
      <c r="XCU251" s="80"/>
      <c r="XCV251" s="80"/>
      <c r="XCW251" s="80"/>
      <c r="XCX251" s="80"/>
      <c r="XCY251" s="80"/>
      <c r="XCZ251" s="80"/>
      <c r="XDA251" s="80"/>
      <c r="XDB251" s="80"/>
      <c r="XDC251" s="80"/>
      <c r="XDD251" s="80"/>
      <c r="XDE251" s="80"/>
      <c r="XDF251" s="80"/>
      <c r="XDG251" s="80"/>
      <c r="XDH251" s="80"/>
      <c r="XDI251" s="80"/>
      <c r="XDJ251" s="80"/>
      <c r="XDK251" s="80"/>
      <c r="XDL251" s="80"/>
      <c r="XDM251" s="80"/>
      <c r="XDN251" s="80"/>
      <c r="XDO251" s="80"/>
      <c r="XDP251" s="80"/>
      <c r="XDQ251" s="80"/>
      <c r="XDR251" s="80"/>
      <c r="XDS251" s="80"/>
      <c r="XDT251" s="80"/>
      <c r="XDU251" s="80"/>
      <c r="XDV251" s="80"/>
      <c r="XDW251" s="80"/>
      <c r="XDX251" s="80"/>
      <c r="XDY251" s="80"/>
      <c r="XDZ251" s="80"/>
      <c r="XEA251" s="80"/>
      <c r="XEB251" s="80"/>
      <c r="XEC251" s="80"/>
      <c r="XED251" s="80"/>
      <c r="XEE251" s="80"/>
      <c r="XEF251" s="80"/>
      <c r="XEG251" s="80"/>
      <c r="XEH251" s="80"/>
      <c r="XEI251" s="80"/>
      <c r="XEJ251" s="80"/>
      <c r="XEK251" s="80"/>
      <c r="XEL251" s="80"/>
      <c r="XEM251" s="80"/>
      <c r="XEN251" s="80"/>
      <c r="XEO251" s="80"/>
      <c r="XEP251" s="80"/>
      <c r="XEQ251" s="80"/>
      <c r="XER251" s="80"/>
      <c r="XES251" s="80"/>
      <c r="XET251" s="80"/>
      <c r="XEU251" s="80"/>
      <c r="XEV251" s="80"/>
      <c r="XEW251" s="80"/>
      <c r="XEX251" s="80"/>
      <c r="XEY251" s="80"/>
      <c r="XEZ251" s="80"/>
      <c r="XFA251" s="80"/>
      <c r="XFB251" s="80"/>
      <c r="XFC251" s="80"/>
      <c r="XFD251" s="80"/>
    </row>
    <row r="252" spans="1:16384" x14ac:dyDescent="0.2">
      <c r="A252" s="7">
        <v>80</v>
      </c>
      <c r="B252" s="7" t="s">
        <v>560</v>
      </c>
      <c r="C252" s="7" t="s">
        <v>172</v>
      </c>
      <c r="D252" s="7" t="s">
        <v>561</v>
      </c>
      <c r="E252" s="7" t="s">
        <v>174</v>
      </c>
      <c r="F252" s="7" t="s">
        <v>562</v>
      </c>
      <c r="G252" s="7">
        <v>2006</v>
      </c>
      <c r="H252" s="8">
        <v>39057</v>
      </c>
      <c r="I252" s="7" t="s">
        <v>32</v>
      </c>
      <c r="J252" s="7" t="s">
        <v>32</v>
      </c>
      <c r="K252" s="7" t="s">
        <v>563</v>
      </c>
      <c r="L252" s="7">
        <v>1</v>
      </c>
      <c r="M252" s="7" t="s">
        <v>564</v>
      </c>
      <c r="N252" s="7" t="s">
        <v>34</v>
      </c>
      <c r="O252" s="7" t="s">
        <v>34</v>
      </c>
      <c r="P252" s="7" t="s">
        <v>34</v>
      </c>
      <c r="Q252" s="7" t="s">
        <v>34</v>
      </c>
      <c r="R252" s="7" t="s">
        <v>34</v>
      </c>
      <c r="S252" s="7" t="s">
        <v>34</v>
      </c>
      <c r="T252" s="7" t="s">
        <v>34</v>
      </c>
      <c r="U252" s="7" t="s">
        <v>32</v>
      </c>
      <c r="V252" s="7">
        <v>1</v>
      </c>
      <c r="W252" s="7" t="s">
        <v>32</v>
      </c>
      <c r="X252" s="7" t="s">
        <v>32</v>
      </c>
      <c r="Y252" s="7" t="s">
        <v>565</v>
      </c>
      <c r="Z252" s="7" t="s">
        <v>32</v>
      </c>
      <c r="AA252" s="7">
        <v>17144752</v>
      </c>
      <c r="AB252" s="7">
        <v>1</v>
      </c>
      <c r="AC252" s="7"/>
      <c r="AD252" s="7">
        <v>3</v>
      </c>
      <c r="AE252" s="7">
        <f t="shared" si="15"/>
        <v>55</v>
      </c>
      <c r="AF252" s="7">
        <v>29</v>
      </c>
      <c r="AG252" s="7">
        <v>26</v>
      </c>
      <c r="AH252" s="7" t="s">
        <v>2845</v>
      </c>
      <c r="AI252" s="7" t="s">
        <v>2845</v>
      </c>
      <c r="AJ252" s="7">
        <v>40.380000000000003</v>
      </c>
      <c r="AK252" s="7">
        <v>11.76</v>
      </c>
      <c r="AL252" s="7">
        <v>35.229999999999997</v>
      </c>
      <c r="AM252" s="7">
        <v>12.11</v>
      </c>
      <c r="AN252" s="7" t="s">
        <v>3224</v>
      </c>
      <c r="AO252" s="7" t="s">
        <v>1770</v>
      </c>
      <c r="AP252" s="7" t="s">
        <v>3289</v>
      </c>
      <c r="AQ252" s="7" t="s">
        <v>3259</v>
      </c>
      <c r="AR252" s="7" t="s">
        <v>1646</v>
      </c>
      <c r="AS252" s="7" t="s">
        <v>3143</v>
      </c>
      <c r="AT252" s="7" t="s">
        <v>1646</v>
      </c>
      <c r="AU252" s="7" t="s">
        <v>2940</v>
      </c>
      <c r="AV252" s="7" t="s">
        <v>2907</v>
      </c>
      <c r="AW252" s="7">
        <v>44</v>
      </c>
      <c r="AX252" s="7">
        <v>45</v>
      </c>
      <c r="AY252" s="7" t="s">
        <v>3290</v>
      </c>
      <c r="AZ252" s="7">
        <v>3</v>
      </c>
      <c r="BA252" s="7">
        <v>1.4</v>
      </c>
      <c r="BB252" s="7"/>
      <c r="BC252" s="7" t="s">
        <v>3374</v>
      </c>
      <c r="BD252" s="7">
        <v>4.0999999999999996</v>
      </c>
      <c r="BE252" s="7">
        <v>1.3</v>
      </c>
      <c r="BF252" s="7"/>
    </row>
    <row r="253" spans="1:16384" x14ac:dyDescent="0.2">
      <c r="A253" s="7">
        <v>80</v>
      </c>
      <c r="B253" s="7" t="s">
        <v>560</v>
      </c>
      <c r="C253" s="7" t="s">
        <v>172</v>
      </c>
      <c r="D253" s="7" t="s">
        <v>561</v>
      </c>
      <c r="E253" s="7" t="s">
        <v>174</v>
      </c>
      <c r="F253" s="7" t="s">
        <v>562</v>
      </c>
      <c r="G253" s="7">
        <v>2006</v>
      </c>
      <c r="H253" s="8">
        <v>39057</v>
      </c>
      <c r="I253" s="7" t="s">
        <v>32</v>
      </c>
      <c r="J253" s="7" t="s">
        <v>32</v>
      </c>
      <c r="K253" s="7" t="s">
        <v>563</v>
      </c>
      <c r="L253" s="7">
        <v>1</v>
      </c>
      <c r="M253" s="7" t="s">
        <v>564</v>
      </c>
      <c r="N253" s="7" t="s">
        <v>34</v>
      </c>
      <c r="O253" s="7" t="s">
        <v>34</v>
      </c>
      <c r="P253" s="7" t="s">
        <v>34</v>
      </c>
      <c r="Q253" s="7" t="s">
        <v>34</v>
      </c>
      <c r="R253" s="7" t="s">
        <v>34</v>
      </c>
      <c r="S253" s="7" t="s">
        <v>34</v>
      </c>
      <c r="T253" s="7" t="s">
        <v>34</v>
      </c>
      <c r="U253" s="7" t="s">
        <v>32</v>
      </c>
      <c r="V253" s="7">
        <v>1</v>
      </c>
      <c r="W253" s="7" t="s">
        <v>32</v>
      </c>
      <c r="X253" s="7" t="s">
        <v>32</v>
      </c>
      <c r="Y253" s="7" t="s">
        <v>565</v>
      </c>
      <c r="Z253" s="7" t="s">
        <v>32</v>
      </c>
      <c r="AA253" s="7">
        <v>17144752</v>
      </c>
      <c r="AB253" s="7">
        <v>1</v>
      </c>
      <c r="AC253" s="7"/>
      <c r="AD253" s="7">
        <v>3</v>
      </c>
      <c r="AE253" s="7">
        <f t="shared" si="15"/>
        <v>55</v>
      </c>
      <c r="AF253" s="7">
        <v>29</v>
      </c>
      <c r="AG253" s="7">
        <v>26</v>
      </c>
      <c r="AH253" s="7" t="s">
        <v>2845</v>
      </c>
      <c r="AI253" s="7" t="s">
        <v>2845</v>
      </c>
      <c r="AJ253" s="7">
        <v>40.380000000000003</v>
      </c>
      <c r="AK253" s="7">
        <v>11.76</v>
      </c>
      <c r="AL253" s="7">
        <v>35.229999999999997</v>
      </c>
      <c r="AM253" s="7">
        <v>12.11</v>
      </c>
      <c r="AN253" s="7" t="s">
        <v>3224</v>
      </c>
      <c r="AO253" s="7" t="s">
        <v>1770</v>
      </c>
      <c r="AP253" s="7" t="s">
        <v>3289</v>
      </c>
      <c r="AQ253" s="7" t="s">
        <v>3259</v>
      </c>
      <c r="AR253" s="7" t="s">
        <v>1646</v>
      </c>
      <c r="AS253" s="7" t="s">
        <v>3143</v>
      </c>
      <c r="AT253" s="7" t="s">
        <v>1646</v>
      </c>
      <c r="AU253" s="7" t="s">
        <v>2940</v>
      </c>
      <c r="AV253" s="7" t="s">
        <v>2907</v>
      </c>
      <c r="AW253" s="7">
        <v>44</v>
      </c>
      <c r="AX253" s="7">
        <v>45</v>
      </c>
      <c r="AY253" s="7" t="s">
        <v>3291</v>
      </c>
      <c r="AZ253" s="7">
        <v>3.2</v>
      </c>
      <c r="BA253" s="7">
        <v>1.5</v>
      </c>
      <c r="BB253" s="7"/>
      <c r="BC253" s="7" t="s">
        <v>3375</v>
      </c>
      <c r="BD253" s="7">
        <v>4.5</v>
      </c>
      <c r="BE253" s="7">
        <v>1.4</v>
      </c>
      <c r="BF253" s="7"/>
    </row>
    <row r="254" spans="1:16384" x14ac:dyDescent="0.2">
      <c r="A254" s="7">
        <v>80</v>
      </c>
      <c r="B254" s="7" t="s">
        <v>560</v>
      </c>
      <c r="C254" s="7" t="s">
        <v>172</v>
      </c>
      <c r="D254" s="7" t="s">
        <v>561</v>
      </c>
      <c r="E254" s="7" t="s">
        <v>174</v>
      </c>
      <c r="F254" s="7" t="s">
        <v>562</v>
      </c>
      <c r="G254" s="7">
        <v>2006</v>
      </c>
      <c r="H254" s="8">
        <v>39057</v>
      </c>
      <c r="I254" s="7" t="s">
        <v>32</v>
      </c>
      <c r="J254" s="7" t="s">
        <v>32</v>
      </c>
      <c r="K254" s="7" t="s">
        <v>563</v>
      </c>
      <c r="L254" s="7">
        <v>1</v>
      </c>
      <c r="M254" s="7" t="s">
        <v>564</v>
      </c>
      <c r="N254" s="7" t="s">
        <v>34</v>
      </c>
      <c r="O254" s="7" t="s">
        <v>34</v>
      </c>
      <c r="P254" s="7" t="s">
        <v>34</v>
      </c>
      <c r="Q254" s="7" t="s">
        <v>34</v>
      </c>
      <c r="R254" s="7" t="s">
        <v>34</v>
      </c>
      <c r="S254" s="7" t="s">
        <v>34</v>
      </c>
      <c r="T254" s="7" t="s">
        <v>34</v>
      </c>
      <c r="U254" s="7" t="s">
        <v>32</v>
      </c>
      <c r="V254" s="7">
        <v>1</v>
      </c>
      <c r="W254" s="7" t="s">
        <v>32</v>
      </c>
      <c r="X254" s="7" t="s">
        <v>32</v>
      </c>
      <c r="Y254" s="7" t="s">
        <v>565</v>
      </c>
      <c r="Z254" s="7" t="s">
        <v>32</v>
      </c>
      <c r="AA254" s="7">
        <v>17144752</v>
      </c>
      <c r="AB254" s="7">
        <v>1</v>
      </c>
      <c r="AC254" s="7"/>
      <c r="AD254" s="7">
        <v>3</v>
      </c>
      <c r="AE254" s="7">
        <f t="shared" si="15"/>
        <v>55</v>
      </c>
      <c r="AF254" s="7">
        <v>29</v>
      </c>
      <c r="AG254" s="7">
        <v>26</v>
      </c>
      <c r="AH254" s="7" t="s">
        <v>2845</v>
      </c>
      <c r="AI254" s="7" t="s">
        <v>2845</v>
      </c>
      <c r="AJ254" s="7">
        <v>40.380000000000003</v>
      </c>
      <c r="AK254" s="7">
        <v>11.76</v>
      </c>
      <c r="AL254" s="7">
        <v>35.229999999999997</v>
      </c>
      <c r="AM254" s="7">
        <v>12.11</v>
      </c>
      <c r="AN254" s="7" t="s">
        <v>3224</v>
      </c>
      <c r="AO254" s="7" t="s">
        <v>1770</v>
      </c>
      <c r="AP254" s="7" t="s">
        <v>3289</v>
      </c>
      <c r="AQ254" s="7" t="s">
        <v>3259</v>
      </c>
      <c r="AR254" s="7" t="s">
        <v>1646</v>
      </c>
      <c r="AS254" s="7" t="s">
        <v>3143</v>
      </c>
      <c r="AT254" s="7" t="s">
        <v>1646</v>
      </c>
      <c r="AU254" s="7" t="s">
        <v>2940</v>
      </c>
      <c r="AV254" s="7" t="s">
        <v>2907</v>
      </c>
      <c r="AW254" s="7">
        <v>44</v>
      </c>
      <c r="AX254" s="7">
        <v>45</v>
      </c>
      <c r="AY254" s="7" t="s">
        <v>3292</v>
      </c>
      <c r="AZ254" s="7">
        <v>3.6</v>
      </c>
      <c r="BA254" s="7">
        <v>1.5</v>
      </c>
      <c r="BB254" s="7"/>
      <c r="BC254" s="7" t="s">
        <v>3376</v>
      </c>
      <c r="BD254" s="7">
        <v>4.8</v>
      </c>
      <c r="BE254" s="7">
        <v>1</v>
      </c>
      <c r="BF254" s="7"/>
    </row>
    <row r="255" spans="1:16384" x14ac:dyDescent="0.2">
      <c r="A255" s="7">
        <v>80</v>
      </c>
      <c r="B255" s="7" t="s">
        <v>560</v>
      </c>
      <c r="C255" s="7" t="s">
        <v>172</v>
      </c>
      <c r="D255" s="7" t="s">
        <v>561</v>
      </c>
      <c r="E255" s="7" t="s">
        <v>174</v>
      </c>
      <c r="F255" s="7" t="s">
        <v>562</v>
      </c>
      <c r="G255" s="7">
        <v>2006</v>
      </c>
      <c r="H255" s="8">
        <v>39057</v>
      </c>
      <c r="I255" s="7" t="s">
        <v>32</v>
      </c>
      <c r="J255" s="7" t="s">
        <v>32</v>
      </c>
      <c r="K255" s="7" t="s">
        <v>563</v>
      </c>
      <c r="L255" s="7">
        <v>1</v>
      </c>
      <c r="M255" s="7" t="s">
        <v>564</v>
      </c>
      <c r="N255" s="7" t="s">
        <v>34</v>
      </c>
      <c r="O255" s="7" t="s">
        <v>34</v>
      </c>
      <c r="P255" s="7" t="s">
        <v>34</v>
      </c>
      <c r="Q255" s="7" t="s">
        <v>34</v>
      </c>
      <c r="R255" s="7" t="s">
        <v>34</v>
      </c>
      <c r="S255" s="7" t="s">
        <v>34</v>
      </c>
      <c r="T255" s="7" t="s">
        <v>34</v>
      </c>
      <c r="U255" s="7" t="s">
        <v>32</v>
      </c>
      <c r="V255" s="7">
        <v>1</v>
      </c>
      <c r="W255" s="7" t="s">
        <v>32</v>
      </c>
      <c r="X255" s="7" t="s">
        <v>32</v>
      </c>
      <c r="Y255" s="7" t="s">
        <v>565</v>
      </c>
      <c r="Z255" s="7" t="s">
        <v>32</v>
      </c>
      <c r="AA255" s="7">
        <v>17144752</v>
      </c>
      <c r="AB255" s="7">
        <v>1</v>
      </c>
      <c r="AC255" s="7"/>
      <c r="AD255" s="7">
        <v>3</v>
      </c>
      <c r="AE255" s="7">
        <f t="shared" si="15"/>
        <v>55</v>
      </c>
      <c r="AF255" s="7">
        <v>29</v>
      </c>
      <c r="AG255" s="7">
        <v>26</v>
      </c>
      <c r="AH255" s="7" t="s">
        <v>2845</v>
      </c>
      <c r="AI255" s="7" t="s">
        <v>2845</v>
      </c>
      <c r="AJ255" s="7">
        <v>40.380000000000003</v>
      </c>
      <c r="AK255" s="7">
        <v>11.76</v>
      </c>
      <c r="AL255" s="7">
        <v>35.229999999999997</v>
      </c>
      <c r="AM255" s="7">
        <v>12.11</v>
      </c>
      <c r="AN255" s="7" t="s">
        <v>3224</v>
      </c>
      <c r="AO255" s="7" t="s">
        <v>1770</v>
      </c>
      <c r="AP255" s="7" t="s">
        <v>3289</v>
      </c>
      <c r="AQ255" s="7" t="s">
        <v>3259</v>
      </c>
      <c r="AR255" s="7" t="s">
        <v>1646</v>
      </c>
      <c r="AS255" s="7" t="s">
        <v>3143</v>
      </c>
      <c r="AT255" s="7" t="s">
        <v>1646</v>
      </c>
      <c r="AU255" s="7" t="s">
        <v>2940</v>
      </c>
      <c r="AV255" s="7" t="s">
        <v>2907</v>
      </c>
      <c r="AW255" s="7">
        <v>44</v>
      </c>
      <c r="AX255" s="7">
        <v>45</v>
      </c>
      <c r="AY255" s="7" t="s">
        <v>3293</v>
      </c>
      <c r="AZ255" s="7">
        <v>3.6</v>
      </c>
      <c r="BA255" s="7">
        <v>1.7</v>
      </c>
      <c r="BB255" s="7"/>
      <c r="BC255" s="7" t="s">
        <v>3377</v>
      </c>
      <c r="BD255" s="7">
        <v>4.3</v>
      </c>
      <c r="BE255" s="7">
        <v>1.5</v>
      </c>
      <c r="BF255" s="7"/>
    </row>
    <row r="256" spans="1:16384" x14ac:dyDescent="0.2">
      <c r="A256" s="7">
        <v>81</v>
      </c>
      <c r="B256" s="7" t="s">
        <v>566</v>
      </c>
      <c r="C256" s="7" t="s">
        <v>567</v>
      </c>
      <c r="D256" s="7" t="s">
        <v>568</v>
      </c>
      <c r="E256" s="7" t="s">
        <v>569</v>
      </c>
      <c r="F256" s="7" t="s">
        <v>468</v>
      </c>
      <c r="G256" s="7">
        <v>2006</v>
      </c>
      <c r="H256" s="8">
        <v>38990</v>
      </c>
      <c r="I256" s="7" t="s">
        <v>32</v>
      </c>
      <c r="J256" s="7" t="s">
        <v>32</v>
      </c>
      <c r="K256" s="7" t="s">
        <v>570</v>
      </c>
      <c r="L256" s="7">
        <v>1</v>
      </c>
      <c r="M256" s="7" t="s">
        <v>32</v>
      </c>
      <c r="N256" s="7" t="s">
        <v>34</v>
      </c>
      <c r="O256" s="7" t="s">
        <v>34</v>
      </c>
      <c r="P256" s="7" t="s">
        <v>34</v>
      </c>
      <c r="Q256" s="7" t="s">
        <v>34</v>
      </c>
      <c r="R256" s="7" t="s">
        <v>34</v>
      </c>
      <c r="S256" s="7" t="s">
        <v>34</v>
      </c>
      <c r="T256" s="7" t="s">
        <v>34</v>
      </c>
      <c r="U256" s="7" t="s">
        <v>32</v>
      </c>
      <c r="V256" s="7">
        <v>1</v>
      </c>
      <c r="W256" s="7" t="s">
        <v>32</v>
      </c>
      <c r="X256" s="7" t="s">
        <v>32</v>
      </c>
      <c r="Y256" s="7" t="s">
        <v>32</v>
      </c>
      <c r="Z256" s="7" t="s">
        <v>32</v>
      </c>
      <c r="AA256" s="7">
        <v>17008144</v>
      </c>
      <c r="AB256" s="7">
        <v>1</v>
      </c>
      <c r="AC256" s="7"/>
      <c r="AD256" s="7">
        <v>3</v>
      </c>
      <c r="AE256" s="7">
        <f t="shared" si="15"/>
        <v>47</v>
      </c>
      <c r="AF256" s="7">
        <v>28</v>
      </c>
      <c r="AG256" s="7">
        <v>19</v>
      </c>
      <c r="AH256" s="7" t="s">
        <v>2845</v>
      </c>
      <c r="AI256" s="7" t="s">
        <v>2845</v>
      </c>
      <c r="AJ256" s="7">
        <v>67.099999999999994</v>
      </c>
      <c r="AK256" s="7">
        <v>5.6</v>
      </c>
      <c r="AL256" s="78">
        <v>67.599999999999994</v>
      </c>
      <c r="AM256" s="7">
        <v>6.2</v>
      </c>
      <c r="AN256" s="7" t="s">
        <v>3295</v>
      </c>
      <c r="AO256" s="7" t="s">
        <v>1770</v>
      </c>
      <c r="AP256" s="7" t="s">
        <v>3294</v>
      </c>
      <c r="AQ256" s="7" t="s">
        <v>3255</v>
      </c>
      <c r="AR256" s="7" t="s">
        <v>1646</v>
      </c>
      <c r="AS256" s="7" t="s">
        <v>3113</v>
      </c>
      <c r="AT256" s="7" t="s">
        <v>1646</v>
      </c>
      <c r="AU256" s="7" t="s">
        <v>3296</v>
      </c>
      <c r="AV256" s="7" t="s">
        <v>2907</v>
      </c>
      <c r="AW256" s="7">
        <v>45</v>
      </c>
      <c r="AX256" s="7">
        <v>46</v>
      </c>
      <c r="AY256" s="7" t="s">
        <v>3298</v>
      </c>
      <c r="AZ256" s="7">
        <v>4.92</v>
      </c>
      <c r="BA256" s="7">
        <v>2.4</v>
      </c>
      <c r="BB256" s="7"/>
      <c r="BC256" s="7" t="s">
        <v>3305</v>
      </c>
      <c r="BD256" s="7">
        <v>6</v>
      </c>
      <c r="BE256" s="7">
        <v>1.4</v>
      </c>
      <c r="BF256" s="7"/>
      <c r="BG256" t="s">
        <v>3340</v>
      </c>
    </row>
    <row r="257" spans="1:59" x14ac:dyDescent="0.2">
      <c r="A257" s="7">
        <v>81</v>
      </c>
      <c r="B257" s="7" t="s">
        <v>566</v>
      </c>
      <c r="C257" s="7" t="s">
        <v>567</v>
      </c>
      <c r="D257" s="7" t="s">
        <v>568</v>
      </c>
      <c r="E257" s="7" t="s">
        <v>569</v>
      </c>
      <c r="F257" s="7" t="s">
        <v>468</v>
      </c>
      <c r="G257" s="7">
        <v>2006</v>
      </c>
      <c r="H257" s="8">
        <v>38990</v>
      </c>
      <c r="I257" s="7" t="s">
        <v>32</v>
      </c>
      <c r="J257" s="7" t="s">
        <v>32</v>
      </c>
      <c r="K257" s="7" t="s">
        <v>570</v>
      </c>
      <c r="L257" s="7">
        <v>1</v>
      </c>
      <c r="M257" s="7" t="s">
        <v>32</v>
      </c>
      <c r="N257" s="7" t="s">
        <v>34</v>
      </c>
      <c r="O257" s="7" t="s">
        <v>34</v>
      </c>
      <c r="P257" s="7" t="s">
        <v>34</v>
      </c>
      <c r="Q257" s="7" t="s">
        <v>34</v>
      </c>
      <c r="R257" s="7" t="s">
        <v>34</v>
      </c>
      <c r="S257" s="7" t="s">
        <v>34</v>
      </c>
      <c r="T257" s="7" t="s">
        <v>34</v>
      </c>
      <c r="U257" s="7" t="s">
        <v>32</v>
      </c>
      <c r="V257" s="7">
        <v>1</v>
      </c>
      <c r="W257" s="7" t="s">
        <v>32</v>
      </c>
      <c r="X257" s="7" t="s">
        <v>32</v>
      </c>
      <c r="Y257" s="7" t="s">
        <v>32</v>
      </c>
      <c r="Z257" s="7" t="s">
        <v>32</v>
      </c>
      <c r="AA257" s="7">
        <v>17008144</v>
      </c>
      <c r="AB257" s="7">
        <v>1</v>
      </c>
      <c r="AC257" s="7"/>
      <c r="AD257" s="7">
        <v>3</v>
      </c>
      <c r="AE257" s="7">
        <f t="shared" ref="AE257:AE262" si="17">AF257+AG257</f>
        <v>47</v>
      </c>
      <c r="AF257" s="7">
        <v>28</v>
      </c>
      <c r="AG257" s="7">
        <v>19</v>
      </c>
      <c r="AH257" s="7" t="s">
        <v>2845</v>
      </c>
      <c r="AI257" s="7" t="s">
        <v>2845</v>
      </c>
      <c r="AJ257" s="7">
        <v>67.099999999999994</v>
      </c>
      <c r="AK257" s="7">
        <v>5.6</v>
      </c>
      <c r="AL257" s="78">
        <v>67.599999999999994</v>
      </c>
      <c r="AM257" s="7">
        <v>6.2</v>
      </c>
      <c r="AN257" s="7" t="s">
        <v>3295</v>
      </c>
      <c r="AO257" s="7" t="s">
        <v>1770</v>
      </c>
      <c r="AP257" s="7" t="s">
        <v>3294</v>
      </c>
      <c r="AQ257" s="7" t="s">
        <v>3255</v>
      </c>
      <c r="AR257" s="7" t="s">
        <v>1646</v>
      </c>
      <c r="AS257" s="7" t="s">
        <v>3113</v>
      </c>
      <c r="AT257" s="7" t="s">
        <v>1646</v>
      </c>
      <c r="AU257" s="7" t="s">
        <v>2952</v>
      </c>
      <c r="AV257" s="7" t="s">
        <v>2907</v>
      </c>
      <c r="AW257" s="7">
        <v>45</v>
      </c>
      <c r="AX257" s="7">
        <v>46</v>
      </c>
      <c r="AY257" s="7" t="s">
        <v>3299</v>
      </c>
      <c r="AZ257" s="7">
        <v>39.9</v>
      </c>
      <c r="BA257" s="7">
        <v>13.1</v>
      </c>
      <c r="BB257" s="7"/>
      <c r="BC257" s="7" t="s">
        <v>3306</v>
      </c>
      <c r="BD257" s="7">
        <v>45.1</v>
      </c>
      <c r="BE257" s="7">
        <v>5.4</v>
      </c>
      <c r="BF257" s="7"/>
      <c r="BG257" t="s">
        <v>3341</v>
      </c>
    </row>
    <row r="258" spans="1:59" x14ac:dyDescent="0.2">
      <c r="A258" s="7">
        <v>81</v>
      </c>
      <c r="B258" s="7" t="s">
        <v>566</v>
      </c>
      <c r="C258" s="7" t="s">
        <v>567</v>
      </c>
      <c r="D258" s="7" t="s">
        <v>568</v>
      </c>
      <c r="E258" s="7" t="s">
        <v>569</v>
      </c>
      <c r="F258" s="7" t="s">
        <v>468</v>
      </c>
      <c r="G258" s="7">
        <v>2006</v>
      </c>
      <c r="H258" s="8">
        <v>38990</v>
      </c>
      <c r="I258" s="7" t="s">
        <v>32</v>
      </c>
      <c r="J258" s="7" t="s">
        <v>32</v>
      </c>
      <c r="K258" s="7" t="s">
        <v>570</v>
      </c>
      <c r="L258" s="7">
        <v>1</v>
      </c>
      <c r="M258" s="7" t="s">
        <v>32</v>
      </c>
      <c r="N258" s="7" t="s">
        <v>34</v>
      </c>
      <c r="O258" s="7" t="s">
        <v>34</v>
      </c>
      <c r="P258" s="7" t="s">
        <v>34</v>
      </c>
      <c r="Q258" s="7" t="s">
        <v>34</v>
      </c>
      <c r="R258" s="7" t="s">
        <v>34</v>
      </c>
      <c r="S258" s="7" t="s">
        <v>34</v>
      </c>
      <c r="T258" s="7" t="s">
        <v>34</v>
      </c>
      <c r="U258" s="7" t="s">
        <v>32</v>
      </c>
      <c r="V258" s="7">
        <v>1</v>
      </c>
      <c r="W258" s="7" t="s">
        <v>32</v>
      </c>
      <c r="X258" s="7" t="s">
        <v>32</v>
      </c>
      <c r="Y258" s="7" t="s">
        <v>32</v>
      </c>
      <c r="Z258" s="7" t="s">
        <v>32</v>
      </c>
      <c r="AA258" s="7">
        <v>17008144</v>
      </c>
      <c r="AB258" s="7">
        <v>1</v>
      </c>
      <c r="AC258" s="7"/>
      <c r="AD258" s="7">
        <v>3</v>
      </c>
      <c r="AE258" s="7">
        <f t="shared" si="17"/>
        <v>47</v>
      </c>
      <c r="AF258" s="7">
        <v>28</v>
      </c>
      <c r="AG258" s="7">
        <v>19</v>
      </c>
      <c r="AH258" s="7" t="s">
        <v>2845</v>
      </c>
      <c r="AI258" s="7" t="s">
        <v>2845</v>
      </c>
      <c r="AJ258" s="7">
        <v>67.099999999999994</v>
      </c>
      <c r="AK258" s="7">
        <v>5.6</v>
      </c>
      <c r="AL258" s="78">
        <v>67.599999999999994</v>
      </c>
      <c r="AM258" s="7">
        <v>6.2</v>
      </c>
      <c r="AN258" s="7" t="s">
        <v>3295</v>
      </c>
      <c r="AO258" s="7" t="s">
        <v>1770</v>
      </c>
      <c r="AP258" s="7" t="s">
        <v>3294</v>
      </c>
      <c r="AQ258" s="7" t="s">
        <v>3255</v>
      </c>
      <c r="AR258" s="7" t="s">
        <v>1646</v>
      </c>
      <c r="AS258" s="7" t="s">
        <v>3113</v>
      </c>
      <c r="AT258" s="7" t="s">
        <v>1646</v>
      </c>
      <c r="AU258" s="7" t="s">
        <v>2957</v>
      </c>
      <c r="AV258" s="7" t="s">
        <v>2907</v>
      </c>
      <c r="AW258" s="7">
        <v>45</v>
      </c>
      <c r="AX258" s="7">
        <v>46</v>
      </c>
      <c r="AY258" s="7" t="s">
        <v>3300</v>
      </c>
      <c r="AZ258" s="7">
        <v>6</v>
      </c>
      <c r="BA258" s="7">
        <v>2.5</v>
      </c>
      <c r="BB258" s="7"/>
      <c r="BC258" s="7" t="s">
        <v>3307</v>
      </c>
      <c r="BD258" s="7">
        <v>4.3899999999999997</v>
      </c>
      <c r="BE258" s="7">
        <v>1.8</v>
      </c>
      <c r="BF258" s="7"/>
    </row>
    <row r="259" spans="1:59" x14ac:dyDescent="0.2">
      <c r="A259" s="7">
        <v>81</v>
      </c>
      <c r="B259" s="7" t="s">
        <v>566</v>
      </c>
      <c r="C259" s="7" t="s">
        <v>567</v>
      </c>
      <c r="D259" s="7" t="s">
        <v>568</v>
      </c>
      <c r="E259" s="7" t="s">
        <v>569</v>
      </c>
      <c r="F259" s="7" t="s">
        <v>468</v>
      </c>
      <c r="G259" s="7">
        <v>2006</v>
      </c>
      <c r="H259" s="8">
        <v>38990</v>
      </c>
      <c r="I259" s="7" t="s">
        <v>32</v>
      </c>
      <c r="J259" s="7" t="s">
        <v>32</v>
      </c>
      <c r="K259" s="7" t="s">
        <v>570</v>
      </c>
      <c r="L259" s="7">
        <v>1</v>
      </c>
      <c r="M259" s="7" t="s">
        <v>32</v>
      </c>
      <c r="N259" s="7" t="s">
        <v>34</v>
      </c>
      <c r="O259" s="7" t="s">
        <v>34</v>
      </c>
      <c r="P259" s="7" t="s">
        <v>34</v>
      </c>
      <c r="Q259" s="7" t="s">
        <v>34</v>
      </c>
      <c r="R259" s="7" t="s">
        <v>34</v>
      </c>
      <c r="S259" s="7" t="s">
        <v>34</v>
      </c>
      <c r="T259" s="7" t="s">
        <v>34</v>
      </c>
      <c r="U259" s="7" t="s">
        <v>32</v>
      </c>
      <c r="V259" s="7">
        <v>1</v>
      </c>
      <c r="W259" s="7" t="s">
        <v>32</v>
      </c>
      <c r="X259" s="7" t="s">
        <v>32</v>
      </c>
      <c r="Y259" s="7" t="s">
        <v>32</v>
      </c>
      <c r="Z259" s="7" t="s">
        <v>32</v>
      </c>
      <c r="AA259" s="7">
        <v>17008144</v>
      </c>
      <c r="AB259" s="7">
        <v>1</v>
      </c>
      <c r="AC259" s="7"/>
      <c r="AD259" s="7">
        <v>3</v>
      </c>
      <c r="AE259" s="7">
        <f t="shared" si="17"/>
        <v>47</v>
      </c>
      <c r="AF259" s="7">
        <v>28</v>
      </c>
      <c r="AG259" s="7">
        <v>19</v>
      </c>
      <c r="AH259" s="7" t="s">
        <v>2845</v>
      </c>
      <c r="AI259" s="7" t="s">
        <v>2845</v>
      </c>
      <c r="AJ259" s="7">
        <v>67.099999999999994</v>
      </c>
      <c r="AK259" s="7">
        <v>5.6</v>
      </c>
      <c r="AL259" s="78">
        <v>67.599999999999994</v>
      </c>
      <c r="AM259" s="7">
        <v>6.2</v>
      </c>
      <c r="AN259" s="7" t="s">
        <v>3295</v>
      </c>
      <c r="AO259" s="7" t="s">
        <v>1770</v>
      </c>
      <c r="AP259" s="7" t="s">
        <v>3294</v>
      </c>
      <c r="AQ259" s="7" t="s">
        <v>3255</v>
      </c>
      <c r="AR259" s="7" t="s">
        <v>1646</v>
      </c>
      <c r="AS259" s="7" t="s">
        <v>3113</v>
      </c>
      <c r="AT259" s="7" t="s">
        <v>1646</v>
      </c>
      <c r="AU259" s="7" t="s">
        <v>3118</v>
      </c>
      <c r="AV259" s="7" t="s">
        <v>2907</v>
      </c>
      <c r="AW259" s="7">
        <v>45</v>
      </c>
      <c r="AX259" s="7">
        <v>46</v>
      </c>
      <c r="AY259" s="7" t="s">
        <v>3301</v>
      </c>
      <c r="AZ259" s="7">
        <v>8</v>
      </c>
      <c r="BA259" s="7">
        <v>2.9</v>
      </c>
      <c r="BB259" s="7"/>
      <c r="BC259" s="7" t="s">
        <v>3308</v>
      </c>
      <c r="BD259" s="7">
        <v>8.4600000000000009</v>
      </c>
      <c r="BE259" s="7">
        <v>2</v>
      </c>
      <c r="BF259" s="7"/>
    </row>
    <row r="260" spans="1:59" x14ac:dyDescent="0.2">
      <c r="A260" s="7">
        <v>81</v>
      </c>
      <c r="B260" s="7" t="s">
        <v>566</v>
      </c>
      <c r="C260" s="7" t="s">
        <v>567</v>
      </c>
      <c r="D260" s="7" t="s">
        <v>568</v>
      </c>
      <c r="E260" s="7" t="s">
        <v>569</v>
      </c>
      <c r="F260" s="7" t="s">
        <v>468</v>
      </c>
      <c r="G260" s="7">
        <v>2006</v>
      </c>
      <c r="H260" s="8">
        <v>38990</v>
      </c>
      <c r="I260" s="7" t="s">
        <v>32</v>
      </c>
      <c r="J260" s="7" t="s">
        <v>32</v>
      </c>
      <c r="K260" s="7" t="s">
        <v>570</v>
      </c>
      <c r="L260" s="7">
        <v>1</v>
      </c>
      <c r="M260" s="7" t="s">
        <v>32</v>
      </c>
      <c r="N260" s="7" t="s">
        <v>34</v>
      </c>
      <c r="O260" s="7" t="s">
        <v>34</v>
      </c>
      <c r="P260" s="7" t="s">
        <v>34</v>
      </c>
      <c r="Q260" s="7" t="s">
        <v>34</v>
      </c>
      <c r="R260" s="7" t="s">
        <v>34</v>
      </c>
      <c r="S260" s="7" t="s">
        <v>34</v>
      </c>
      <c r="T260" s="7" t="s">
        <v>34</v>
      </c>
      <c r="U260" s="7" t="s">
        <v>32</v>
      </c>
      <c r="V260" s="7">
        <v>1</v>
      </c>
      <c r="W260" s="7" t="s">
        <v>32</v>
      </c>
      <c r="X260" s="7" t="s">
        <v>32</v>
      </c>
      <c r="Y260" s="7" t="s">
        <v>32</v>
      </c>
      <c r="Z260" s="7" t="s">
        <v>32</v>
      </c>
      <c r="AA260" s="7">
        <v>17008144</v>
      </c>
      <c r="AB260" s="7">
        <v>1</v>
      </c>
      <c r="AC260" s="7"/>
      <c r="AD260" s="7">
        <v>3</v>
      </c>
      <c r="AE260" s="7">
        <f t="shared" si="17"/>
        <v>47</v>
      </c>
      <c r="AF260" s="7">
        <v>28</v>
      </c>
      <c r="AG260" s="7">
        <v>19</v>
      </c>
      <c r="AH260" s="7" t="s">
        <v>2845</v>
      </c>
      <c r="AI260" s="7" t="s">
        <v>2845</v>
      </c>
      <c r="AJ260" s="7">
        <v>67.099999999999994</v>
      </c>
      <c r="AK260" s="7">
        <v>5.6</v>
      </c>
      <c r="AL260" s="78">
        <v>67.599999999999994</v>
      </c>
      <c r="AM260" s="7">
        <v>6.2</v>
      </c>
      <c r="AN260" s="7" t="s">
        <v>3295</v>
      </c>
      <c r="AO260" s="7" t="s">
        <v>1770</v>
      </c>
      <c r="AP260" s="7" t="s">
        <v>3294</v>
      </c>
      <c r="AQ260" s="7" t="s">
        <v>3255</v>
      </c>
      <c r="AR260" s="7" t="s">
        <v>1646</v>
      </c>
      <c r="AS260" s="7" t="s">
        <v>3113</v>
      </c>
      <c r="AT260" s="7" t="s">
        <v>1646</v>
      </c>
      <c r="AU260" s="7" t="s">
        <v>2958</v>
      </c>
      <c r="AV260" s="7" t="s">
        <v>2907</v>
      </c>
      <c r="AW260" s="7">
        <v>45</v>
      </c>
      <c r="AX260" s="7">
        <v>46</v>
      </c>
      <c r="AY260" s="7" t="s">
        <v>3302</v>
      </c>
      <c r="AZ260" s="7">
        <v>7.67</v>
      </c>
      <c r="BA260" s="7">
        <v>3.9</v>
      </c>
      <c r="BB260" s="7"/>
      <c r="BC260" s="7" t="s">
        <v>3309</v>
      </c>
      <c r="BD260" s="7">
        <v>8.69</v>
      </c>
      <c r="BE260" s="7">
        <v>2.7</v>
      </c>
      <c r="BF260" s="7"/>
    </row>
    <row r="261" spans="1:59" x14ac:dyDescent="0.2">
      <c r="A261" s="7">
        <v>81</v>
      </c>
      <c r="B261" s="7" t="s">
        <v>566</v>
      </c>
      <c r="C261" s="7" t="s">
        <v>567</v>
      </c>
      <c r="D261" s="7" t="s">
        <v>568</v>
      </c>
      <c r="E261" s="7" t="s">
        <v>569</v>
      </c>
      <c r="F261" s="7" t="s">
        <v>468</v>
      </c>
      <c r="G261" s="7">
        <v>2006</v>
      </c>
      <c r="H261" s="8">
        <v>38990</v>
      </c>
      <c r="I261" s="7" t="s">
        <v>32</v>
      </c>
      <c r="J261" s="7" t="s">
        <v>32</v>
      </c>
      <c r="K261" s="7" t="s">
        <v>570</v>
      </c>
      <c r="L261" s="7">
        <v>1</v>
      </c>
      <c r="M261" s="7" t="s">
        <v>32</v>
      </c>
      <c r="N261" s="7" t="s">
        <v>34</v>
      </c>
      <c r="O261" s="7" t="s">
        <v>34</v>
      </c>
      <c r="P261" s="7" t="s">
        <v>34</v>
      </c>
      <c r="Q261" s="7" t="s">
        <v>34</v>
      </c>
      <c r="R261" s="7" t="s">
        <v>34</v>
      </c>
      <c r="S261" s="7" t="s">
        <v>34</v>
      </c>
      <c r="T261" s="7" t="s">
        <v>34</v>
      </c>
      <c r="U261" s="7" t="s">
        <v>32</v>
      </c>
      <c r="V261" s="7">
        <v>1</v>
      </c>
      <c r="W261" s="7" t="s">
        <v>32</v>
      </c>
      <c r="X261" s="7" t="s">
        <v>32</v>
      </c>
      <c r="Y261" s="7" t="s">
        <v>32</v>
      </c>
      <c r="Z261" s="7" t="s">
        <v>32</v>
      </c>
      <c r="AA261" s="7">
        <v>17008144</v>
      </c>
      <c r="AB261" s="7">
        <v>1</v>
      </c>
      <c r="AC261" s="7"/>
      <c r="AD261" s="7">
        <v>3</v>
      </c>
      <c r="AE261" s="7">
        <f t="shared" si="17"/>
        <v>47</v>
      </c>
      <c r="AF261" s="7">
        <v>28</v>
      </c>
      <c r="AG261" s="7">
        <v>19</v>
      </c>
      <c r="AH261" s="7" t="s">
        <v>2845</v>
      </c>
      <c r="AI261" s="7" t="s">
        <v>2845</v>
      </c>
      <c r="AJ261" s="7">
        <v>67.099999999999994</v>
      </c>
      <c r="AK261" s="7">
        <v>5.6</v>
      </c>
      <c r="AL261" s="78">
        <v>67.599999999999994</v>
      </c>
      <c r="AM261" s="7">
        <v>6.2</v>
      </c>
      <c r="AN261" s="7" t="s">
        <v>3295</v>
      </c>
      <c r="AO261" s="7" t="s">
        <v>1770</v>
      </c>
      <c r="AP261" s="7" t="s">
        <v>3294</v>
      </c>
      <c r="AQ261" s="7" t="s">
        <v>3255</v>
      </c>
      <c r="AR261" s="7" t="s">
        <v>1646</v>
      </c>
      <c r="AS261" s="7" t="s">
        <v>3113</v>
      </c>
      <c r="AT261" s="7" t="s">
        <v>1646</v>
      </c>
      <c r="AU261" s="7" t="s">
        <v>3297</v>
      </c>
      <c r="AV261" s="7" t="s">
        <v>2907</v>
      </c>
      <c r="AW261" s="7">
        <v>45</v>
      </c>
      <c r="AX261" s="7">
        <v>46</v>
      </c>
      <c r="AY261" s="7" t="s">
        <v>3303</v>
      </c>
      <c r="AZ261" s="7">
        <v>9.42</v>
      </c>
      <c r="BA261" s="7">
        <v>2.8</v>
      </c>
      <c r="BB261" s="7"/>
      <c r="BC261" s="7" t="s">
        <v>3310</v>
      </c>
      <c r="BD261" s="7">
        <v>9.8000000000000007</v>
      </c>
      <c r="BE261" s="7">
        <v>1.6</v>
      </c>
      <c r="BF261" s="7"/>
    </row>
    <row r="262" spans="1:59" x14ac:dyDescent="0.2">
      <c r="A262" s="7">
        <v>81</v>
      </c>
      <c r="B262" s="7" t="s">
        <v>566</v>
      </c>
      <c r="C262" s="7" t="s">
        <v>567</v>
      </c>
      <c r="D262" s="7" t="s">
        <v>568</v>
      </c>
      <c r="E262" s="7" t="s">
        <v>569</v>
      </c>
      <c r="F262" s="7" t="s">
        <v>468</v>
      </c>
      <c r="G262" s="7">
        <v>2006</v>
      </c>
      <c r="H262" s="8">
        <v>38990</v>
      </c>
      <c r="I262" s="7" t="s">
        <v>32</v>
      </c>
      <c r="J262" s="7" t="s">
        <v>32</v>
      </c>
      <c r="K262" s="7" t="s">
        <v>570</v>
      </c>
      <c r="L262" s="7">
        <v>1</v>
      </c>
      <c r="M262" s="7" t="s">
        <v>32</v>
      </c>
      <c r="N262" s="7" t="s">
        <v>34</v>
      </c>
      <c r="O262" s="7" t="s">
        <v>34</v>
      </c>
      <c r="P262" s="7" t="s">
        <v>34</v>
      </c>
      <c r="Q262" s="7" t="s">
        <v>34</v>
      </c>
      <c r="R262" s="7" t="s">
        <v>34</v>
      </c>
      <c r="S262" s="7" t="s">
        <v>34</v>
      </c>
      <c r="T262" s="7" t="s">
        <v>34</v>
      </c>
      <c r="U262" s="7" t="s">
        <v>32</v>
      </c>
      <c r="V262" s="7">
        <v>1</v>
      </c>
      <c r="W262" s="7" t="s">
        <v>32</v>
      </c>
      <c r="X262" s="7" t="s">
        <v>32</v>
      </c>
      <c r="Y262" s="7" t="s">
        <v>32</v>
      </c>
      <c r="Z262" s="7" t="s">
        <v>32</v>
      </c>
      <c r="AA262" s="7">
        <v>17008144</v>
      </c>
      <c r="AB262" s="7">
        <v>1</v>
      </c>
      <c r="AC262" s="7"/>
      <c r="AD262" s="7">
        <v>3</v>
      </c>
      <c r="AE262" s="7">
        <f t="shared" si="17"/>
        <v>47</v>
      </c>
      <c r="AF262" s="7">
        <v>28</v>
      </c>
      <c r="AG262" s="7">
        <v>19</v>
      </c>
      <c r="AH262" s="7" t="s">
        <v>2845</v>
      </c>
      <c r="AI262" s="7" t="s">
        <v>2845</v>
      </c>
      <c r="AJ262" s="7">
        <v>67.099999999999994</v>
      </c>
      <c r="AK262" s="7">
        <v>5.6</v>
      </c>
      <c r="AL262" s="78">
        <v>67.599999999999994</v>
      </c>
      <c r="AM262" s="7">
        <v>6.2</v>
      </c>
      <c r="AN262" s="7" t="s">
        <v>3295</v>
      </c>
      <c r="AO262" s="7" t="s">
        <v>1770</v>
      </c>
      <c r="AP262" s="7" t="s">
        <v>3294</v>
      </c>
      <c r="AQ262" s="7" t="s">
        <v>3255</v>
      </c>
      <c r="AR262" s="7" t="s">
        <v>1646</v>
      </c>
      <c r="AS262" s="7" t="s">
        <v>3113</v>
      </c>
      <c r="AT262" s="7" t="s">
        <v>1646</v>
      </c>
      <c r="AU262" s="7" t="s">
        <v>3119</v>
      </c>
      <c r="AV262" s="7" t="s">
        <v>2907</v>
      </c>
      <c r="AW262" s="7">
        <v>45</v>
      </c>
      <c r="AX262" s="7">
        <v>46</v>
      </c>
      <c r="AY262" s="7" t="s">
        <v>3304</v>
      </c>
      <c r="AZ262" s="7">
        <v>8.83</v>
      </c>
      <c r="BA262" s="7">
        <v>3.6</v>
      </c>
      <c r="BB262" s="7"/>
      <c r="BC262" s="7" t="s">
        <v>3311</v>
      </c>
      <c r="BD262" s="7">
        <v>9.23</v>
      </c>
      <c r="BE262" s="7">
        <v>2</v>
      </c>
      <c r="BF262" s="7"/>
    </row>
    <row r="263" spans="1:59" x14ac:dyDescent="0.2">
      <c r="A263" s="7">
        <v>81</v>
      </c>
      <c r="B263" s="7" t="s">
        <v>566</v>
      </c>
      <c r="C263" s="7" t="s">
        <v>567</v>
      </c>
      <c r="D263" s="7" t="s">
        <v>568</v>
      </c>
      <c r="E263" s="7" t="s">
        <v>569</v>
      </c>
      <c r="F263" s="7" t="s">
        <v>468</v>
      </c>
      <c r="G263" s="7">
        <v>2006</v>
      </c>
      <c r="H263" s="8">
        <v>38990</v>
      </c>
      <c r="I263" s="7" t="s">
        <v>32</v>
      </c>
      <c r="J263" s="7" t="s">
        <v>32</v>
      </c>
      <c r="K263" s="7" t="s">
        <v>570</v>
      </c>
      <c r="L263" s="7">
        <v>1</v>
      </c>
      <c r="M263" s="7" t="s">
        <v>32</v>
      </c>
      <c r="N263" s="7" t="s">
        <v>34</v>
      </c>
      <c r="O263" s="7" t="s">
        <v>34</v>
      </c>
      <c r="P263" s="7" t="s">
        <v>34</v>
      </c>
      <c r="Q263" s="7" t="s">
        <v>34</v>
      </c>
      <c r="R263" s="7" t="s">
        <v>34</v>
      </c>
      <c r="S263" s="7" t="s">
        <v>34</v>
      </c>
      <c r="T263" s="7" t="s">
        <v>34</v>
      </c>
      <c r="U263" s="7" t="s">
        <v>32</v>
      </c>
      <c r="V263" s="7">
        <v>1</v>
      </c>
      <c r="W263" s="7" t="s">
        <v>32</v>
      </c>
      <c r="X263" s="7" t="s">
        <v>32</v>
      </c>
      <c r="Y263" s="7" t="s">
        <v>32</v>
      </c>
      <c r="Z263" s="7" t="s">
        <v>32</v>
      </c>
      <c r="AA263" s="7">
        <v>17008144</v>
      </c>
      <c r="AB263" s="7">
        <v>1</v>
      </c>
      <c r="AC263" s="7"/>
      <c r="AD263" s="7">
        <v>3</v>
      </c>
      <c r="AE263" s="7">
        <f>AF263+AG263</f>
        <v>47</v>
      </c>
      <c r="AF263" s="7">
        <v>28</v>
      </c>
      <c r="AG263" s="7">
        <v>19</v>
      </c>
      <c r="AH263" s="7" t="s">
        <v>2845</v>
      </c>
      <c r="AI263" s="7" t="s">
        <v>2845</v>
      </c>
      <c r="AJ263" s="7">
        <v>67.099999999999994</v>
      </c>
      <c r="AK263" s="7">
        <v>5.6</v>
      </c>
      <c r="AL263" s="7">
        <v>71.099999999999994</v>
      </c>
      <c r="AM263" s="7">
        <v>7.2</v>
      </c>
      <c r="AN263" s="7" t="s">
        <v>3295</v>
      </c>
      <c r="AO263" s="7" t="s">
        <v>1638</v>
      </c>
      <c r="AP263" s="7" t="s">
        <v>3294</v>
      </c>
      <c r="AQ263" s="7" t="s">
        <v>3255</v>
      </c>
      <c r="AR263" s="7" t="s">
        <v>1646</v>
      </c>
      <c r="AS263" s="7" t="s">
        <v>3113</v>
      </c>
      <c r="AT263" s="7" t="s">
        <v>1646</v>
      </c>
      <c r="AU263" s="7" t="s">
        <v>3296</v>
      </c>
      <c r="AV263" s="7" t="s">
        <v>2848</v>
      </c>
      <c r="AW263" s="7">
        <v>45</v>
      </c>
      <c r="AX263" s="7">
        <v>47</v>
      </c>
      <c r="AY263" s="7" t="s">
        <v>3298</v>
      </c>
      <c r="AZ263" s="7">
        <v>4.92</v>
      </c>
      <c r="BA263" s="7">
        <v>2.4</v>
      </c>
      <c r="BB263" s="7"/>
      <c r="BC263" s="7" t="s">
        <v>3312</v>
      </c>
      <c r="BD263" s="7">
        <v>6.8</v>
      </c>
      <c r="BE263" s="7">
        <v>2.6</v>
      </c>
      <c r="BF263" s="7"/>
    </row>
    <row r="264" spans="1:59" x14ac:dyDescent="0.2">
      <c r="A264" s="7">
        <v>81</v>
      </c>
      <c r="B264" s="7" t="s">
        <v>566</v>
      </c>
      <c r="C264" s="7" t="s">
        <v>567</v>
      </c>
      <c r="D264" s="7" t="s">
        <v>568</v>
      </c>
      <c r="E264" s="7" t="s">
        <v>569</v>
      </c>
      <c r="F264" s="7" t="s">
        <v>468</v>
      </c>
      <c r="G264" s="7">
        <v>2006</v>
      </c>
      <c r="H264" s="8">
        <v>38990</v>
      </c>
      <c r="I264" s="7" t="s">
        <v>32</v>
      </c>
      <c r="J264" s="7" t="s">
        <v>32</v>
      </c>
      <c r="K264" s="7" t="s">
        <v>570</v>
      </c>
      <c r="L264" s="7">
        <v>1</v>
      </c>
      <c r="M264" s="7" t="s">
        <v>32</v>
      </c>
      <c r="N264" s="7" t="s">
        <v>34</v>
      </c>
      <c r="O264" s="7" t="s">
        <v>34</v>
      </c>
      <c r="P264" s="7" t="s">
        <v>34</v>
      </c>
      <c r="Q264" s="7" t="s">
        <v>34</v>
      </c>
      <c r="R264" s="7" t="s">
        <v>34</v>
      </c>
      <c r="S264" s="7" t="s">
        <v>34</v>
      </c>
      <c r="T264" s="7" t="s">
        <v>34</v>
      </c>
      <c r="U264" s="7" t="s">
        <v>32</v>
      </c>
      <c r="V264" s="7">
        <v>1</v>
      </c>
      <c r="W264" s="7" t="s">
        <v>32</v>
      </c>
      <c r="X264" s="7" t="s">
        <v>32</v>
      </c>
      <c r="Y264" s="7" t="s">
        <v>32</v>
      </c>
      <c r="Z264" s="7" t="s">
        <v>32</v>
      </c>
      <c r="AA264" s="7">
        <v>17008144</v>
      </c>
      <c r="AB264" s="7">
        <v>1</v>
      </c>
      <c r="AC264" s="7"/>
      <c r="AD264" s="7">
        <v>3</v>
      </c>
      <c r="AE264" s="7">
        <f t="shared" ref="AE264:AE269" si="18">AF264+AG264</f>
        <v>47</v>
      </c>
      <c r="AF264" s="7">
        <v>28</v>
      </c>
      <c r="AG264" s="7">
        <v>19</v>
      </c>
      <c r="AH264" s="7" t="s">
        <v>2845</v>
      </c>
      <c r="AI264" s="7" t="s">
        <v>2845</v>
      </c>
      <c r="AJ264" s="7">
        <v>67.099999999999994</v>
      </c>
      <c r="AK264" s="7">
        <v>5.6</v>
      </c>
      <c r="AL264" s="7">
        <v>71.099999999999994</v>
      </c>
      <c r="AM264" s="7">
        <v>7.2</v>
      </c>
      <c r="AN264" s="7" t="s">
        <v>3295</v>
      </c>
      <c r="AO264" s="7" t="s">
        <v>1638</v>
      </c>
      <c r="AP264" s="7" t="s">
        <v>3294</v>
      </c>
      <c r="AQ264" s="7" t="s">
        <v>3255</v>
      </c>
      <c r="AR264" s="7" t="s">
        <v>1646</v>
      </c>
      <c r="AS264" s="7" t="s">
        <v>3113</v>
      </c>
      <c r="AT264" s="7" t="s">
        <v>1646</v>
      </c>
      <c r="AU264" s="7" t="s">
        <v>2952</v>
      </c>
      <c r="AV264" s="7" t="s">
        <v>2848</v>
      </c>
      <c r="AW264" s="7">
        <v>45</v>
      </c>
      <c r="AX264" s="7">
        <v>47</v>
      </c>
      <c r="AY264" s="7" t="s">
        <v>3299</v>
      </c>
      <c r="AZ264" s="7">
        <v>39.9</v>
      </c>
      <c r="BA264" s="7">
        <v>13.1</v>
      </c>
      <c r="BB264" s="7"/>
      <c r="BC264" s="7" t="s">
        <v>3313</v>
      </c>
      <c r="BD264" s="7">
        <v>52.3</v>
      </c>
      <c r="BE264" s="7">
        <v>11</v>
      </c>
      <c r="BF264" s="7"/>
    </row>
    <row r="265" spans="1:59" x14ac:dyDescent="0.2">
      <c r="A265" s="7">
        <v>81</v>
      </c>
      <c r="B265" s="7" t="s">
        <v>566</v>
      </c>
      <c r="C265" s="7" t="s">
        <v>567</v>
      </c>
      <c r="D265" s="7" t="s">
        <v>568</v>
      </c>
      <c r="E265" s="7" t="s">
        <v>569</v>
      </c>
      <c r="F265" s="7" t="s">
        <v>468</v>
      </c>
      <c r="G265" s="7">
        <v>2006</v>
      </c>
      <c r="H265" s="8">
        <v>38990</v>
      </c>
      <c r="I265" s="7" t="s">
        <v>32</v>
      </c>
      <c r="J265" s="7" t="s">
        <v>32</v>
      </c>
      <c r="K265" s="7" t="s">
        <v>570</v>
      </c>
      <c r="L265" s="7">
        <v>1</v>
      </c>
      <c r="M265" s="7" t="s">
        <v>32</v>
      </c>
      <c r="N265" s="7" t="s">
        <v>34</v>
      </c>
      <c r="O265" s="7" t="s">
        <v>34</v>
      </c>
      <c r="P265" s="7" t="s">
        <v>34</v>
      </c>
      <c r="Q265" s="7" t="s">
        <v>34</v>
      </c>
      <c r="R265" s="7" t="s">
        <v>34</v>
      </c>
      <c r="S265" s="7" t="s">
        <v>34</v>
      </c>
      <c r="T265" s="7" t="s">
        <v>34</v>
      </c>
      <c r="U265" s="7" t="s">
        <v>32</v>
      </c>
      <c r="V265" s="7">
        <v>1</v>
      </c>
      <c r="W265" s="7" t="s">
        <v>32</v>
      </c>
      <c r="X265" s="7" t="s">
        <v>32</v>
      </c>
      <c r="Y265" s="7" t="s">
        <v>32</v>
      </c>
      <c r="Z265" s="7" t="s">
        <v>32</v>
      </c>
      <c r="AA265" s="7">
        <v>17008144</v>
      </c>
      <c r="AB265" s="7">
        <v>1</v>
      </c>
      <c r="AC265" s="7"/>
      <c r="AD265" s="7">
        <v>3</v>
      </c>
      <c r="AE265" s="7">
        <f t="shared" si="18"/>
        <v>47</v>
      </c>
      <c r="AF265" s="7">
        <v>28</v>
      </c>
      <c r="AG265" s="7">
        <v>19</v>
      </c>
      <c r="AH265" s="7" t="s">
        <v>2845</v>
      </c>
      <c r="AI265" s="7" t="s">
        <v>2845</v>
      </c>
      <c r="AJ265" s="7">
        <v>67.099999999999994</v>
      </c>
      <c r="AK265" s="7">
        <v>5.6</v>
      </c>
      <c r="AL265" s="7">
        <v>71.099999999999994</v>
      </c>
      <c r="AM265" s="7">
        <v>7.2</v>
      </c>
      <c r="AN265" s="7" t="s">
        <v>3295</v>
      </c>
      <c r="AO265" s="7" t="s">
        <v>1638</v>
      </c>
      <c r="AP265" s="7" t="s">
        <v>3294</v>
      </c>
      <c r="AQ265" s="7" t="s">
        <v>3255</v>
      </c>
      <c r="AR265" s="7" t="s">
        <v>1646</v>
      </c>
      <c r="AS265" s="7" t="s">
        <v>3113</v>
      </c>
      <c r="AT265" s="7" t="s">
        <v>1646</v>
      </c>
      <c r="AU265" s="7" t="s">
        <v>2957</v>
      </c>
      <c r="AV265" s="7" t="s">
        <v>2848</v>
      </c>
      <c r="AW265" s="7">
        <v>45</v>
      </c>
      <c r="AX265" s="7">
        <v>47</v>
      </c>
      <c r="AY265" s="7" t="s">
        <v>3300</v>
      </c>
      <c r="AZ265" s="7">
        <v>6</v>
      </c>
      <c r="BA265" s="7">
        <v>2.5</v>
      </c>
      <c r="BB265" s="7"/>
      <c r="BC265" s="7" t="s">
        <v>3314</v>
      </c>
      <c r="BD265" s="7">
        <v>7.21</v>
      </c>
      <c r="BE265" s="7">
        <v>2.2000000000000002</v>
      </c>
      <c r="BF265" s="7"/>
    </row>
    <row r="266" spans="1:59" x14ac:dyDescent="0.2">
      <c r="A266" s="7">
        <v>81</v>
      </c>
      <c r="B266" s="7" t="s">
        <v>566</v>
      </c>
      <c r="C266" s="7" t="s">
        <v>567</v>
      </c>
      <c r="D266" s="7" t="s">
        <v>568</v>
      </c>
      <c r="E266" s="7" t="s">
        <v>569</v>
      </c>
      <c r="F266" s="7" t="s">
        <v>468</v>
      </c>
      <c r="G266" s="7">
        <v>2006</v>
      </c>
      <c r="H266" s="8">
        <v>38990</v>
      </c>
      <c r="I266" s="7" t="s">
        <v>32</v>
      </c>
      <c r="J266" s="7" t="s">
        <v>32</v>
      </c>
      <c r="K266" s="7" t="s">
        <v>570</v>
      </c>
      <c r="L266" s="7">
        <v>1</v>
      </c>
      <c r="M266" s="7" t="s">
        <v>32</v>
      </c>
      <c r="N266" s="7" t="s">
        <v>34</v>
      </c>
      <c r="O266" s="7" t="s">
        <v>34</v>
      </c>
      <c r="P266" s="7" t="s">
        <v>34</v>
      </c>
      <c r="Q266" s="7" t="s">
        <v>34</v>
      </c>
      <c r="R266" s="7" t="s">
        <v>34</v>
      </c>
      <c r="S266" s="7" t="s">
        <v>34</v>
      </c>
      <c r="T266" s="7" t="s">
        <v>34</v>
      </c>
      <c r="U266" s="7" t="s">
        <v>32</v>
      </c>
      <c r="V266" s="7">
        <v>1</v>
      </c>
      <c r="W266" s="7" t="s">
        <v>32</v>
      </c>
      <c r="X266" s="7" t="s">
        <v>32</v>
      </c>
      <c r="Y266" s="7" t="s">
        <v>32</v>
      </c>
      <c r="Z266" s="7" t="s">
        <v>32</v>
      </c>
      <c r="AA266" s="7">
        <v>17008144</v>
      </c>
      <c r="AB266" s="7">
        <v>1</v>
      </c>
      <c r="AC266" s="7"/>
      <c r="AD266" s="7">
        <v>3</v>
      </c>
      <c r="AE266" s="7">
        <f t="shared" si="18"/>
        <v>47</v>
      </c>
      <c r="AF266" s="7">
        <v>28</v>
      </c>
      <c r="AG266" s="7">
        <v>19</v>
      </c>
      <c r="AH266" s="7" t="s">
        <v>2845</v>
      </c>
      <c r="AI266" s="7" t="s">
        <v>2845</v>
      </c>
      <c r="AJ266" s="7">
        <v>67.099999999999994</v>
      </c>
      <c r="AK266" s="7">
        <v>5.6</v>
      </c>
      <c r="AL266" s="7">
        <v>71.099999999999994</v>
      </c>
      <c r="AM266" s="7">
        <v>7.2</v>
      </c>
      <c r="AN266" s="7" t="s">
        <v>3295</v>
      </c>
      <c r="AO266" s="7" t="s">
        <v>1638</v>
      </c>
      <c r="AP266" s="7" t="s">
        <v>3294</v>
      </c>
      <c r="AQ266" s="7" t="s">
        <v>3255</v>
      </c>
      <c r="AR266" s="7" t="s">
        <v>1646</v>
      </c>
      <c r="AS266" s="7" t="s">
        <v>3113</v>
      </c>
      <c r="AT266" s="7" t="s">
        <v>1646</v>
      </c>
      <c r="AU266" s="7" t="s">
        <v>3118</v>
      </c>
      <c r="AV266" s="7" t="s">
        <v>2848</v>
      </c>
      <c r="AW266" s="7">
        <v>45</v>
      </c>
      <c r="AX266" s="7">
        <v>47</v>
      </c>
      <c r="AY266" s="7" t="s">
        <v>3301</v>
      </c>
      <c r="AZ266" s="7">
        <v>8</v>
      </c>
      <c r="BA266" s="7">
        <v>2.9</v>
      </c>
      <c r="BB266" s="7"/>
      <c r="BC266" s="7" t="s">
        <v>3315</v>
      </c>
      <c r="BD266" s="7">
        <v>10.11</v>
      </c>
      <c r="BE266" s="7">
        <v>2.8</v>
      </c>
      <c r="BF266" s="7"/>
    </row>
    <row r="267" spans="1:59" x14ac:dyDescent="0.2">
      <c r="A267" s="7">
        <v>81</v>
      </c>
      <c r="B267" s="7" t="s">
        <v>566</v>
      </c>
      <c r="C267" s="7" t="s">
        <v>567</v>
      </c>
      <c r="D267" s="7" t="s">
        <v>568</v>
      </c>
      <c r="E267" s="7" t="s">
        <v>569</v>
      </c>
      <c r="F267" s="7" t="s">
        <v>468</v>
      </c>
      <c r="G267" s="7">
        <v>2006</v>
      </c>
      <c r="H267" s="8">
        <v>38990</v>
      </c>
      <c r="I267" s="7" t="s">
        <v>32</v>
      </c>
      <c r="J267" s="7" t="s">
        <v>32</v>
      </c>
      <c r="K267" s="7" t="s">
        <v>570</v>
      </c>
      <c r="L267" s="7">
        <v>1</v>
      </c>
      <c r="M267" s="7" t="s">
        <v>32</v>
      </c>
      <c r="N267" s="7" t="s">
        <v>34</v>
      </c>
      <c r="O267" s="7" t="s">
        <v>34</v>
      </c>
      <c r="P267" s="7" t="s">
        <v>34</v>
      </c>
      <c r="Q267" s="7" t="s">
        <v>34</v>
      </c>
      <c r="R267" s="7" t="s">
        <v>34</v>
      </c>
      <c r="S267" s="7" t="s">
        <v>34</v>
      </c>
      <c r="T267" s="7" t="s">
        <v>34</v>
      </c>
      <c r="U267" s="7" t="s">
        <v>32</v>
      </c>
      <c r="V267" s="7">
        <v>1</v>
      </c>
      <c r="W267" s="7" t="s">
        <v>32</v>
      </c>
      <c r="X267" s="7" t="s">
        <v>32</v>
      </c>
      <c r="Y267" s="7" t="s">
        <v>32</v>
      </c>
      <c r="Z267" s="7" t="s">
        <v>32</v>
      </c>
      <c r="AA267" s="7">
        <v>17008144</v>
      </c>
      <c r="AB267" s="7">
        <v>1</v>
      </c>
      <c r="AC267" s="7"/>
      <c r="AD267" s="7">
        <v>3</v>
      </c>
      <c r="AE267" s="7">
        <f t="shared" si="18"/>
        <v>47</v>
      </c>
      <c r="AF267" s="7">
        <v>28</v>
      </c>
      <c r="AG267" s="7">
        <v>19</v>
      </c>
      <c r="AH267" s="7" t="s">
        <v>2845</v>
      </c>
      <c r="AI267" s="7" t="s">
        <v>2845</v>
      </c>
      <c r="AJ267" s="7">
        <v>67.099999999999994</v>
      </c>
      <c r="AK267" s="7">
        <v>5.6</v>
      </c>
      <c r="AL267" s="7">
        <v>71.099999999999994</v>
      </c>
      <c r="AM267" s="7">
        <v>7.2</v>
      </c>
      <c r="AN267" s="7" t="s">
        <v>3295</v>
      </c>
      <c r="AO267" s="7" t="s">
        <v>1638</v>
      </c>
      <c r="AP267" s="7" t="s">
        <v>3294</v>
      </c>
      <c r="AQ267" s="7" t="s">
        <v>3255</v>
      </c>
      <c r="AR267" s="7" t="s">
        <v>1646</v>
      </c>
      <c r="AS267" s="7" t="s">
        <v>3113</v>
      </c>
      <c r="AT267" s="7" t="s">
        <v>1646</v>
      </c>
      <c r="AU267" s="7" t="s">
        <v>2958</v>
      </c>
      <c r="AV267" s="7" t="s">
        <v>2848</v>
      </c>
      <c r="AW267" s="7">
        <v>45</v>
      </c>
      <c r="AX267" s="7">
        <v>47</v>
      </c>
      <c r="AY267" s="7" t="s">
        <v>3302</v>
      </c>
      <c r="AZ267" s="7">
        <v>7.67</v>
      </c>
      <c r="BA267" s="7">
        <v>3.9</v>
      </c>
      <c r="BB267" s="7"/>
      <c r="BC267" s="7" t="s">
        <v>3316</v>
      </c>
      <c r="BD267" s="7">
        <v>10.61</v>
      </c>
      <c r="BE267" s="7">
        <v>3.4</v>
      </c>
      <c r="BF267" s="7"/>
    </row>
    <row r="268" spans="1:59" x14ac:dyDescent="0.2">
      <c r="A268" s="7">
        <v>81</v>
      </c>
      <c r="B268" s="7" t="s">
        <v>566</v>
      </c>
      <c r="C268" s="7" t="s">
        <v>567</v>
      </c>
      <c r="D268" s="7" t="s">
        <v>568</v>
      </c>
      <c r="E268" s="7" t="s">
        <v>569</v>
      </c>
      <c r="F268" s="7" t="s">
        <v>468</v>
      </c>
      <c r="G268" s="7">
        <v>2006</v>
      </c>
      <c r="H268" s="8">
        <v>38990</v>
      </c>
      <c r="I268" s="7" t="s">
        <v>32</v>
      </c>
      <c r="J268" s="7" t="s">
        <v>32</v>
      </c>
      <c r="K268" s="7" t="s">
        <v>570</v>
      </c>
      <c r="L268" s="7">
        <v>1</v>
      </c>
      <c r="M268" s="7" t="s">
        <v>32</v>
      </c>
      <c r="N268" s="7" t="s">
        <v>34</v>
      </c>
      <c r="O268" s="7" t="s">
        <v>34</v>
      </c>
      <c r="P268" s="7" t="s">
        <v>34</v>
      </c>
      <c r="Q268" s="7" t="s">
        <v>34</v>
      </c>
      <c r="R268" s="7" t="s">
        <v>34</v>
      </c>
      <c r="S268" s="7" t="s">
        <v>34</v>
      </c>
      <c r="T268" s="7" t="s">
        <v>34</v>
      </c>
      <c r="U268" s="7" t="s">
        <v>32</v>
      </c>
      <c r="V268" s="7">
        <v>1</v>
      </c>
      <c r="W268" s="7" t="s">
        <v>32</v>
      </c>
      <c r="X268" s="7" t="s">
        <v>32</v>
      </c>
      <c r="Y268" s="7" t="s">
        <v>32</v>
      </c>
      <c r="Z268" s="7" t="s">
        <v>32</v>
      </c>
      <c r="AA268" s="7">
        <v>17008144</v>
      </c>
      <c r="AB268" s="7">
        <v>1</v>
      </c>
      <c r="AC268" s="7"/>
      <c r="AD268" s="7">
        <v>3</v>
      </c>
      <c r="AE268" s="7">
        <f t="shared" si="18"/>
        <v>47</v>
      </c>
      <c r="AF268" s="7">
        <v>28</v>
      </c>
      <c r="AG268" s="7">
        <v>19</v>
      </c>
      <c r="AH268" s="7" t="s">
        <v>2845</v>
      </c>
      <c r="AI268" s="7" t="s">
        <v>2845</v>
      </c>
      <c r="AJ268" s="7">
        <v>67.099999999999994</v>
      </c>
      <c r="AK268" s="7">
        <v>5.6</v>
      </c>
      <c r="AL268" s="7">
        <v>71.099999999999994</v>
      </c>
      <c r="AM268" s="7">
        <v>7.2</v>
      </c>
      <c r="AN268" s="7" t="s">
        <v>3295</v>
      </c>
      <c r="AO268" s="7" t="s">
        <v>1638</v>
      </c>
      <c r="AP268" s="7" t="s">
        <v>3294</v>
      </c>
      <c r="AQ268" s="7" t="s">
        <v>3255</v>
      </c>
      <c r="AR268" s="7" t="s">
        <v>1646</v>
      </c>
      <c r="AS268" s="7" t="s">
        <v>3113</v>
      </c>
      <c r="AT268" s="7" t="s">
        <v>1646</v>
      </c>
      <c r="AU268" s="7" t="s">
        <v>3297</v>
      </c>
      <c r="AV268" s="7" t="s">
        <v>2848</v>
      </c>
      <c r="AW268" s="7">
        <v>45</v>
      </c>
      <c r="AX268" s="7">
        <v>47</v>
      </c>
      <c r="AY268" s="7" t="s">
        <v>3303</v>
      </c>
      <c r="AZ268" s="7">
        <v>9.42</v>
      </c>
      <c r="BA268" s="7">
        <v>2.8</v>
      </c>
      <c r="BB268" s="7"/>
      <c r="BC268" s="7" t="s">
        <v>3317</v>
      </c>
      <c r="BD268" s="7">
        <v>11.21</v>
      </c>
      <c r="BE268" s="7">
        <v>2.8</v>
      </c>
      <c r="BF268" s="7"/>
    </row>
    <row r="269" spans="1:59" x14ac:dyDescent="0.2">
      <c r="A269" s="7">
        <v>81</v>
      </c>
      <c r="B269" s="7" t="s">
        <v>566</v>
      </c>
      <c r="C269" s="7" t="s">
        <v>567</v>
      </c>
      <c r="D269" s="7" t="s">
        <v>568</v>
      </c>
      <c r="E269" s="7" t="s">
        <v>569</v>
      </c>
      <c r="F269" s="7" t="s">
        <v>468</v>
      </c>
      <c r="G269" s="7">
        <v>2006</v>
      </c>
      <c r="H269" s="8">
        <v>38990</v>
      </c>
      <c r="I269" s="7" t="s">
        <v>32</v>
      </c>
      <c r="J269" s="7" t="s">
        <v>32</v>
      </c>
      <c r="K269" s="7" t="s">
        <v>570</v>
      </c>
      <c r="L269" s="7">
        <v>1</v>
      </c>
      <c r="M269" s="7" t="s">
        <v>32</v>
      </c>
      <c r="N269" s="7" t="s">
        <v>34</v>
      </c>
      <c r="O269" s="7" t="s">
        <v>34</v>
      </c>
      <c r="P269" s="7" t="s">
        <v>34</v>
      </c>
      <c r="Q269" s="7" t="s">
        <v>34</v>
      </c>
      <c r="R269" s="7" t="s">
        <v>34</v>
      </c>
      <c r="S269" s="7" t="s">
        <v>34</v>
      </c>
      <c r="T269" s="7" t="s">
        <v>34</v>
      </c>
      <c r="U269" s="7" t="s">
        <v>32</v>
      </c>
      <c r="V269" s="7">
        <v>1</v>
      </c>
      <c r="W269" s="7" t="s">
        <v>32</v>
      </c>
      <c r="X269" s="7" t="s">
        <v>32</v>
      </c>
      <c r="Y269" s="7" t="s">
        <v>32</v>
      </c>
      <c r="Z269" s="7" t="s">
        <v>32</v>
      </c>
      <c r="AA269" s="7">
        <v>17008144</v>
      </c>
      <c r="AB269" s="7">
        <v>1</v>
      </c>
      <c r="AC269" s="7"/>
      <c r="AD269" s="7">
        <v>3</v>
      </c>
      <c r="AE269" s="7">
        <f t="shared" si="18"/>
        <v>47</v>
      </c>
      <c r="AF269" s="7">
        <v>28</v>
      </c>
      <c r="AG269" s="7">
        <v>19</v>
      </c>
      <c r="AH269" s="7" t="s">
        <v>2845</v>
      </c>
      <c r="AI269" s="7" t="s">
        <v>2845</v>
      </c>
      <c r="AJ269" s="7">
        <v>67.099999999999994</v>
      </c>
      <c r="AK269" s="7">
        <v>5.6</v>
      </c>
      <c r="AL269" s="7">
        <v>71.099999999999994</v>
      </c>
      <c r="AM269" s="7">
        <v>7.2</v>
      </c>
      <c r="AN269" s="7" t="s">
        <v>3295</v>
      </c>
      <c r="AO269" s="7" t="s">
        <v>1638</v>
      </c>
      <c r="AP269" s="7" t="s">
        <v>3294</v>
      </c>
      <c r="AQ269" s="7" t="s">
        <v>3255</v>
      </c>
      <c r="AR269" s="7" t="s">
        <v>1646</v>
      </c>
      <c r="AS269" s="7" t="s">
        <v>3113</v>
      </c>
      <c r="AT269" s="7" t="s">
        <v>1646</v>
      </c>
      <c r="AU269" s="7" t="s">
        <v>3119</v>
      </c>
      <c r="AV269" s="7" t="s">
        <v>2848</v>
      </c>
      <c r="AW269" s="7">
        <v>45</v>
      </c>
      <c r="AX269" s="7">
        <v>47</v>
      </c>
      <c r="AY269" s="7" t="s">
        <v>3304</v>
      </c>
      <c r="AZ269" s="7">
        <v>8.83</v>
      </c>
      <c r="BA269" s="7">
        <v>3.6</v>
      </c>
      <c r="BB269" s="7"/>
      <c r="BC269" s="7" t="s">
        <v>3318</v>
      </c>
      <c r="BD269" s="7">
        <v>11.53</v>
      </c>
      <c r="BE269" s="7">
        <v>2.8</v>
      </c>
      <c r="BF269" s="7"/>
    </row>
    <row r="270" spans="1:59" x14ac:dyDescent="0.2">
      <c r="A270" s="7">
        <v>81</v>
      </c>
      <c r="B270" s="7" t="s">
        <v>566</v>
      </c>
      <c r="C270" s="7" t="s">
        <v>567</v>
      </c>
      <c r="D270" s="7" t="s">
        <v>568</v>
      </c>
      <c r="E270" s="7" t="s">
        <v>569</v>
      </c>
      <c r="F270" s="7" t="s">
        <v>468</v>
      </c>
      <c r="G270" s="7">
        <v>2006</v>
      </c>
      <c r="H270" s="8">
        <v>38990</v>
      </c>
      <c r="I270" s="7" t="s">
        <v>32</v>
      </c>
      <c r="J270" s="7" t="s">
        <v>32</v>
      </c>
      <c r="K270" s="7" t="s">
        <v>570</v>
      </c>
      <c r="L270" s="7">
        <v>1</v>
      </c>
      <c r="M270" s="7" t="s">
        <v>32</v>
      </c>
      <c r="N270" s="7" t="s">
        <v>34</v>
      </c>
      <c r="O270" s="7" t="s">
        <v>34</v>
      </c>
      <c r="P270" s="7" t="s">
        <v>34</v>
      </c>
      <c r="Q270" s="7" t="s">
        <v>34</v>
      </c>
      <c r="R270" s="7" t="s">
        <v>34</v>
      </c>
      <c r="S270" s="7" t="s">
        <v>34</v>
      </c>
      <c r="T270" s="7" t="s">
        <v>34</v>
      </c>
      <c r="U270" s="7" t="s">
        <v>32</v>
      </c>
      <c r="V270" s="7">
        <v>1</v>
      </c>
      <c r="W270" s="7" t="s">
        <v>32</v>
      </c>
      <c r="X270" s="7" t="s">
        <v>32</v>
      </c>
      <c r="Y270" s="7" t="s">
        <v>32</v>
      </c>
      <c r="Z270" s="7" t="s">
        <v>32</v>
      </c>
      <c r="AA270" s="7">
        <v>17008144</v>
      </c>
      <c r="AB270" s="7">
        <v>1</v>
      </c>
      <c r="AC270" s="7"/>
      <c r="AD270" s="7">
        <v>3</v>
      </c>
      <c r="AE270" s="7">
        <f>AF270+AG270</f>
        <v>47</v>
      </c>
      <c r="AF270" s="7">
        <v>28</v>
      </c>
      <c r="AG270" s="7">
        <v>19</v>
      </c>
      <c r="AH270" s="7" t="s">
        <v>2845</v>
      </c>
      <c r="AI270" s="7" t="s">
        <v>2845</v>
      </c>
      <c r="AJ270" s="7">
        <v>72.900000000000006</v>
      </c>
      <c r="AK270" s="7">
        <v>6</v>
      </c>
      <c r="AL270" s="7">
        <v>72.7</v>
      </c>
      <c r="AM270" s="7">
        <v>6.3</v>
      </c>
      <c r="AN270" s="7" t="s">
        <v>3295</v>
      </c>
      <c r="AO270" s="7" t="s">
        <v>1770</v>
      </c>
      <c r="AP270" s="7" t="s">
        <v>3294</v>
      </c>
      <c r="AQ270" s="7" t="s">
        <v>3255</v>
      </c>
      <c r="AR270" s="7" t="s">
        <v>1646</v>
      </c>
      <c r="AS270" s="7" t="s">
        <v>3113</v>
      </c>
      <c r="AT270" s="7" t="s">
        <v>1646</v>
      </c>
      <c r="AU270" s="7" t="s">
        <v>3296</v>
      </c>
      <c r="AV270" s="7" t="s">
        <v>2848</v>
      </c>
      <c r="AW270" s="7">
        <v>45</v>
      </c>
      <c r="AX270" s="7">
        <v>46</v>
      </c>
      <c r="AY270" s="7" t="s">
        <v>3319</v>
      </c>
      <c r="AZ270" s="7">
        <v>6.43</v>
      </c>
      <c r="BA270" s="7">
        <v>2.4</v>
      </c>
      <c r="BB270" s="7"/>
      <c r="BC270" s="7" t="s">
        <v>3320</v>
      </c>
      <c r="BD270" s="7">
        <v>6.31</v>
      </c>
      <c r="BE270" s="7">
        <v>1.7</v>
      </c>
      <c r="BF270" s="7"/>
    </row>
    <row r="271" spans="1:59" x14ac:dyDescent="0.2">
      <c r="A271" s="7">
        <v>81</v>
      </c>
      <c r="B271" s="7" t="s">
        <v>566</v>
      </c>
      <c r="C271" s="7" t="s">
        <v>567</v>
      </c>
      <c r="D271" s="7" t="s">
        <v>568</v>
      </c>
      <c r="E271" s="7" t="s">
        <v>569</v>
      </c>
      <c r="F271" s="7" t="s">
        <v>468</v>
      </c>
      <c r="G271" s="7">
        <v>2006</v>
      </c>
      <c r="H271" s="8">
        <v>38990</v>
      </c>
      <c r="I271" s="7" t="s">
        <v>32</v>
      </c>
      <c r="J271" s="7" t="s">
        <v>32</v>
      </c>
      <c r="K271" s="7" t="s">
        <v>570</v>
      </c>
      <c r="L271" s="7">
        <v>1</v>
      </c>
      <c r="M271" s="7" t="s">
        <v>32</v>
      </c>
      <c r="N271" s="7" t="s">
        <v>34</v>
      </c>
      <c r="O271" s="7" t="s">
        <v>34</v>
      </c>
      <c r="P271" s="7" t="s">
        <v>34</v>
      </c>
      <c r="Q271" s="7" t="s">
        <v>34</v>
      </c>
      <c r="R271" s="7" t="s">
        <v>34</v>
      </c>
      <c r="S271" s="7" t="s">
        <v>34</v>
      </c>
      <c r="T271" s="7" t="s">
        <v>34</v>
      </c>
      <c r="U271" s="7" t="s">
        <v>32</v>
      </c>
      <c r="V271" s="7">
        <v>1</v>
      </c>
      <c r="W271" s="7" t="s">
        <v>32</v>
      </c>
      <c r="X271" s="7" t="s">
        <v>32</v>
      </c>
      <c r="Y271" s="7" t="s">
        <v>32</v>
      </c>
      <c r="Z271" s="7" t="s">
        <v>32</v>
      </c>
      <c r="AA271" s="7">
        <v>17008144</v>
      </c>
      <c r="AB271" s="7">
        <v>1</v>
      </c>
      <c r="AC271" s="7"/>
      <c r="AD271" s="7">
        <v>3</v>
      </c>
      <c r="AE271" s="7">
        <f t="shared" ref="AE271:AE276" si="19">AF271+AG271</f>
        <v>47</v>
      </c>
      <c r="AF271" s="7">
        <v>28</v>
      </c>
      <c r="AG271" s="7">
        <v>19</v>
      </c>
      <c r="AH271" s="7" t="s">
        <v>2845</v>
      </c>
      <c r="AI271" s="7" t="s">
        <v>2845</v>
      </c>
      <c r="AJ271" s="7">
        <v>72.900000000000006</v>
      </c>
      <c r="AK271" s="7">
        <v>6</v>
      </c>
      <c r="AL271" s="7">
        <v>72.7</v>
      </c>
      <c r="AM271" s="7">
        <v>6.3</v>
      </c>
      <c r="AN271" s="7" t="s">
        <v>3295</v>
      </c>
      <c r="AO271" s="7" t="s">
        <v>1770</v>
      </c>
      <c r="AP271" s="7" t="s">
        <v>3294</v>
      </c>
      <c r="AQ271" s="7" t="s">
        <v>3255</v>
      </c>
      <c r="AR271" s="7" t="s">
        <v>1646</v>
      </c>
      <c r="AS271" s="7" t="s">
        <v>3113</v>
      </c>
      <c r="AT271" s="7" t="s">
        <v>1646</v>
      </c>
      <c r="AU271" s="7" t="s">
        <v>2952</v>
      </c>
      <c r="AV271" s="7" t="s">
        <v>2848</v>
      </c>
      <c r="AW271" s="7">
        <v>45</v>
      </c>
      <c r="AX271" s="7">
        <v>46</v>
      </c>
      <c r="AY271" s="7" t="s">
        <v>3321</v>
      </c>
      <c r="AZ271" s="7">
        <v>46.1</v>
      </c>
      <c r="BA271" s="7">
        <v>11.8</v>
      </c>
      <c r="BB271" s="7"/>
      <c r="BC271" s="7" t="s">
        <v>3322</v>
      </c>
      <c r="BD271" s="7">
        <v>45.6</v>
      </c>
      <c r="BE271" s="7">
        <v>6.8</v>
      </c>
      <c r="BF271" s="7"/>
    </row>
    <row r="272" spans="1:59" x14ac:dyDescent="0.2">
      <c r="A272" s="7">
        <v>81</v>
      </c>
      <c r="B272" s="7" t="s">
        <v>566</v>
      </c>
      <c r="C272" s="7" t="s">
        <v>567</v>
      </c>
      <c r="D272" s="7" t="s">
        <v>568</v>
      </c>
      <c r="E272" s="7" t="s">
        <v>569</v>
      </c>
      <c r="F272" s="7" t="s">
        <v>468</v>
      </c>
      <c r="G272" s="7">
        <v>2006</v>
      </c>
      <c r="H272" s="8">
        <v>38990</v>
      </c>
      <c r="I272" s="7" t="s">
        <v>32</v>
      </c>
      <c r="J272" s="7" t="s">
        <v>32</v>
      </c>
      <c r="K272" s="7" t="s">
        <v>570</v>
      </c>
      <c r="L272" s="7">
        <v>1</v>
      </c>
      <c r="M272" s="7" t="s">
        <v>32</v>
      </c>
      <c r="N272" s="7" t="s">
        <v>34</v>
      </c>
      <c r="O272" s="7" t="s">
        <v>34</v>
      </c>
      <c r="P272" s="7" t="s">
        <v>34</v>
      </c>
      <c r="Q272" s="7" t="s">
        <v>34</v>
      </c>
      <c r="R272" s="7" t="s">
        <v>34</v>
      </c>
      <c r="S272" s="7" t="s">
        <v>34</v>
      </c>
      <c r="T272" s="7" t="s">
        <v>34</v>
      </c>
      <c r="U272" s="7" t="s">
        <v>32</v>
      </c>
      <c r="V272" s="7">
        <v>1</v>
      </c>
      <c r="W272" s="7" t="s">
        <v>32</v>
      </c>
      <c r="X272" s="7" t="s">
        <v>32</v>
      </c>
      <c r="Y272" s="7" t="s">
        <v>32</v>
      </c>
      <c r="Z272" s="7" t="s">
        <v>32</v>
      </c>
      <c r="AA272" s="7">
        <v>17008144</v>
      </c>
      <c r="AB272" s="7">
        <v>1</v>
      </c>
      <c r="AC272" s="7"/>
      <c r="AD272" s="7">
        <v>3</v>
      </c>
      <c r="AE272" s="7">
        <f t="shared" si="19"/>
        <v>47</v>
      </c>
      <c r="AF272" s="7">
        <v>28</v>
      </c>
      <c r="AG272" s="7">
        <v>19</v>
      </c>
      <c r="AH272" s="7" t="s">
        <v>2845</v>
      </c>
      <c r="AI272" s="7" t="s">
        <v>2845</v>
      </c>
      <c r="AJ272" s="7">
        <v>72.900000000000006</v>
      </c>
      <c r="AK272" s="7">
        <v>6</v>
      </c>
      <c r="AL272" s="7">
        <v>72.7</v>
      </c>
      <c r="AM272" s="7">
        <v>6.3</v>
      </c>
      <c r="AN272" s="7" t="s">
        <v>3295</v>
      </c>
      <c r="AO272" s="7" t="s">
        <v>1770</v>
      </c>
      <c r="AP272" s="7" t="s">
        <v>3294</v>
      </c>
      <c r="AQ272" s="7" t="s">
        <v>3255</v>
      </c>
      <c r="AR272" s="7" t="s">
        <v>1646</v>
      </c>
      <c r="AS272" s="7" t="s">
        <v>3113</v>
      </c>
      <c r="AT272" s="7" t="s">
        <v>1646</v>
      </c>
      <c r="AU272" s="7" t="s">
        <v>2957</v>
      </c>
      <c r="AV272" s="7" t="s">
        <v>2848</v>
      </c>
      <c r="AW272" s="7">
        <v>45</v>
      </c>
      <c r="AX272" s="7">
        <v>46</v>
      </c>
      <c r="AY272" s="7" t="s">
        <v>3323</v>
      </c>
      <c r="AZ272" s="7">
        <v>6.07</v>
      </c>
      <c r="BA272" s="7">
        <v>2.1</v>
      </c>
      <c r="BB272" s="7"/>
      <c r="BC272" s="7" t="s">
        <v>3324</v>
      </c>
      <c r="BD272" s="7">
        <v>5.3</v>
      </c>
      <c r="BE272" s="7">
        <v>1.4</v>
      </c>
      <c r="BF272" s="7"/>
    </row>
    <row r="273" spans="1:59" x14ac:dyDescent="0.2">
      <c r="A273" s="7">
        <v>81</v>
      </c>
      <c r="B273" s="7" t="s">
        <v>566</v>
      </c>
      <c r="C273" s="7" t="s">
        <v>567</v>
      </c>
      <c r="D273" s="7" t="s">
        <v>568</v>
      </c>
      <c r="E273" s="7" t="s">
        <v>569</v>
      </c>
      <c r="F273" s="7" t="s">
        <v>468</v>
      </c>
      <c r="G273" s="7">
        <v>2006</v>
      </c>
      <c r="H273" s="8">
        <v>38990</v>
      </c>
      <c r="I273" s="7" t="s">
        <v>32</v>
      </c>
      <c r="J273" s="7" t="s">
        <v>32</v>
      </c>
      <c r="K273" s="7" t="s">
        <v>570</v>
      </c>
      <c r="L273" s="7">
        <v>1</v>
      </c>
      <c r="M273" s="7" t="s">
        <v>32</v>
      </c>
      <c r="N273" s="7" t="s">
        <v>34</v>
      </c>
      <c r="O273" s="7" t="s">
        <v>34</v>
      </c>
      <c r="P273" s="7" t="s">
        <v>34</v>
      </c>
      <c r="Q273" s="7" t="s">
        <v>34</v>
      </c>
      <c r="R273" s="7" t="s">
        <v>34</v>
      </c>
      <c r="S273" s="7" t="s">
        <v>34</v>
      </c>
      <c r="T273" s="7" t="s">
        <v>34</v>
      </c>
      <c r="U273" s="7" t="s">
        <v>32</v>
      </c>
      <c r="V273" s="7">
        <v>1</v>
      </c>
      <c r="W273" s="7" t="s">
        <v>32</v>
      </c>
      <c r="X273" s="7" t="s">
        <v>32</v>
      </c>
      <c r="Y273" s="7" t="s">
        <v>32</v>
      </c>
      <c r="Z273" s="7" t="s">
        <v>32</v>
      </c>
      <c r="AA273" s="7">
        <v>17008144</v>
      </c>
      <c r="AB273" s="7">
        <v>1</v>
      </c>
      <c r="AC273" s="7"/>
      <c r="AD273" s="7">
        <v>3</v>
      </c>
      <c r="AE273" s="7">
        <f t="shared" si="19"/>
        <v>47</v>
      </c>
      <c r="AF273" s="7">
        <v>28</v>
      </c>
      <c r="AG273" s="7">
        <v>19</v>
      </c>
      <c r="AH273" s="7" t="s">
        <v>2845</v>
      </c>
      <c r="AI273" s="7" t="s">
        <v>2845</v>
      </c>
      <c r="AJ273" s="7">
        <v>72.900000000000006</v>
      </c>
      <c r="AK273" s="7">
        <v>6</v>
      </c>
      <c r="AL273" s="7">
        <v>72.7</v>
      </c>
      <c r="AM273" s="7">
        <v>6.3</v>
      </c>
      <c r="AN273" s="7" t="s">
        <v>3295</v>
      </c>
      <c r="AO273" s="7" t="s">
        <v>1770</v>
      </c>
      <c r="AP273" s="7" t="s">
        <v>3294</v>
      </c>
      <c r="AQ273" s="7" t="s">
        <v>3255</v>
      </c>
      <c r="AR273" s="7" t="s">
        <v>1646</v>
      </c>
      <c r="AS273" s="7" t="s">
        <v>3113</v>
      </c>
      <c r="AT273" s="7" t="s">
        <v>1646</v>
      </c>
      <c r="AU273" s="7" t="s">
        <v>3118</v>
      </c>
      <c r="AV273" s="7" t="s">
        <v>2848</v>
      </c>
      <c r="AW273" s="7">
        <v>45</v>
      </c>
      <c r="AX273" s="7">
        <v>46</v>
      </c>
      <c r="AY273" s="7" t="s">
        <v>3325</v>
      </c>
      <c r="AZ273" s="7">
        <v>8.7899999999999991</v>
      </c>
      <c r="BA273" s="7">
        <v>3.4</v>
      </c>
      <c r="BB273" s="7"/>
      <c r="BC273" s="7" t="s">
        <v>3326</v>
      </c>
      <c r="BD273" s="7">
        <v>9</v>
      </c>
      <c r="BE273" s="7">
        <v>2</v>
      </c>
      <c r="BF273" s="7"/>
    </row>
    <row r="274" spans="1:59" x14ac:dyDescent="0.2">
      <c r="A274" s="7">
        <v>81</v>
      </c>
      <c r="B274" s="7" t="s">
        <v>566</v>
      </c>
      <c r="C274" s="7" t="s">
        <v>567</v>
      </c>
      <c r="D274" s="7" t="s">
        <v>568</v>
      </c>
      <c r="E274" s="7" t="s">
        <v>569</v>
      </c>
      <c r="F274" s="7" t="s">
        <v>468</v>
      </c>
      <c r="G274" s="7">
        <v>2006</v>
      </c>
      <c r="H274" s="8">
        <v>38990</v>
      </c>
      <c r="I274" s="7" t="s">
        <v>32</v>
      </c>
      <c r="J274" s="7" t="s">
        <v>32</v>
      </c>
      <c r="K274" s="7" t="s">
        <v>570</v>
      </c>
      <c r="L274" s="7">
        <v>1</v>
      </c>
      <c r="M274" s="7" t="s">
        <v>32</v>
      </c>
      <c r="N274" s="7" t="s">
        <v>34</v>
      </c>
      <c r="O274" s="7" t="s">
        <v>34</v>
      </c>
      <c r="P274" s="7" t="s">
        <v>34</v>
      </c>
      <c r="Q274" s="7" t="s">
        <v>34</v>
      </c>
      <c r="R274" s="7" t="s">
        <v>34</v>
      </c>
      <c r="S274" s="7" t="s">
        <v>34</v>
      </c>
      <c r="T274" s="7" t="s">
        <v>34</v>
      </c>
      <c r="U274" s="7" t="s">
        <v>32</v>
      </c>
      <c r="V274" s="7">
        <v>1</v>
      </c>
      <c r="W274" s="7" t="s">
        <v>32</v>
      </c>
      <c r="X274" s="7" t="s">
        <v>32</v>
      </c>
      <c r="Y274" s="7" t="s">
        <v>32</v>
      </c>
      <c r="Z274" s="7" t="s">
        <v>32</v>
      </c>
      <c r="AA274" s="7">
        <v>17008144</v>
      </c>
      <c r="AB274" s="7">
        <v>1</v>
      </c>
      <c r="AC274" s="7"/>
      <c r="AD274" s="7">
        <v>3</v>
      </c>
      <c r="AE274" s="7">
        <f t="shared" si="19"/>
        <v>47</v>
      </c>
      <c r="AF274" s="7">
        <v>28</v>
      </c>
      <c r="AG274" s="7">
        <v>19</v>
      </c>
      <c r="AH274" s="7" t="s">
        <v>2845</v>
      </c>
      <c r="AI274" s="7" t="s">
        <v>2845</v>
      </c>
      <c r="AJ274" s="7">
        <v>72.900000000000006</v>
      </c>
      <c r="AK274" s="7">
        <v>6</v>
      </c>
      <c r="AL274" s="7">
        <v>72.7</v>
      </c>
      <c r="AM274" s="7">
        <v>6.3</v>
      </c>
      <c r="AN274" s="7" t="s">
        <v>3295</v>
      </c>
      <c r="AO274" s="7" t="s">
        <v>1770</v>
      </c>
      <c r="AP274" s="7" t="s">
        <v>3294</v>
      </c>
      <c r="AQ274" s="7" t="s">
        <v>3255</v>
      </c>
      <c r="AR274" s="7" t="s">
        <v>1646</v>
      </c>
      <c r="AS274" s="7" t="s">
        <v>3113</v>
      </c>
      <c r="AT274" s="7" t="s">
        <v>1646</v>
      </c>
      <c r="AU274" s="7" t="s">
        <v>2958</v>
      </c>
      <c r="AV274" s="7" t="s">
        <v>2848</v>
      </c>
      <c r="AW274" s="7">
        <v>45</v>
      </c>
      <c r="AX274" s="7">
        <v>46</v>
      </c>
      <c r="AY274" s="7" t="s">
        <v>3327</v>
      </c>
      <c r="AZ274" s="7">
        <v>8.5</v>
      </c>
      <c r="BA274" s="7">
        <v>3.6</v>
      </c>
      <c r="BB274" s="7"/>
      <c r="BC274" s="7" t="s">
        <v>3328</v>
      </c>
      <c r="BD274" s="7">
        <v>10</v>
      </c>
      <c r="BE274" s="7">
        <v>2.5</v>
      </c>
      <c r="BF274" s="7"/>
    </row>
    <row r="275" spans="1:59" x14ac:dyDescent="0.2">
      <c r="A275" s="7">
        <v>81</v>
      </c>
      <c r="B275" s="7" t="s">
        <v>566</v>
      </c>
      <c r="C275" s="7" t="s">
        <v>567</v>
      </c>
      <c r="D275" s="7" t="s">
        <v>568</v>
      </c>
      <c r="E275" s="7" t="s">
        <v>569</v>
      </c>
      <c r="F275" s="7" t="s">
        <v>468</v>
      </c>
      <c r="G275" s="7">
        <v>2006</v>
      </c>
      <c r="H275" s="8">
        <v>38990</v>
      </c>
      <c r="I275" s="7" t="s">
        <v>32</v>
      </c>
      <c r="J275" s="7" t="s">
        <v>32</v>
      </c>
      <c r="K275" s="7" t="s">
        <v>570</v>
      </c>
      <c r="L275" s="7">
        <v>1</v>
      </c>
      <c r="M275" s="7" t="s">
        <v>32</v>
      </c>
      <c r="N275" s="7" t="s">
        <v>34</v>
      </c>
      <c r="O275" s="7" t="s">
        <v>34</v>
      </c>
      <c r="P275" s="7" t="s">
        <v>34</v>
      </c>
      <c r="Q275" s="7" t="s">
        <v>34</v>
      </c>
      <c r="R275" s="7" t="s">
        <v>34</v>
      </c>
      <c r="S275" s="7" t="s">
        <v>34</v>
      </c>
      <c r="T275" s="7" t="s">
        <v>34</v>
      </c>
      <c r="U275" s="7" t="s">
        <v>32</v>
      </c>
      <c r="V275" s="7">
        <v>1</v>
      </c>
      <c r="W275" s="7" t="s">
        <v>32</v>
      </c>
      <c r="X275" s="7" t="s">
        <v>32</v>
      </c>
      <c r="Y275" s="7" t="s">
        <v>32</v>
      </c>
      <c r="Z275" s="7" t="s">
        <v>32</v>
      </c>
      <c r="AA275" s="7">
        <v>17008144</v>
      </c>
      <c r="AB275" s="7">
        <v>1</v>
      </c>
      <c r="AC275" s="7"/>
      <c r="AD275" s="7">
        <v>3</v>
      </c>
      <c r="AE275" s="7">
        <f t="shared" si="19"/>
        <v>47</v>
      </c>
      <c r="AF275" s="7">
        <v>28</v>
      </c>
      <c r="AG275" s="7">
        <v>19</v>
      </c>
      <c r="AH275" s="7" t="s">
        <v>2845</v>
      </c>
      <c r="AI275" s="7" t="s">
        <v>2845</v>
      </c>
      <c r="AJ275" s="7">
        <v>72.900000000000006</v>
      </c>
      <c r="AK275" s="7">
        <v>6</v>
      </c>
      <c r="AL275" s="7">
        <v>72.7</v>
      </c>
      <c r="AM275" s="7">
        <v>6.3</v>
      </c>
      <c r="AN275" s="7" t="s">
        <v>3295</v>
      </c>
      <c r="AO275" s="7" t="s">
        <v>1770</v>
      </c>
      <c r="AP275" s="7" t="s">
        <v>3294</v>
      </c>
      <c r="AQ275" s="7" t="s">
        <v>3255</v>
      </c>
      <c r="AR275" s="7" t="s">
        <v>1646</v>
      </c>
      <c r="AS275" s="7" t="s">
        <v>3113</v>
      </c>
      <c r="AT275" s="7" t="s">
        <v>1646</v>
      </c>
      <c r="AU275" s="7" t="s">
        <v>3297</v>
      </c>
      <c r="AV275" s="7" t="s">
        <v>2848</v>
      </c>
      <c r="AW275" s="7">
        <v>45</v>
      </c>
      <c r="AX275" s="7">
        <v>46</v>
      </c>
      <c r="AY275" s="7" t="s">
        <v>3329</v>
      </c>
      <c r="AZ275" s="7">
        <v>9.57</v>
      </c>
      <c r="BA275" s="7">
        <v>3.2</v>
      </c>
      <c r="BB275" s="7"/>
      <c r="BC275" s="7" t="s">
        <v>3330</v>
      </c>
      <c r="BD275" s="7">
        <v>10.23</v>
      </c>
      <c r="BE275" s="7">
        <v>2.2000000000000002</v>
      </c>
      <c r="BF275" s="7"/>
    </row>
    <row r="276" spans="1:59" x14ac:dyDescent="0.2">
      <c r="A276" s="7">
        <v>81</v>
      </c>
      <c r="B276" s="7" t="s">
        <v>566</v>
      </c>
      <c r="C276" s="7" t="s">
        <v>567</v>
      </c>
      <c r="D276" s="7" t="s">
        <v>568</v>
      </c>
      <c r="E276" s="7" t="s">
        <v>569</v>
      </c>
      <c r="F276" s="7" t="s">
        <v>468</v>
      </c>
      <c r="G276" s="7">
        <v>2006</v>
      </c>
      <c r="H276" s="8">
        <v>38990</v>
      </c>
      <c r="I276" s="7" t="s">
        <v>32</v>
      </c>
      <c r="J276" s="7" t="s">
        <v>32</v>
      </c>
      <c r="K276" s="7" t="s">
        <v>570</v>
      </c>
      <c r="L276" s="7">
        <v>1</v>
      </c>
      <c r="M276" s="7" t="s">
        <v>32</v>
      </c>
      <c r="N276" s="7" t="s">
        <v>34</v>
      </c>
      <c r="O276" s="7" t="s">
        <v>34</v>
      </c>
      <c r="P276" s="7" t="s">
        <v>34</v>
      </c>
      <c r="Q276" s="7" t="s">
        <v>34</v>
      </c>
      <c r="R276" s="7" t="s">
        <v>34</v>
      </c>
      <c r="S276" s="7" t="s">
        <v>34</v>
      </c>
      <c r="T276" s="7" t="s">
        <v>34</v>
      </c>
      <c r="U276" s="7" t="s">
        <v>32</v>
      </c>
      <c r="V276" s="7">
        <v>1</v>
      </c>
      <c r="W276" s="7" t="s">
        <v>32</v>
      </c>
      <c r="X276" s="7" t="s">
        <v>32</v>
      </c>
      <c r="Y276" s="7" t="s">
        <v>32</v>
      </c>
      <c r="Z276" s="7" t="s">
        <v>32</v>
      </c>
      <c r="AA276" s="7">
        <v>17008144</v>
      </c>
      <c r="AB276" s="7">
        <v>1</v>
      </c>
      <c r="AC276" s="7"/>
      <c r="AD276" s="7">
        <v>3</v>
      </c>
      <c r="AE276" s="7">
        <f t="shared" si="19"/>
        <v>47</v>
      </c>
      <c r="AF276" s="7">
        <v>28</v>
      </c>
      <c r="AG276" s="7">
        <v>19</v>
      </c>
      <c r="AH276" s="7" t="s">
        <v>2845</v>
      </c>
      <c r="AI276" s="7" t="s">
        <v>2845</v>
      </c>
      <c r="AJ276" s="7">
        <v>72.900000000000006</v>
      </c>
      <c r="AK276" s="7">
        <v>6</v>
      </c>
      <c r="AL276" s="7">
        <v>72.7</v>
      </c>
      <c r="AM276" s="7">
        <v>6.3</v>
      </c>
      <c r="AN276" s="7" t="s">
        <v>3295</v>
      </c>
      <c r="AO276" s="7" t="s">
        <v>1770</v>
      </c>
      <c r="AP276" s="7" t="s">
        <v>3294</v>
      </c>
      <c r="AQ276" s="7" t="s">
        <v>3255</v>
      </c>
      <c r="AR276" s="7" t="s">
        <v>1646</v>
      </c>
      <c r="AS276" s="7" t="s">
        <v>3113</v>
      </c>
      <c r="AT276" s="7" t="s">
        <v>1646</v>
      </c>
      <c r="AU276" s="7" t="s">
        <v>3119</v>
      </c>
      <c r="AV276" s="7" t="s">
        <v>2848</v>
      </c>
      <c r="AW276" s="7">
        <v>45</v>
      </c>
      <c r="AX276" s="7">
        <v>46</v>
      </c>
      <c r="AY276" s="7" t="s">
        <v>3331</v>
      </c>
      <c r="AZ276" s="7">
        <v>9.57</v>
      </c>
      <c r="BA276" s="7">
        <v>3.8</v>
      </c>
      <c r="BB276" s="7"/>
      <c r="BC276" s="7" t="s">
        <v>3332</v>
      </c>
      <c r="BD276" s="7">
        <v>10.78</v>
      </c>
      <c r="BE276" s="7">
        <v>2.2999999999999998</v>
      </c>
      <c r="BF276" s="7"/>
    </row>
    <row r="277" spans="1:59" x14ac:dyDescent="0.2">
      <c r="A277" s="7">
        <v>81</v>
      </c>
      <c r="B277" s="7" t="s">
        <v>566</v>
      </c>
      <c r="C277" s="7" t="s">
        <v>567</v>
      </c>
      <c r="D277" s="7" t="s">
        <v>568</v>
      </c>
      <c r="E277" s="7" t="s">
        <v>569</v>
      </c>
      <c r="F277" s="7" t="s">
        <v>468</v>
      </c>
      <c r="G277" s="7">
        <v>2006</v>
      </c>
      <c r="H277" s="8">
        <v>38990</v>
      </c>
      <c r="I277" s="7" t="s">
        <v>32</v>
      </c>
      <c r="J277" s="7" t="s">
        <v>32</v>
      </c>
      <c r="K277" s="7" t="s">
        <v>570</v>
      </c>
      <c r="L277" s="7">
        <v>1</v>
      </c>
      <c r="M277" s="7" t="s">
        <v>32</v>
      </c>
      <c r="N277" s="7" t="s">
        <v>34</v>
      </c>
      <c r="O277" s="7" t="s">
        <v>34</v>
      </c>
      <c r="P277" s="7" t="s">
        <v>34</v>
      </c>
      <c r="Q277" s="7" t="s">
        <v>34</v>
      </c>
      <c r="R277" s="7" t="s">
        <v>34</v>
      </c>
      <c r="S277" s="7" t="s">
        <v>34</v>
      </c>
      <c r="T277" s="7" t="s">
        <v>34</v>
      </c>
      <c r="U277" s="7" t="s">
        <v>32</v>
      </c>
      <c r="V277" s="7">
        <v>1</v>
      </c>
      <c r="W277" s="7" t="s">
        <v>32</v>
      </c>
      <c r="X277" s="7" t="s">
        <v>32</v>
      </c>
      <c r="Y277" s="7" t="s">
        <v>32</v>
      </c>
      <c r="Z277" s="7" t="s">
        <v>32</v>
      </c>
      <c r="AA277" s="7">
        <v>17008144</v>
      </c>
      <c r="AB277" s="7">
        <v>1</v>
      </c>
      <c r="AC277" s="7"/>
      <c r="AD277" s="7">
        <v>3</v>
      </c>
      <c r="AE277" s="7">
        <f>AF277+AG277</f>
        <v>47</v>
      </c>
      <c r="AF277" s="7">
        <v>28</v>
      </c>
      <c r="AG277" s="7">
        <v>19</v>
      </c>
      <c r="AH277" s="7" t="s">
        <v>2845</v>
      </c>
      <c r="AI277" s="7" t="s">
        <v>2845</v>
      </c>
      <c r="AJ277" s="7">
        <v>72.900000000000006</v>
      </c>
      <c r="AK277" s="7">
        <v>6</v>
      </c>
      <c r="AL277" s="7">
        <v>76.400000000000006</v>
      </c>
      <c r="AM277" s="7">
        <v>6.8</v>
      </c>
      <c r="AN277" s="7" t="s">
        <v>3295</v>
      </c>
      <c r="AO277" s="7" t="s">
        <v>1638</v>
      </c>
      <c r="AP277" s="7" t="s">
        <v>3294</v>
      </c>
      <c r="AQ277" s="7" t="s">
        <v>3255</v>
      </c>
      <c r="AR277" s="7" t="s">
        <v>1646</v>
      </c>
      <c r="AS277" s="7" t="s">
        <v>3113</v>
      </c>
      <c r="AT277" s="7" t="s">
        <v>1646</v>
      </c>
      <c r="AU277" s="7" t="s">
        <v>3296</v>
      </c>
      <c r="AV277" s="7" t="s">
        <v>2848</v>
      </c>
      <c r="AW277" s="7">
        <v>45</v>
      </c>
      <c r="AX277" s="7">
        <v>47</v>
      </c>
      <c r="AY277" s="7" t="s">
        <v>3319</v>
      </c>
      <c r="AZ277" s="7">
        <v>6.43</v>
      </c>
      <c r="BA277" s="7">
        <v>2.4</v>
      </c>
      <c r="BB277" s="7"/>
      <c r="BC277" s="7" t="s">
        <v>3333</v>
      </c>
      <c r="BD277" s="7">
        <v>6.79</v>
      </c>
      <c r="BE277" s="7">
        <v>2.2999999999999998</v>
      </c>
      <c r="BF277" s="7"/>
    </row>
    <row r="278" spans="1:59" x14ac:dyDescent="0.2">
      <c r="A278" s="7">
        <v>81</v>
      </c>
      <c r="B278" s="7" t="s">
        <v>566</v>
      </c>
      <c r="C278" s="7" t="s">
        <v>567</v>
      </c>
      <c r="D278" s="7" t="s">
        <v>568</v>
      </c>
      <c r="E278" s="7" t="s">
        <v>569</v>
      </c>
      <c r="F278" s="7" t="s">
        <v>468</v>
      </c>
      <c r="G278" s="7">
        <v>2006</v>
      </c>
      <c r="H278" s="8">
        <v>38990</v>
      </c>
      <c r="I278" s="7" t="s">
        <v>32</v>
      </c>
      <c r="J278" s="7" t="s">
        <v>32</v>
      </c>
      <c r="K278" s="7" t="s">
        <v>570</v>
      </c>
      <c r="L278" s="7">
        <v>1</v>
      </c>
      <c r="M278" s="7" t="s">
        <v>32</v>
      </c>
      <c r="N278" s="7" t="s">
        <v>34</v>
      </c>
      <c r="O278" s="7" t="s">
        <v>34</v>
      </c>
      <c r="P278" s="7" t="s">
        <v>34</v>
      </c>
      <c r="Q278" s="7" t="s">
        <v>34</v>
      </c>
      <c r="R278" s="7" t="s">
        <v>34</v>
      </c>
      <c r="S278" s="7" t="s">
        <v>34</v>
      </c>
      <c r="T278" s="7" t="s">
        <v>34</v>
      </c>
      <c r="U278" s="7" t="s">
        <v>32</v>
      </c>
      <c r="V278" s="7">
        <v>1</v>
      </c>
      <c r="W278" s="7" t="s">
        <v>32</v>
      </c>
      <c r="X278" s="7" t="s">
        <v>32</v>
      </c>
      <c r="Y278" s="7" t="s">
        <v>32</v>
      </c>
      <c r="Z278" s="7" t="s">
        <v>32</v>
      </c>
      <c r="AA278" s="7">
        <v>17008144</v>
      </c>
      <c r="AB278" s="7">
        <v>1</v>
      </c>
      <c r="AC278" s="7"/>
      <c r="AD278" s="7">
        <v>3</v>
      </c>
      <c r="AE278" s="7">
        <f t="shared" ref="AE278:AE283" si="20">AF278+AG278</f>
        <v>47</v>
      </c>
      <c r="AF278" s="7">
        <v>28</v>
      </c>
      <c r="AG278" s="7">
        <v>19</v>
      </c>
      <c r="AH278" s="7" t="s">
        <v>2845</v>
      </c>
      <c r="AI278" s="7" t="s">
        <v>2845</v>
      </c>
      <c r="AJ278" s="7">
        <v>72.900000000000006</v>
      </c>
      <c r="AK278" s="7">
        <v>6</v>
      </c>
      <c r="AL278" s="7">
        <v>76.400000000000006</v>
      </c>
      <c r="AM278" s="7">
        <v>6.8</v>
      </c>
      <c r="AN278" s="7" t="s">
        <v>3295</v>
      </c>
      <c r="AO278" s="7" t="s">
        <v>1638</v>
      </c>
      <c r="AP278" s="7" t="s">
        <v>3294</v>
      </c>
      <c r="AQ278" s="7" t="s">
        <v>3255</v>
      </c>
      <c r="AR278" s="7" t="s">
        <v>1646</v>
      </c>
      <c r="AS278" s="7" t="s">
        <v>3113</v>
      </c>
      <c r="AT278" s="7" t="s">
        <v>1646</v>
      </c>
      <c r="AU278" s="7" t="s">
        <v>2952</v>
      </c>
      <c r="AV278" s="7" t="s">
        <v>2848</v>
      </c>
      <c r="AW278" s="7">
        <v>45</v>
      </c>
      <c r="AX278" s="7">
        <v>47</v>
      </c>
      <c r="AY278" s="7" t="s">
        <v>3321</v>
      </c>
      <c r="AZ278" s="7">
        <v>46.1</v>
      </c>
      <c r="BA278" s="7">
        <v>11.8</v>
      </c>
      <c r="BB278" s="7"/>
      <c r="BC278" s="7" t="s">
        <v>3334</v>
      </c>
      <c r="BD278" s="7">
        <v>49</v>
      </c>
      <c r="BE278" s="7">
        <v>12.7</v>
      </c>
      <c r="BF278" s="7"/>
    </row>
    <row r="279" spans="1:59" x14ac:dyDescent="0.2">
      <c r="A279" s="7">
        <v>81</v>
      </c>
      <c r="B279" s="7" t="s">
        <v>566</v>
      </c>
      <c r="C279" s="7" t="s">
        <v>567</v>
      </c>
      <c r="D279" s="7" t="s">
        <v>568</v>
      </c>
      <c r="E279" s="7" t="s">
        <v>569</v>
      </c>
      <c r="F279" s="7" t="s">
        <v>468</v>
      </c>
      <c r="G279" s="7">
        <v>2006</v>
      </c>
      <c r="H279" s="8">
        <v>38990</v>
      </c>
      <c r="I279" s="7" t="s">
        <v>32</v>
      </c>
      <c r="J279" s="7" t="s">
        <v>32</v>
      </c>
      <c r="K279" s="7" t="s">
        <v>570</v>
      </c>
      <c r="L279" s="7">
        <v>1</v>
      </c>
      <c r="M279" s="7" t="s">
        <v>32</v>
      </c>
      <c r="N279" s="7" t="s">
        <v>34</v>
      </c>
      <c r="O279" s="7" t="s">
        <v>34</v>
      </c>
      <c r="P279" s="7" t="s">
        <v>34</v>
      </c>
      <c r="Q279" s="7" t="s">
        <v>34</v>
      </c>
      <c r="R279" s="7" t="s">
        <v>34</v>
      </c>
      <c r="S279" s="7" t="s">
        <v>34</v>
      </c>
      <c r="T279" s="7" t="s">
        <v>34</v>
      </c>
      <c r="U279" s="7" t="s">
        <v>32</v>
      </c>
      <c r="V279" s="7">
        <v>1</v>
      </c>
      <c r="W279" s="7" t="s">
        <v>32</v>
      </c>
      <c r="X279" s="7" t="s">
        <v>32</v>
      </c>
      <c r="Y279" s="7" t="s">
        <v>32</v>
      </c>
      <c r="Z279" s="7" t="s">
        <v>32</v>
      </c>
      <c r="AA279" s="7">
        <v>17008144</v>
      </c>
      <c r="AB279" s="7">
        <v>1</v>
      </c>
      <c r="AC279" s="7"/>
      <c r="AD279" s="7">
        <v>3</v>
      </c>
      <c r="AE279" s="7">
        <f t="shared" si="20"/>
        <v>47</v>
      </c>
      <c r="AF279" s="7">
        <v>28</v>
      </c>
      <c r="AG279" s="7">
        <v>19</v>
      </c>
      <c r="AH279" s="7" t="s">
        <v>2845</v>
      </c>
      <c r="AI279" s="7" t="s">
        <v>2845</v>
      </c>
      <c r="AJ279" s="7">
        <v>72.900000000000006</v>
      </c>
      <c r="AK279" s="7">
        <v>6</v>
      </c>
      <c r="AL279" s="7">
        <v>76.400000000000006</v>
      </c>
      <c r="AM279" s="7">
        <v>6.8</v>
      </c>
      <c r="AN279" s="7" t="s">
        <v>3295</v>
      </c>
      <c r="AO279" s="7" t="s">
        <v>1638</v>
      </c>
      <c r="AP279" s="7" t="s">
        <v>3294</v>
      </c>
      <c r="AQ279" s="7" t="s">
        <v>3255</v>
      </c>
      <c r="AR279" s="7" t="s">
        <v>1646</v>
      </c>
      <c r="AS279" s="7" t="s">
        <v>3113</v>
      </c>
      <c r="AT279" s="7" t="s">
        <v>1646</v>
      </c>
      <c r="AU279" s="7" t="s">
        <v>2957</v>
      </c>
      <c r="AV279" s="7" t="s">
        <v>2848</v>
      </c>
      <c r="AW279" s="7">
        <v>45</v>
      </c>
      <c r="AX279" s="7">
        <v>47</v>
      </c>
      <c r="AY279" s="7" t="s">
        <v>3323</v>
      </c>
      <c r="AZ279" s="7">
        <v>6.07</v>
      </c>
      <c r="BA279" s="7">
        <v>2.1</v>
      </c>
      <c r="BB279" s="7"/>
      <c r="BC279" s="7" t="s">
        <v>3335</v>
      </c>
      <c r="BD279" s="7">
        <v>6.31</v>
      </c>
      <c r="BE279" s="7">
        <v>2.5</v>
      </c>
      <c r="BF279" s="7"/>
    </row>
    <row r="280" spans="1:59" x14ac:dyDescent="0.2">
      <c r="A280" s="7">
        <v>81</v>
      </c>
      <c r="B280" s="7" t="s">
        <v>566</v>
      </c>
      <c r="C280" s="7" t="s">
        <v>567</v>
      </c>
      <c r="D280" s="7" t="s">
        <v>568</v>
      </c>
      <c r="E280" s="7" t="s">
        <v>569</v>
      </c>
      <c r="F280" s="7" t="s">
        <v>468</v>
      </c>
      <c r="G280" s="7">
        <v>2006</v>
      </c>
      <c r="H280" s="8">
        <v>38990</v>
      </c>
      <c r="I280" s="7" t="s">
        <v>32</v>
      </c>
      <c r="J280" s="7" t="s">
        <v>32</v>
      </c>
      <c r="K280" s="7" t="s">
        <v>570</v>
      </c>
      <c r="L280" s="7">
        <v>1</v>
      </c>
      <c r="M280" s="7" t="s">
        <v>32</v>
      </c>
      <c r="N280" s="7" t="s">
        <v>34</v>
      </c>
      <c r="O280" s="7" t="s">
        <v>34</v>
      </c>
      <c r="P280" s="7" t="s">
        <v>34</v>
      </c>
      <c r="Q280" s="7" t="s">
        <v>34</v>
      </c>
      <c r="R280" s="7" t="s">
        <v>34</v>
      </c>
      <c r="S280" s="7" t="s">
        <v>34</v>
      </c>
      <c r="T280" s="7" t="s">
        <v>34</v>
      </c>
      <c r="U280" s="7" t="s">
        <v>32</v>
      </c>
      <c r="V280" s="7">
        <v>1</v>
      </c>
      <c r="W280" s="7" t="s">
        <v>32</v>
      </c>
      <c r="X280" s="7" t="s">
        <v>32</v>
      </c>
      <c r="Y280" s="7" t="s">
        <v>32</v>
      </c>
      <c r="Z280" s="7" t="s">
        <v>32</v>
      </c>
      <c r="AA280" s="7">
        <v>17008144</v>
      </c>
      <c r="AB280" s="7">
        <v>1</v>
      </c>
      <c r="AC280" s="7"/>
      <c r="AD280" s="7">
        <v>3</v>
      </c>
      <c r="AE280" s="7">
        <f t="shared" si="20"/>
        <v>47</v>
      </c>
      <c r="AF280" s="7">
        <v>28</v>
      </c>
      <c r="AG280" s="7">
        <v>19</v>
      </c>
      <c r="AH280" s="7" t="s">
        <v>2845</v>
      </c>
      <c r="AI280" s="7" t="s">
        <v>2845</v>
      </c>
      <c r="AJ280" s="7">
        <v>72.900000000000006</v>
      </c>
      <c r="AK280" s="7">
        <v>6</v>
      </c>
      <c r="AL280" s="7">
        <v>76.400000000000006</v>
      </c>
      <c r="AM280" s="7">
        <v>6.8</v>
      </c>
      <c r="AN280" s="7" t="s">
        <v>3295</v>
      </c>
      <c r="AO280" s="7" t="s">
        <v>1638</v>
      </c>
      <c r="AP280" s="7" t="s">
        <v>3294</v>
      </c>
      <c r="AQ280" s="7" t="s">
        <v>3255</v>
      </c>
      <c r="AR280" s="7" t="s">
        <v>1646</v>
      </c>
      <c r="AS280" s="7" t="s">
        <v>3113</v>
      </c>
      <c r="AT280" s="7" t="s">
        <v>1646</v>
      </c>
      <c r="AU280" s="7" t="s">
        <v>3118</v>
      </c>
      <c r="AV280" s="7" t="s">
        <v>2848</v>
      </c>
      <c r="AW280" s="7">
        <v>45</v>
      </c>
      <c r="AX280" s="7">
        <v>47</v>
      </c>
      <c r="AY280" s="7" t="s">
        <v>3325</v>
      </c>
      <c r="AZ280" s="7">
        <v>8.7899999999999991</v>
      </c>
      <c r="BA280" s="7">
        <v>3.4</v>
      </c>
      <c r="BB280" s="7"/>
      <c r="BC280" s="7" t="s">
        <v>3336</v>
      </c>
      <c r="BD280" s="7">
        <v>8.84</v>
      </c>
      <c r="BE280" s="7">
        <v>4.2</v>
      </c>
      <c r="BF280" s="7"/>
    </row>
    <row r="281" spans="1:59" x14ac:dyDescent="0.2">
      <c r="A281" s="7">
        <v>81</v>
      </c>
      <c r="B281" s="7" t="s">
        <v>566</v>
      </c>
      <c r="C281" s="7" t="s">
        <v>567</v>
      </c>
      <c r="D281" s="7" t="s">
        <v>568</v>
      </c>
      <c r="E281" s="7" t="s">
        <v>569</v>
      </c>
      <c r="F281" s="7" t="s">
        <v>468</v>
      </c>
      <c r="G281" s="7">
        <v>2006</v>
      </c>
      <c r="H281" s="8">
        <v>38990</v>
      </c>
      <c r="I281" s="7" t="s">
        <v>32</v>
      </c>
      <c r="J281" s="7" t="s">
        <v>32</v>
      </c>
      <c r="K281" s="7" t="s">
        <v>570</v>
      </c>
      <c r="L281" s="7">
        <v>1</v>
      </c>
      <c r="M281" s="7" t="s">
        <v>32</v>
      </c>
      <c r="N281" s="7" t="s">
        <v>34</v>
      </c>
      <c r="O281" s="7" t="s">
        <v>34</v>
      </c>
      <c r="P281" s="7" t="s">
        <v>34</v>
      </c>
      <c r="Q281" s="7" t="s">
        <v>34</v>
      </c>
      <c r="R281" s="7" t="s">
        <v>34</v>
      </c>
      <c r="S281" s="7" t="s">
        <v>34</v>
      </c>
      <c r="T281" s="7" t="s">
        <v>34</v>
      </c>
      <c r="U281" s="7" t="s">
        <v>32</v>
      </c>
      <c r="V281" s="7">
        <v>1</v>
      </c>
      <c r="W281" s="7" t="s">
        <v>32</v>
      </c>
      <c r="X281" s="7" t="s">
        <v>32</v>
      </c>
      <c r="Y281" s="7" t="s">
        <v>32</v>
      </c>
      <c r="Z281" s="7" t="s">
        <v>32</v>
      </c>
      <c r="AA281" s="7">
        <v>17008144</v>
      </c>
      <c r="AB281" s="7">
        <v>1</v>
      </c>
      <c r="AC281" s="7"/>
      <c r="AD281" s="7">
        <v>3</v>
      </c>
      <c r="AE281" s="7">
        <f t="shared" si="20"/>
        <v>47</v>
      </c>
      <c r="AF281" s="7">
        <v>28</v>
      </c>
      <c r="AG281" s="7">
        <v>19</v>
      </c>
      <c r="AH281" s="7" t="s">
        <v>2845</v>
      </c>
      <c r="AI281" s="7" t="s">
        <v>2845</v>
      </c>
      <c r="AJ281" s="7">
        <v>72.900000000000006</v>
      </c>
      <c r="AK281" s="7">
        <v>6</v>
      </c>
      <c r="AL281" s="7">
        <v>76.400000000000006</v>
      </c>
      <c r="AM281" s="7">
        <v>6.8</v>
      </c>
      <c r="AN281" s="7" t="s">
        <v>3295</v>
      </c>
      <c r="AO281" s="7" t="s">
        <v>1638</v>
      </c>
      <c r="AP281" s="7" t="s">
        <v>3294</v>
      </c>
      <c r="AQ281" s="7" t="s">
        <v>3255</v>
      </c>
      <c r="AR281" s="7" t="s">
        <v>1646</v>
      </c>
      <c r="AS281" s="7" t="s">
        <v>3113</v>
      </c>
      <c r="AT281" s="7" t="s">
        <v>1646</v>
      </c>
      <c r="AU281" s="7" t="s">
        <v>2958</v>
      </c>
      <c r="AV281" s="7" t="s">
        <v>2848</v>
      </c>
      <c r="AW281" s="7">
        <v>45</v>
      </c>
      <c r="AX281" s="7">
        <v>47</v>
      </c>
      <c r="AY281" s="7" t="s">
        <v>3327</v>
      </c>
      <c r="AZ281" s="7">
        <v>8.5</v>
      </c>
      <c r="BA281" s="7">
        <v>3.6</v>
      </c>
      <c r="BB281" s="7"/>
      <c r="BC281" s="7" t="s">
        <v>3337</v>
      </c>
      <c r="BD281" s="7">
        <v>10</v>
      </c>
      <c r="BE281" s="7">
        <v>4.2</v>
      </c>
      <c r="BF281" s="7"/>
    </row>
    <row r="282" spans="1:59" x14ac:dyDescent="0.2">
      <c r="A282" s="7">
        <v>81</v>
      </c>
      <c r="B282" s="7" t="s">
        <v>566</v>
      </c>
      <c r="C282" s="7" t="s">
        <v>567</v>
      </c>
      <c r="D282" s="7" t="s">
        <v>568</v>
      </c>
      <c r="E282" s="7" t="s">
        <v>569</v>
      </c>
      <c r="F282" s="7" t="s">
        <v>468</v>
      </c>
      <c r="G282" s="7">
        <v>2006</v>
      </c>
      <c r="H282" s="8">
        <v>38990</v>
      </c>
      <c r="I282" s="7" t="s">
        <v>32</v>
      </c>
      <c r="J282" s="7" t="s">
        <v>32</v>
      </c>
      <c r="K282" s="7" t="s">
        <v>570</v>
      </c>
      <c r="L282" s="7">
        <v>1</v>
      </c>
      <c r="M282" s="7" t="s">
        <v>32</v>
      </c>
      <c r="N282" s="7" t="s">
        <v>34</v>
      </c>
      <c r="O282" s="7" t="s">
        <v>34</v>
      </c>
      <c r="P282" s="7" t="s">
        <v>34</v>
      </c>
      <c r="Q282" s="7" t="s">
        <v>34</v>
      </c>
      <c r="R282" s="7" t="s">
        <v>34</v>
      </c>
      <c r="S282" s="7" t="s">
        <v>34</v>
      </c>
      <c r="T282" s="7" t="s">
        <v>34</v>
      </c>
      <c r="U282" s="7" t="s">
        <v>32</v>
      </c>
      <c r="V282" s="7">
        <v>1</v>
      </c>
      <c r="W282" s="7" t="s">
        <v>32</v>
      </c>
      <c r="X282" s="7" t="s">
        <v>32</v>
      </c>
      <c r="Y282" s="7" t="s">
        <v>32</v>
      </c>
      <c r="Z282" s="7" t="s">
        <v>32</v>
      </c>
      <c r="AA282" s="7">
        <v>17008144</v>
      </c>
      <c r="AB282" s="7">
        <v>1</v>
      </c>
      <c r="AC282" s="7"/>
      <c r="AD282" s="7">
        <v>3</v>
      </c>
      <c r="AE282" s="7">
        <f t="shared" si="20"/>
        <v>47</v>
      </c>
      <c r="AF282" s="7">
        <v>28</v>
      </c>
      <c r="AG282" s="7">
        <v>19</v>
      </c>
      <c r="AH282" s="7" t="s">
        <v>2845</v>
      </c>
      <c r="AI282" s="7" t="s">
        <v>2845</v>
      </c>
      <c r="AJ282" s="7">
        <v>72.900000000000006</v>
      </c>
      <c r="AK282" s="7">
        <v>6</v>
      </c>
      <c r="AL282" s="7">
        <v>76.400000000000006</v>
      </c>
      <c r="AM282" s="7">
        <v>6.8</v>
      </c>
      <c r="AN282" s="7" t="s">
        <v>3295</v>
      </c>
      <c r="AO282" s="7" t="s">
        <v>1638</v>
      </c>
      <c r="AP282" s="7" t="s">
        <v>3294</v>
      </c>
      <c r="AQ282" s="7" t="s">
        <v>3255</v>
      </c>
      <c r="AR282" s="7" t="s">
        <v>1646</v>
      </c>
      <c r="AS282" s="7" t="s">
        <v>3113</v>
      </c>
      <c r="AT282" s="7" t="s">
        <v>1646</v>
      </c>
      <c r="AU282" s="7" t="s">
        <v>3297</v>
      </c>
      <c r="AV282" s="7" t="s">
        <v>2848</v>
      </c>
      <c r="AW282" s="7">
        <v>45</v>
      </c>
      <c r="AX282" s="7">
        <v>47</v>
      </c>
      <c r="AY282" s="7" t="s">
        <v>3329</v>
      </c>
      <c r="AZ282" s="7">
        <v>9.57</v>
      </c>
      <c r="BA282" s="7">
        <v>3.2</v>
      </c>
      <c r="BB282" s="7"/>
      <c r="BC282" s="7" t="s">
        <v>3338</v>
      </c>
      <c r="BD282" s="7">
        <v>10.199999999999999</v>
      </c>
      <c r="BE282" s="7">
        <v>3.2</v>
      </c>
      <c r="BF282" s="7"/>
    </row>
    <row r="283" spans="1:59" x14ac:dyDescent="0.2">
      <c r="A283" s="7">
        <v>81</v>
      </c>
      <c r="B283" s="7" t="s">
        <v>566</v>
      </c>
      <c r="C283" s="7" t="s">
        <v>567</v>
      </c>
      <c r="D283" s="7" t="s">
        <v>568</v>
      </c>
      <c r="E283" s="7" t="s">
        <v>569</v>
      </c>
      <c r="F283" s="7" t="s">
        <v>468</v>
      </c>
      <c r="G283" s="7">
        <v>2006</v>
      </c>
      <c r="H283" s="8">
        <v>38990</v>
      </c>
      <c r="I283" s="7" t="s">
        <v>32</v>
      </c>
      <c r="J283" s="7" t="s">
        <v>32</v>
      </c>
      <c r="K283" s="7" t="s">
        <v>570</v>
      </c>
      <c r="L283" s="7">
        <v>1</v>
      </c>
      <c r="M283" s="7" t="s">
        <v>32</v>
      </c>
      <c r="N283" s="7" t="s">
        <v>34</v>
      </c>
      <c r="O283" s="7" t="s">
        <v>34</v>
      </c>
      <c r="P283" s="7" t="s">
        <v>34</v>
      </c>
      <c r="Q283" s="7" t="s">
        <v>34</v>
      </c>
      <c r="R283" s="7" t="s">
        <v>34</v>
      </c>
      <c r="S283" s="7" t="s">
        <v>34</v>
      </c>
      <c r="T283" s="7" t="s">
        <v>34</v>
      </c>
      <c r="U283" s="7" t="s">
        <v>32</v>
      </c>
      <c r="V283" s="7">
        <v>1</v>
      </c>
      <c r="W283" s="7" t="s">
        <v>32</v>
      </c>
      <c r="X283" s="7" t="s">
        <v>32</v>
      </c>
      <c r="Y283" s="7" t="s">
        <v>32</v>
      </c>
      <c r="Z283" s="7" t="s">
        <v>32</v>
      </c>
      <c r="AA283" s="7">
        <v>17008144</v>
      </c>
      <c r="AB283" s="7">
        <v>1</v>
      </c>
      <c r="AC283" s="7"/>
      <c r="AD283" s="7">
        <v>3</v>
      </c>
      <c r="AE283" s="7">
        <f t="shared" si="20"/>
        <v>47</v>
      </c>
      <c r="AF283" s="7">
        <v>28</v>
      </c>
      <c r="AG283" s="7">
        <v>19</v>
      </c>
      <c r="AH283" s="7" t="s">
        <v>2845</v>
      </c>
      <c r="AI283" s="7" t="s">
        <v>2845</v>
      </c>
      <c r="AJ283" s="7">
        <v>72.900000000000006</v>
      </c>
      <c r="AK283" s="7">
        <v>6</v>
      </c>
      <c r="AL283" s="7">
        <v>76.400000000000006</v>
      </c>
      <c r="AM283" s="7">
        <v>6.8</v>
      </c>
      <c r="AN283" s="7" t="s">
        <v>3295</v>
      </c>
      <c r="AO283" s="7" t="s">
        <v>1638</v>
      </c>
      <c r="AP283" s="7" t="s">
        <v>3294</v>
      </c>
      <c r="AQ283" s="7" t="s">
        <v>3255</v>
      </c>
      <c r="AR283" s="7" t="s">
        <v>1646</v>
      </c>
      <c r="AS283" s="7" t="s">
        <v>3113</v>
      </c>
      <c r="AT283" s="7" t="s">
        <v>1646</v>
      </c>
      <c r="AU283" s="7" t="s">
        <v>3119</v>
      </c>
      <c r="AV283" s="7" t="s">
        <v>2848</v>
      </c>
      <c r="AW283" s="7">
        <v>45</v>
      </c>
      <c r="AX283" s="7">
        <v>47</v>
      </c>
      <c r="AY283" s="7" t="s">
        <v>3331</v>
      </c>
      <c r="AZ283" s="7">
        <v>9.57</v>
      </c>
      <c r="BA283" s="7">
        <v>3.8</v>
      </c>
      <c r="BB283" s="7"/>
      <c r="BC283" s="7" t="s">
        <v>3339</v>
      </c>
      <c r="BD283" s="7">
        <v>10.47</v>
      </c>
      <c r="BE283" s="7">
        <v>3.7</v>
      </c>
      <c r="BF283" s="7"/>
    </row>
    <row r="284" spans="1:59" s="56" customFormat="1" x14ac:dyDescent="0.2">
      <c r="A284" s="21">
        <v>82</v>
      </c>
      <c r="B284" s="21" t="s">
        <v>571</v>
      </c>
      <c r="C284" s="21" t="s">
        <v>572</v>
      </c>
      <c r="D284" s="21" t="s">
        <v>573</v>
      </c>
      <c r="E284" s="21" t="s">
        <v>574</v>
      </c>
      <c r="F284" s="21" t="s">
        <v>575</v>
      </c>
      <c r="G284" s="21">
        <v>2007</v>
      </c>
      <c r="H284" s="70">
        <v>38941</v>
      </c>
      <c r="I284" s="21" t="s">
        <v>32</v>
      </c>
      <c r="J284" s="21" t="s">
        <v>32</v>
      </c>
      <c r="K284" s="21" t="s">
        <v>576</v>
      </c>
      <c r="L284" s="21">
        <v>1</v>
      </c>
      <c r="M284" s="21" t="s">
        <v>32</v>
      </c>
      <c r="N284" s="21" t="s">
        <v>34</v>
      </c>
      <c r="O284" s="21" t="s">
        <v>34</v>
      </c>
      <c r="P284" s="21" t="s">
        <v>34</v>
      </c>
      <c r="Q284" s="21" t="s">
        <v>34</v>
      </c>
      <c r="R284" s="21" t="s">
        <v>577</v>
      </c>
      <c r="S284" s="21" t="s">
        <v>34</v>
      </c>
      <c r="T284" s="21" t="s">
        <v>34</v>
      </c>
      <c r="U284" s="21" t="s">
        <v>34</v>
      </c>
      <c r="V284" s="21">
        <v>1</v>
      </c>
      <c r="W284" s="21" t="s">
        <v>32</v>
      </c>
      <c r="X284" s="21">
        <v>0</v>
      </c>
      <c r="Y284" s="21" t="s">
        <v>578</v>
      </c>
      <c r="Z284" s="21" t="s">
        <v>579</v>
      </c>
      <c r="AA284" s="21">
        <v>16901721</v>
      </c>
      <c r="AB284" s="21">
        <v>1</v>
      </c>
      <c r="AC284" s="21"/>
      <c r="AD284" s="21">
        <v>3</v>
      </c>
      <c r="AE284" s="21">
        <f t="shared" ref="AE284:AE294" si="21">AF284+AG284</f>
        <v>100</v>
      </c>
      <c r="AF284" s="21">
        <v>50</v>
      </c>
      <c r="AG284" s="21">
        <v>50</v>
      </c>
      <c r="AH284" s="21" t="s">
        <v>2845</v>
      </c>
      <c r="AI284" s="21" t="s">
        <v>2845</v>
      </c>
      <c r="AJ284" s="21">
        <v>42.6</v>
      </c>
      <c r="AK284" s="21">
        <v>5.2</v>
      </c>
      <c r="AL284" s="21">
        <v>38.5</v>
      </c>
      <c r="AM284" s="21">
        <v>6.8</v>
      </c>
      <c r="AN284" s="21" t="s">
        <v>3295</v>
      </c>
      <c r="AO284" s="21" t="s">
        <v>1770</v>
      </c>
      <c r="AP284" s="21" t="s">
        <v>3891</v>
      </c>
      <c r="AQ284" s="21" t="s">
        <v>3259</v>
      </c>
      <c r="AR284" s="21" t="s">
        <v>1646</v>
      </c>
      <c r="AS284" s="21" t="s">
        <v>3895</v>
      </c>
      <c r="AT284" s="21" t="s">
        <v>1646</v>
      </c>
      <c r="AU284" s="21" t="s">
        <v>3896</v>
      </c>
      <c r="AV284" s="21" t="s">
        <v>2907</v>
      </c>
      <c r="AW284" s="21">
        <v>46</v>
      </c>
      <c r="AX284" s="21">
        <v>48</v>
      </c>
      <c r="AY284" s="21" t="s">
        <v>3892</v>
      </c>
      <c r="AZ284" s="21">
        <v>0.57999999999999996</v>
      </c>
      <c r="BA284" s="21">
        <v>0.1</v>
      </c>
      <c r="BB284" s="21"/>
      <c r="BC284" s="21" t="s">
        <v>3892</v>
      </c>
      <c r="BD284" s="21">
        <v>0.66</v>
      </c>
      <c r="BE284" s="21">
        <v>0.1</v>
      </c>
      <c r="BF284" s="21"/>
      <c r="BG284" s="56" t="s">
        <v>3894</v>
      </c>
    </row>
    <row r="285" spans="1:59" s="56" customFormat="1" x14ac:dyDescent="0.2">
      <c r="A285" s="21">
        <v>82</v>
      </c>
      <c r="B285" s="21" t="s">
        <v>571</v>
      </c>
      <c r="C285" s="21" t="s">
        <v>572</v>
      </c>
      <c r="D285" s="21" t="s">
        <v>573</v>
      </c>
      <c r="E285" s="21" t="s">
        <v>574</v>
      </c>
      <c r="F285" s="21" t="s">
        <v>575</v>
      </c>
      <c r="G285" s="21">
        <v>2007</v>
      </c>
      <c r="H285" s="70">
        <v>38941</v>
      </c>
      <c r="I285" s="21" t="s">
        <v>32</v>
      </c>
      <c r="J285" s="21" t="s">
        <v>32</v>
      </c>
      <c r="K285" s="21" t="s">
        <v>576</v>
      </c>
      <c r="L285" s="21">
        <v>1</v>
      </c>
      <c r="M285" s="21" t="s">
        <v>32</v>
      </c>
      <c r="N285" s="21" t="s">
        <v>34</v>
      </c>
      <c r="O285" s="21" t="s">
        <v>34</v>
      </c>
      <c r="P285" s="21" t="s">
        <v>34</v>
      </c>
      <c r="Q285" s="21" t="s">
        <v>34</v>
      </c>
      <c r="R285" s="21" t="s">
        <v>577</v>
      </c>
      <c r="S285" s="21" t="s">
        <v>34</v>
      </c>
      <c r="T285" s="21" t="s">
        <v>34</v>
      </c>
      <c r="U285" s="21" t="s">
        <v>34</v>
      </c>
      <c r="V285" s="21">
        <v>1</v>
      </c>
      <c r="W285" s="21" t="s">
        <v>32</v>
      </c>
      <c r="X285" s="21">
        <v>0</v>
      </c>
      <c r="Y285" s="21" t="s">
        <v>578</v>
      </c>
      <c r="Z285" s="21" t="s">
        <v>579</v>
      </c>
      <c r="AA285" s="21">
        <v>16901721</v>
      </c>
      <c r="AB285" s="21">
        <v>1</v>
      </c>
      <c r="AC285" s="21"/>
      <c r="AD285" s="21">
        <v>3</v>
      </c>
      <c r="AE285" s="21">
        <f t="shared" ref="AE285" si="22">AF285+AG285</f>
        <v>100</v>
      </c>
      <c r="AF285" s="21">
        <v>50</v>
      </c>
      <c r="AG285" s="21">
        <v>50</v>
      </c>
      <c r="AH285" s="21" t="s">
        <v>2845</v>
      </c>
      <c r="AI285" s="21" t="s">
        <v>2845</v>
      </c>
      <c r="AJ285" s="21">
        <v>42.6</v>
      </c>
      <c r="AK285" s="21">
        <v>5.2</v>
      </c>
      <c r="AL285" s="21">
        <v>38.5</v>
      </c>
      <c r="AM285" s="21">
        <v>6.8</v>
      </c>
      <c r="AN285" s="21" t="s">
        <v>3295</v>
      </c>
      <c r="AO285" s="21" t="s">
        <v>1770</v>
      </c>
      <c r="AP285" s="21" t="s">
        <v>3891</v>
      </c>
      <c r="AQ285" s="21" t="s">
        <v>3259</v>
      </c>
      <c r="AR285" s="21" t="s">
        <v>1646</v>
      </c>
      <c r="AS285" s="21" t="s">
        <v>3895</v>
      </c>
      <c r="AT285" s="21" t="s">
        <v>1646</v>
      </c>
      <c r="AU285" s="21" t="s">
        <v>3897</v>
      </c>
      <c r="AV285" s="21" t="s">
        <v>2907</v>
      </c>
      <c r="AW285" s="21">
        <v>46</v>
      </c>
      <c r="AX285" s="21">
        <v>48</v>
      </c>
      <c r="AY285" s="21" t="s">
        <v>3893</v>
      </c>
      <c r="AZ285" s="21">
        <v>0.63</v>
      </c>
      <c r="BA285" s="21">
        <v>0.88</v>
      </c>
      <c r="BB285" s="21"/>
      <c r="BC285" s="21" t="s">
        <v>3893</v>
      </c>
      <c r="BD285" s="21">
        <v>0.72</v>
      </c>
      <c r="BE285" s="21">
        <v>0.09</v>
      </c>
      <c r="BF285" s="21"/>
    </row>
    <row r="286" spans="1:59" x14ac:dyDescent="0.2">
      <c r="A286" s="7">
        <v>83</v>
      </c>
      <c r="B286" s="7" t="s">
        <v>580</v>
      </c>
      <c r="C286" s="7" t="s">
        <v>581</v>
      </c>
      <c r="D286" s="7" t="s">
        <v>582</v>
      </c>
      <c r="E286" s="7" t="s">
        <v>583</v>
      </c>
      <c r="F286" s="7" t="s">
        <v>584</v>
      </c>
      <c r="G286" s="7">
        <v>2006</v>
      </c>
      <c r="H286" s="8">
        <v>38909</v>
      </c>
      <c r="I286" s="7" t="s">
        <v>32</v>
      </c>
      <c r="J286" s="7" t="s">
        <v>32</v>
      </c>
      <c r="K286" s="7" t="s">
        <v>585</v>
      </c>
      <c r="L286" s="7">
        <v>1</v>
      </c>
      <c r="M286" s="7" t="s">
        <v>32</v>
      </c>
      <c r="N286" s="7" t="s">
        <v>34</v>
      </c>
      <c r="O286" s="7" t="s">
        <v>34</v>
      </c>
      <c r="P286" s="7" t="s">
        <v>34</v>
      </c>
      <c r="Q286" s="7" t="s">
        <v>34</v>
      </c>
      <c r="R286" s="7" t="s">
        <v>34</v>
      </c>
      <c r="S286" s="7" t="s">
        <v>34</v>
      </c>
      <c r="T286" s="7" t="s">
        <v>34</v>
      </c>
      <c r="U286" s="7" t="s">
        <v>32</v>
      </c>
      <c r="V286" s="7">
        <v>1</v>
      </c>
      <c r="W286" s="7" t="s">
        <v>32</v>
      </c>
      <c r="X286" s="7" t="s">
        <v>32</v>
      </c>
      <c r="Y286" s="7" t="s">
        <v>32</v>
      </c>
      <c r="Z286" s="7" t="s">
        <v>32</v>
      </c>
      <c r="AA286" s="7">
        <v>16822734</v>
      </c>
      <c r="AB286" s="7">
        <v>1</v>
      </c>
      <c r="AC286" s="7"/>
      <c r="AD286" s="7">
        <v>3</v>
      </c>
      <c r="AE286" s="7">
        <f t="shared" si="21"/>
        <v>80</v>
      </c>
      <c r="AF286" s="7">
        <v>40</v>
      </c>
      <c r="AG286" s="7">
        <v>40</v>
      </c>
      <c r="AH286" s="7" t="s">
        <v>2845</v>
      </c>
      <c r="AI286" s="7" t="s">
        <v>2845</v>
      </c>
      <c r="AJ286" s="7">
        <v>34.92</v>
      </c>
      <c r="AK286" s="7">
        <v>9.74</v>
      </c>
      <c r="AL286" s="7">
        <v>31.68</v>
      </c>
      <c r="AM286" s="7">
        <v>9.44</v>
      </c>
      <c r="AN286" s="7" t="s">
        <v>2947</v>
      </c>
      <c r="AO286" s="7" t="s">
        <v>1638</v>
      </c>
      <c r="AP286" s="7" t="s">
        <v>3342</v>
      </c>
      <c r="AQ286" s="7" t="s">
        <v>3140</v>
      </c>
      <c r="AR286" s="7" t="s">
        <v>1646</v>
      </c>
      <c r="AS286" s="7" t="s">
        <v>3343</v>
      </c>
      <c r="AT286" s="7" t="s">
        <v>1646</v>
      </c>
      <c r="AU286" s="7" t="s">
        <v>3344</v>
      </c>
      <c r="AV286" s="7" t="s">
        <v>2848</v>
      </c>
      <c r="AW286" s="7">
        <v>47</v>
      </c>
      <c r="AX286" s="7">
        <v>49</v>
      </c>
      <c r="AY286" s="7" t="s">
        <v>3348</v>
      </c>
      <c r="AZ286" s="7">
        <v>4.2843999999999998</v>
      </c>
      <c r="BA286" s="7">
        <f>6.06252-AZ286</f>
        <v>1.7781200000000004</v>
      </c>
      <c r="BB286" s="7"/>
      <c r="BC286" s="7" t="s">
        <v>3352</v>
      </c>
      <c r="BD286" s="7">
        <v>5.4687400000000004</v>
      </c>
      <c r="BE286" s="7">
        <f>6.88211-BD286</f>
        <v>1.4133699999999996</v>
      </c>
      <c r="BF286" s="7"/>
    </row>
    <row r="287" spans="1:59" x14ac:dyDescent="0.2">
      <c r="A287" s="7">
        <v>83</v>
      </c>
      <c r="B287" s="7" t="s">
        <v>580</v>
      </c>
      <c r="C287" s="7" t="s">
        <v>581</v>
      </c>
      <c r="D287" s="7" t="s">
        <v>582</v>
      </c>
      <c r="E287" s="7" t="s">
        <v>583</v>
      </c>
      <c r="F287" s="7" t="s">
        <v>584</v>
      </c>
      <c r="G287" s="7">
        <v>2006</v>
      </c>
      <c r="H287" s="8">
        <v>38909</v>
      </c>
      <c r="I287" s="7" t="s">
        <v>32</v>
      </c>
      <c r="J287" s="7" t="s">
        <v>32</v>
      </c>
      <c r="K287" s="7" t="s">
        <v>585</v>
      </c>
      <c r="L287" s="7">
        <v>1</v>
      </c>
      <c r="M287" s="7" t="s">
        <v>32</v>
      </c>
      <c r="N287" s="7" t="s">
        <v>34</v>
      </c>
      <c r="O287" s="7" t="s">
        <v>34</v>
      </c>
      <c r="P287" s="7" t="s">
        <v>34</v>
      </c>
      <c r="Q287" s="7" t="s">
        <v>34</v>
      </c>
      <c r="R287" s="7" t="s">
        <v>34</v>
      </c>
      <c r="S287" s="7" t="s">
        <v>34</v>
      </c>
      <c r="T287" s="7" t="s">
        <v>34</v>
      </c>
      <c r="U287" s="7" t="s">
        <v>32</v>
      </c>
      <c r="V287" s="7">
        <v>1</v>
      </c>
      <c r="W287" s="7" t="s">
        <v>32</v>
      </c>
      <c r="X287" s="7" t="s">
        <v>32</v>
      </c>
      <c r="Y287" s="7" t="s">
        <v>32</v>
      </c>
      <c r="Z287" s="7" t="s">
        <v>32</v>
      </c>
      <c r="AA287" s="7">
        <v>16822734</v>
      </c>
      <c r="AB287" s="7">
        <v>1</v>
      </c>
      <c r="AC287" s="7"/>
      <c r="AD287" s="7">
        <v>3</v>
      </c>
      <c r="AE287" s="7">
        <f t="shared" si="21"/>
        <v>80</v>
      </c>
      <c r="AF287" s="7">
        <v>40</v>
      </c>
      <c r="AG287" s="7">
        <v>40</v>
      </c>
      <c r="AH287" s="7" t="s">
        <v>2845</v>
      </c>
      <c r="AI287" s="7" t="s">
        <v>2845</v>
      </c>
      <c r="AJ287" s="7">
        <v>34.92</v>
      </c>
      <c r="AK287" s="7">
        <v>9.74</v>
      </c>
      <c r="AL287" s="7">
        <v>31.68</v>
      </c>
      <c r="AM287" s="7">
        <v>9.44</v>
      </c>
      <c r="AN287" s="7" t="s">
        <v>2947</v>
      </c>
      <c r="AO287" s="7" t="s">
        <v>1638</v>
      </c>
      <c r="AP287" s="7" t="s">
        <v>3342</v>
      </c>
      <c r="AQ287" s="7" t="s">
        <v>3140</v>
      </c>
      <c r="AR287" s="7" t="s">
        <v>1646</v>
      </c>
      <c r="AS287" s="7" t="s">
        <v>3343</v>
      </c>
      <c r="AT287" s="7" t="s">
        <v>1646</v>
      </c>
      <c r="AU287" s="7" t="s">
        <v>3345</v>
      </c>
      <c r="AV287" s="7" t="s">
        <v>2848</v>
      </c>
      <c r="AW287" s="7">
        <v>47</v>
      </c>
      <c r="AX287" s="7">
        <v>49</v>
      </c>
      <c r="AY287" s="7" t="s">
        <v>3349</v>
      </c>
      <c r="AZ287" s="7">
        <v>1.24108</v>
      </c>
      <c r="BA287" s="7">
        <f>2.70007-AZ287</f>
        <v>1.4589900000000002</v>
      </c>
      <c r="BB287" s="7"/>
      <c r="BC287" s="7" t="s">
        <v>3353</v>
      </c>
      <c r="BD287" s="7">
        <v>1.7263299999999999</v>
      </c>
      <c r="BE287" s="7">
        <f>3.51966-BD287</f>
        <v>1.7933300000000001</v>
      </c>
      <c r="BF287" s="7"/>
    </row>
    <row r="288" spans="1:59" x14ac:dyDescent="0.2">
      <c r="A288" s="7">
        <v>83</v>
      </c>
      <c r="B288" s="7" t="s">
        <v>580</v>
      </c>
      <c r="C288" s="7" t="s">
        <v>581</v>
      </c>
      <c r="D288" s="7" t="s">
        <v>582</v>
      </c>
      <c r="E288" s="7" t="s">
        <v>583</v>
      </c>
      <c r="F288" s="7" t="s">
        <v>584</v>
      </c>
      <c r="G288" s="7">
        <v>2006</v>
      </c>
      <c r="H288" s="8">
        <v>38909</v>
      </c>
      <c r="I288" s="7" t="s">
        <v>32</v>
      </c>
      <c r="J288" s="7" t="s">
        <v>32</v>
      </c>
      <c r="K288" s="7" t="s">
        <v>585</v>
      </c>
      <c r="L288" s="7">
        <v>1</v>
      </c>
      <c r="M288" s="7" t="s">
        <v>32</v>
      </c>
      <c r="N288" s="7" t="s">
        <v>34</v>
      </c>
      <c r="O288" s="7" t="s">
        <v>34</v>
      </c>
      <c r="P288" s="7" t="s">
        <v>34</v>
      </c>
      <c r="Q288" s="7" t="s">
        <v>34</v>
      </c>
      <c r="R288" s="7" t="s">
        <v>34</v>
      </c>
      <c r="S288" s="7" t="s">
        <v>34</v>
      </c>
      <c r="T288" s="7" t="s">
        <v>34</v>
      </c>
      <c r="U288" s="7" t="s">
        <v>32</v>
      </c>
      <c r="V288" s="7">
        <v>1</v>
      </c>
      <c r="W288" s="7" t="s">
        <v>32</v>
      </c>
      <c r="X288" s="7" t="s">
        <v>32</v>
      </c>
      <c r="Y288" s="7" t="s">
        <v>32</v>
      </c>
      <c r="Z288" s="7" t="s">
        <v>32</v>
      </c>
      <c r="AA288" s="7">
        <v>16822734</v>
      </c>
      <c r="AB288" s="7">
        <v>1</v>
      </c>
      <c r="AC288" s="7"/>
      <c r="AD288" s="7">
        <v>3</v>
      </c>
      <c r="AE288" s="7">
        <f t="shared" si="21"/>
        <v>80</v>
      </c>
      <c r="AF288" s="7">
        <v>40</v>
      </c>
      <c r="AG288" s="7">
        <v>40</v>
      </c>
      <c r="AH288" s="7" t="s">
        <v>2845</v>
      </c>
      <c r="AI288" s="7" t="s">
        <v>2845</v>
      </c>
      <c r="AJ288" s="7">
        <v>34.92</v>
      </c>
      <c r="AK288" s="7">
        <v>9.74</v>
      </c>
      <c r="AL288" s="7">
        <v>31.68</v>
      </c>
      <c r="AM288" s="7">
        <v>9.44</v>
      </c>
      <c r="AN288" s="7" t="s">
        <v>2947</v>
      </c>
      <c r="AO288" s="7" t="s">
        <v>1638</v>
      </c>
      <c r="AP288" s="7" t="s">
        <v>3342</v>
      </c>
      <c r="AQ288" s="7" t="s">
        <v>3140</v>
      </c>
      <c r="AR288" s="7" t="s">
        <v>1646</v>
      </c>
      <c r="AS288" s="7" t="s">
        <v>3343</v>
      </c>
      <c r="AT288" s="7" t="s">
        <v>1646</v>
      </c>
      <c r="AU288" s="7" t="s">
        <v>3346</v>
      </c>
      <c r="AV288" s="7" t="s">
        <v>2848</v>
      </c>
      <c r="AW288" s="7">
        <v>47</v>
      </c>
      <c r="AX288" s="7">
        <v>49</v>
      </c>
      <c r="AY288" s="7" t="s">
        <v>3350</v>
      </c>
      <c r="AZ288" s="7">
        <v>5.6901799999999998</v>
      </c>
      <c r="BA288" s="7">
        <f>7.83304-AZ288</f>
        <v>2.1428599999999998</v>
      </c>
      <c r="BB288" s="7"/>
      <c r="BC288" s="7" t="s">
        <v>3354</v>
      </c>
      <c r="BD288" s="7">
        <v>6.6921200000000001</v>
      </c>
      <c r="BE288" s="7">
        <f>9.00217-BD288</f>
        <v>2.3100499999999995</v>
      </c>
      <c r="BF288" s="7"/>
    </row>
    <row r="289" spans="1:59" x14ac:dyDescent="0.2">
      <c r="A289" s="7">
        <v>83</v>
      </c>
      <c r="B289" s="7" t="s">
        <v>580</v>
      </c>
      <c r="C289" s="7" t="s">
        <v>581</v>
      </c>
      <c r="D289" s="7" t="s">
        <v>582</v>
      </c>
      <c r="E289" s="7" t="s">
        <v>583</v>
      </c>
      <c r="F289" s="7" t="s">
        <v>584</v>
      </c>
      <c r="G289" s="7">
        <v>2006</v>
      </c>
      <c r="H289" s="8">
        <v>38909</v>
      </c>
      <c r="I289" s="7" t="s">
        <v>32</v>
      </c>
      <c r="J289" s="7" t="s">
        <v>32</v>
      </c>
      <c r="K289" s="7" t="s">
        <v>585</v>
      </c>
      <c r="L289" s="7">
        <v>1</v>
      </c>
      <c r="M289" s="7" t="s">
        <v>32</v>
      </c>
      <c r="N289" s="7" t="s">
        <v>34</v>
      </c>
      <c r="O289" s="7" t="s">
        <v>34</v>
      </c>
      <c r="P289" s="7" t="s">
        <v>34</v>
      </c>
      <c r="Q289" s="7" t="s">
        <v>34</v>
      </c>
      <c r="R289" s="7" t="s">
        <v>34</v>
      </c>
      <c r="S289" s="7" t="s">
        <v>34</v>
      </c>
      <c r="T289" s="7" t="s">
        <v>34</v>
      </c>
      <c r="U289" s="7" t="s">
        <v>32</v>
      </c>
      <c r="V289" s="7">
        <v>1</v>
      </c>
      <c r="W289" s="7" t="s">
        <v>32</v>
      </c>
      <c r="X289" s="7" t="s">
        <v>32</v>
      </c>
      <c r="Y289" s="7" t="s">
        <v>32</v>
      </c>
      <c r="Z289" s="7" t="s">
        <v>32</v>
      </c>
      <c r="AA289" s="7">
        <v>16822734</v>
      </c>
      <c r="AB289" s="7">
        <v>1</v>
      </c>
      <c r="AC289" s="7"/>
      <c r="AD289" s="7">
        <v>3</v>
      </c>
      <c r="AE289" s="7">
        <f t="shared" si="21"/>
        <v>80</v>
      </c>
      <c r="AF289" s="7">
        <v>40</v>
      </c>
      <c r="AG289" s="7">
        <v>40</v>
      </c>
      <c r="AH289" s="7" t="s">
        <v>2845</v>
      </c>
      <c r="AI289" s="7" t="s">
        <v>2845</v>
      </c>
      <c r="AJ289" s="7">
        <v>34.92</v>
      </c>
      <c r="AK289" s="7">
        <v>9.74</v>
      </c>
      <c r="AL289" s="7">
        <v>31.68</v>
      </c>
      <c r="AM289" s="7">
        <v>9.44</v>
      </c>
      <c r="AN289" s="7" t="s">
        <v>2947</v>
      </c>
      <c r="AO289" s="7" t="s">
        <v>1638</v>
      </c>
      <c r="AP289" s="7" t="s">
        <v>3342</v>
      </c>
      <c r="AQ289" s="7" t="s">
        <v>3140</v>
      </c>
      <c r="AR289" s="7" t="s">
        <v>1646</v>
      </c>
      <c r="AS289" s="7" t="s">
        <v>3343</v>
      </c>
      <c r="AT289" s="7" t="s">
        <v>1646</v>
      </c>
      <c r="AU289" s="7" t="s">
        <v>3347</v>
      </c>
      <c r="AV289" s="7" t="s">
        <v>2848</v>
      </c>
      <c r="AW289" s="7">
        <v>47</v>
      </c>
      <c r="AX289" s="7">
        <v>49</v>
      </c>
      <c r="AY289" s="7" t="s">
        <v>3351</v>
      </c>
      <c r="AZ289" s="7">
        <v>3.6043500000000002</v>
      </c>
      <c r="BA289" s="7">
        <f>6.09677-AZ289</f>
        <v>2.4924200000000001</v>
      </c>
      <c r="BB289" s="7"/>
      <c r="BC289" s="7" t="s">
        <v>3355</v>
      </c>
      <c r="BD289" s="7">
        <v>4.3327099999999996</v>
      </c>
      <c r="BE289" s="7">
        <f>6.90112-BD289</f>
        <v>2.5684100000000001</v>
      </c>
      <c r="BF289" s="7"/>
    </row>
    <row r="290" spans="1:59" x14ac:dyDescent="0.2">
      <c r="A290" s="7">
        <v>84</v>
      </c>
      <c r="B290" s="7" t="s">
        <v>586</v>
      </c>
      <c r="C290" s="7" t="s">
        <v>587</v>
      </c>
      <c r="D290" s="7" t="s">
        <v>588</v>
      </c>
      <c r="E290" s="7" t="s">
        <v>589</v>
      </c>
      <c r="F290" s="7" t="s">
        <v>498</v>
      </c>
      <c r="G290" s="7">
        <v>2007</v>
      </c>
      <c r="H290" s="8">
        <v>38861</v>
      </c>
      <c r="I290" s="7" t="s">
        <v>32</v>
      </c>
      <c r="J290" s="7" t="s">
        <v>32</v>
      </c>
      <c r="K290" s="7" t="s">
        <v>590</v>
      </c>
      <c r="L290" s="7">
        <v>1</v>
      </c>
      <c r="M290" s="7" t="s">
        <v>32</v>
      </c>
      <c r="N290" s="7" t="s">
        <v>34</v>
      </c>
      <c r="O290" s="7" t="s">
        <v>34</v>
      </c>
      <c r="P290" s="7" t="s">
        <v>34</v>
      </c>
      <c r="Q290" s="7" t="s">
        <v>34</v>
      </c>
      <c r="R290" s="7" t="s">
        <v>34</v>
      </c>
      <c r="S290" s="7" t="s">
        <v>34</v>
      </c>
      <c r="T290" s="7" t="s">
        <v>34</v>
      </c>
      <c r="U290" s="7" t="s">
        <v>32</v>
      </c>
      <c r="V290" s="7">
        <v>1</v>
      </c>
      <c r="W290" s="7" t="s">
        <v>32</v>
      </c>
      <c r="X290" s="7" t="s">
        <v>32</v>
      </c>
      <c r="Y290" s="7" t="s">
        <v>32</v>
      </c>
      <c r="Z290" s="7" t="s">
        <v>32</v>
      </c>
      <c r="AA290" s="7">
        <v>16716352</v>
      </c>
      <c r="AB290" s="7">
        <v>1</v>
      </c>
      <c r="AC290" s="7"/>
      <c r="AD290" s="7">
        <v>2</v>
      </c>
      <c r="AE290" s="7">
        <f t="shared" si="21"/>
        <v>54</v>
      </c>
      <c r="AF290" s="7">
        <v>29</v>
      </c>
      <c r="AG290" s="7">
        <v>25</v>
      </c>
      <c r="AH290" s="7" t="s">
        <v>2845</v>
      </c>
      <c r="AI290" s="7" t="s">
        <v>2845</v>
      </c>
      <c r="AJ290" s="7">
        <v>56.45</v>
      </c>
      <c r="AK290" s="7">
        <v>14.06</v>
      </c>
      <c r="AL290" s="7">
        <v>61.37</v>
      </c>
      <c r="AM290" s="7">
        <v>14.65</v>
      </c>
      <c r="AN290" s="7" t="s">
        <v>2902</v>
      </c>
      <c r="AO290" s="7" t="s">
        <v>1770</v>
      </c>
      <c r="AP290" s="7" t="s">
        <v>3378</v>
      </c>
      <c r="AQ290" s="7" t="s">
        <v>3039</v>
      </c>
      <c r="AR290" s="7" t="s">
        <v>1646</v>
      </c>
      <c r="AS290" s="7" t="s">
        <v>1639</v>
      </c>
      <c r="AT290" s="7" t="s">
        <v>1646</v>
      </c>
      <c r="AU290" s="7" t="s">
        <v>2928</v>
      </c>
      <c r="AV290" s="7" t="s">
        <v>2907</v>
      </c>
      <c r="AW290" s="7">
        <v>48</v>
      </c>
      <c r="AX290" s="7">
        <v>50</v>
      </c>
      <c r="AY290" s="7" t="s">
        <v>3045</v>
      </c>
      <c r="AZ290" s="7">
        <v>57.6907</v>
      </c>
      <c r="BB290" s="7">
        <f>62.7331-AZ290</f>
        <v>5.0424000000000007</v>
      </c>
      <c r="BC290" s="7" t="s">
        <v>3391</v>
      </c>
      <c r="BD290" s="7">
        <v>41.673699999999997</v>
      </c>
      <c r="BF290" s="7">
        <f>46.7161-BD290</f>
        <v>5.0424000000000007</v>
      </c>
    </row>
    <row r="291" spans="1:59" x14ac:dyDescent="0.2">
      <c r="A291" s="7">
        <v>84</v>
      </c>
      <c r="B291" s="7" t="s">
        <v>586</v>
      </c>
      <c r="C291" s="7" t="s">
        <v>587</v>
      </c>
      <c r="D291" s="7" t="s">
        <v>588</v>
      </c>
      <c r="E291" s="7" t="s">
        <v>589</v>
      </c>
      <c r="F291" s="7" t="s">
        <v>498</v>
      </c>
      <c r="G291" s="7">
        <v>2007</v>
      </c>
      <c r="H291" s="8">
        <v>38861</v>
      </c>
      <c r="I291" s="7" t="s">
        <v>32</v>
      </c>
      <c r="J291" s="7" t="s">
        <v>32</v>
      </c>
      <c r="K291" s="7" t="s">
        <v>590</v>
      </c>
      <c r="L291" s="7">
        <v>1</v>
      </c>
      <c r="M291" s="7" t="s">
        <v>32</v>
      </c>
      <c r="N291" s="7" t="s">
        <v>34</v>
      </c>
      <c r="O291" s="7" t="s">
        <v>34</v>
      </c>
      <c r="P291" s="7" t="s">
        <v>34</v>
      </c>
      <c r="Q291" s="7" t="s">
        <v>34</v>
      </c>
      <c r="R291" s="7" t="s">
        <v>34</v>
      </c>
      <c r="S291" s="7" t="s">
        <v>34</v>
      </c>
      <c r="T291" s="7" t="s">
        <v>34</v>
      </c>
      <c r="U291" s="7" t="s">
        <v>32</v>
      </c>
      <c r="V291" s="7">
        <v>1</v>
      </c>
      <c r="W291" s="7" t="s">
        <v>32</v>
      </c>
      <c r="X291" s="7" t="s">
        <v>32</v>
      </c>
      <c r="Y291" s="7" t="s">
        <v>32</v>
      </c>
      <c r="Z291" s="7" t="s">
        <v>32</v>
      </c>
      <c r="AA291" s="7">
        <v>16716352</v>
      </c>
      <c r="AB291" s="7">
        <v>1</v>
      </c>
      <c r="AC291" s="7"/>
      <c r="AD291" s="7">
        <v>2</v>
      </c>
      <c r="AE291" s="7">
        <f t="shared" si="21"/>
        <v>54</v>
      </c>
      <c r="AF291" s="7">
        <v>29</v>
      </c>
      <c r="AG291" s="7">
        <v>25</v>
      </c>
      <c r="AH291" s="7" t="s">
        <v>2845</v>
      </c>
      <c r="AI291" s="7" t="s">
        <v>2845</v>
      </c>
      <c r="AJ291" s="7">
        <v>56.45</v>
      </c>
      <c r="AK291" s="7">
        <v>14.06</v>
      </c>
      <c r="AL291" s="7">
        <v>61.37</v>
      </c>
      <c r="AM291" s="7">
        <v>14.65</v>
      </c>
      <c r="AN291" s="7" t="s">
        <v>2902</v>
      </c>
      <c r="AO291" s="7" t="s">
        <v>1770</v>
      </c>
      <c r="AP291" s="7" t="s">
        <v>3378</v>
      </c>
      <c r="AQ291" s="7" t="s">
        <v>3039</v>
      </c>
      <c r="AR291" s="7" t="s">
        <v>1646</v>
      </c>
      <c r="AS291" s="7" t="s">
        <v>1639</v>
      </c>
      <c r="AT291" s="7" t="s">
        <v>1646</v>
      </c>
      <c r="AU291" s="7" t="s">
        <v>2928</v>
      </c>
      <c r="AV291" s="7" t="s">
        <v>2907</v>
      </c>
      <c r="AW291" s="7">
        <v>48</v>
      </c>
      <c r="AX291" s="7">
        <v>50</v>
      </c>
      <c r="AY291" s="7" t="s">
        <v>3379</v>
      </c>
      <c r="AZ291" s="7">
        <v>57.838999999999999</v>
      </c>
      <c r="BB291" s="7">
        <f>63.4746-AZ291</f>
        <v>5.6356000000000037</v>
      </c>
      <c r="BC291" s="7" t="s">
        <v>3381</v>
      </c>
      <c r="BD291" s="7">
        <v>43.75</v>
      </c>
      <c r="BF291" s="7">
        <f>49.6822-BD291</f>
        <v>5.9322000000000017</v>
      </c>
    </row>
    <row r="292" spans="1:59" x14ac:dyDescent="0.2">
      <c r="A292" s="7">
        <v>84</v>
      </c>
      <c r="B292" s="7" t="s">
        <v>586</v>
      </c>
      <c r="C292" s="7" t="s">
        <v>587</v>
      </c>
      <c r="D292" s="7" t="s">
        <v>588</v>
      </c>
      <c r="E292" s="7" t="s">
        <v>589</v>
      </c>
      <c r="F292" s="7" t="s">
        <v>498</v>
      </c>
      <c r="G292" s="7">
        <v>2007</v>
      </c>
      <c r="H292" s="8">
        <v>38861</v>
      </c>
      <c r="I292" s="7" t="s">
        <v>32</v>
      </c>
      <c r="J292" s="7" t="s">
        <v>32</v>
      </c>
      <c r="K292" s="7" t="s">
        <v>590</v>
      </c>
      <c r="L292" s="7">
        <v>1</v>
      </c>
      <c r="M292" s="7" t="s">
        <v>32</v>
      </c>
      <c r="N292" s="7" t="s">
        <v>34</v>
      </c>
      <c r="O292" s="7" t="s">
        <v>34</v>
      </c>
      <c r="P292" s="7" t="s">
        <v>34</v>
      </c>
      <c r="Q292" s="7" t="s">
        <v>34</v>
      </c>
      <c r="R292" s="7" t="s">
        <v>34</v>
      </c>
      <c r="S292" s="7" t="s">
        <v>34</v>
      </c>
      <c r="T292" s="7" t="s">
        <v>34</v>
      </c>
      <c r="U292" s="7" t="s">
        <v>32</v>
      </c>
      <c r="V292" s="7">
        <v>1</v>
      </c>
      <c r="W292" s="7" t="s">
        <v>32</v>
      </c>
      <c r="X292" s="7" t="s">
        <v>32</v>
      </c>
      <c r="Y292" s="7" t="s">
        <v>32</v>
      </c>
      <c r="Z292" s="7" t="s">
        <v>32</v>
      </c>
      <c r="AA292" s="7">
        <v>16716352</v>
      </c>
      <c r="AB292" s="7">
        <v>1</v>
      </c>
      <c r="AC292" s="7"/>
      <c r="AD292" s="7">
        <v>2</v>
      </c>
      <c r="AE292" s="7">
        <f t="shared" si="21"/>
        <v>54</v>
      </c>
      <c r="AF292" s="7">
        <v>29</v>
      </c>
      <c r="AG292" s="7">
        <v>25</v>
      </c>
      <c r="AH292" s="7" t="s">
        <v>2845</v>
      </c>
      <c r="AI292" s="7" t="s">
        <v>2845</v>
      </c>
      <c r="AJ292" s="7">
        <v>56.45</v>
      </c>
      <c r="AK292" s="7">
        <v>14.06</v>
      </c>
      <c r="AL292" s="7">
        <v>61.37</v>
      </c>
      <c r="AM292" s="7">
        <v>14.65</v>
      </c>
      <c r="AN292" s="7" t="s">
        <v>2902</v>
      </c>
      <c r="AO292" s="7" t="s">
        <v>1770</v>
      </c>
      <c r="AP292" s="7" t="s">
        <v>3378</v>
      </c>
      <c r="AQ292" s="7" t="s">
        <v>3039</v>
      </c>
      <c r="AR292" s="7" t="s">
        <v>1646</v>
      </c>
      <c r="AS292" s="7" t="s">
        <v>1639</v>
      </c>
      <c r="AT292" s="7" t="s">
        <v>1646</v>
      </c>
      <c r="AU292" s="7" t="s">
        <v>2928</v>
      </c>
      <c r="AV292" s="7" t="s">
        <v>2907</v>
      </c>
      <c r="AW292" s="7">
        <v>48</v>
      </c>
      <c r="AX292" s="7">
        <v>50</v>
      </c>
      <c r="AY292" s="7" t="s">
        <v>3380</v>
      </c>
      <c r="AZ292" s="7">
        <v>54.872900000000001</v>
      </c>
      <c r="BB292" s="7">
        <f>59.322-AZ292</f>
        <v>4.4491000000000014</v>
      </c>
      <c r="BC292" s="7" t="s">
        <v>3382</v>
      </c>
      <c r="BD292" s="7">
        <v>40.932200000000002</v>
      </c>
      <c r="BF292" s="7">
        <f>45.3814-BD292</f>
        <v>4.4491999999999976</v>
      </c>
    </row>
    <row r="293" spans="1:59" x14ac:dyDescent="0.2">
      <c r="A293" s="7">
        <v>84</v>
      </c>
      <c r="B293" s="7" t="s">
        <v>586</v>
      </c>
      <c r="C293" s="7" t="s">
        <v>587</v>
      </c>
      <c r="D293" s="7" t="s">
        <v>588</v>
      </c>
      <c r="E293" s="7" t="s">
        <v>589</v>
      </c>
      <c r="F293" s="7" t="s">
        <v>498</v>
      </c>
      <c r="G293" s="7">
        <v>2007</v>
      </c>
      <c r="H293" s="8">
        <v>38861</v>
      </c>
      <c r="I293" s="7" t="s">
        <v>32</v>
      </c>
      <c r="J293" s="7" t="s">
        <v>32</v>
      </c>
      <c r="K293" s="7" t="s">
        <v>590</v>
      </c>
      <c r="L293" s="7">
        <v>1</v>
      </c>
      <c r="M293" s="7" t="s">
        <v>32</v>
      </c>
      <c r="N293" s="7" t="s">
        <v>34</v>
      </c>
      <c r="O293" s="7" t="s">
        <v>34</v>
      </c>
      <c r="P293" s="7" t="s">
        <v>34</v>
      </c>
      <c r="Q293" s="7" t="s">
        <v>34</v>
      </c>
      <c r="R293" s="7" t="s">
        <v>34</v>
      </c>
      <c r="S293" s="7" t="s">
        <v>34</v>
      </c>
      <c r="T293" s="7" t="s">
        <v>34</v>
      </c>
      <c r="U293" s="7" t="s">
        <v>32</v>
      </c>
      <c r="V293" s="7">
        <v>1</v>
      </c>
      <c r="W293" s="7" t="s">
        <v>32</v>
      </c>
      <c r="X293" s="7" t="s">
        <v>32</v>
      </c>
      <c r="Y293" s="7" t="s">
        <v>32</v>
      </c>
      <c r="Z293" s="7" t="s">
        <v>32</v>
      </c>
      <c r="AA293" s="7">
        <v>16716352</v>
      </c>
      <c r="AB293" s="7">
        <v>1</v>
      </c>
      <c r="AC293" s="7"/>
      <c r="AD293" s="7">
        <v>2</v>
      </c>
      <c r="AE293" s="7">
        <f t="shared" si="21"/>
        <v>55</v>
      </c>
      <c r="AF293" s="7">
        <v>29</v>
      </c>
      <c r="AG293" s="7">
        <v>26</v>
      </c>
      <c r="AH293" s="7" t="s">
        <v>2845</v>
      </c>
      <c r="AI293" s="7" t="s">
        <v>2845</v>
      </c>
      <c r="AJ293" s="7">
        <v>56.45</v>
      </c>
      <c r="AK293" s="7">
        <v>14.06</v>
      </c>
      <c r="AL293" s="7">
        <v>59.26</v>
      </c>
      <c r="AM293" s="7">
        <v>12.87</v>
      </c>
      <c r="AN293" s="7" t="s">
        <v>2902</v>
      </c>
      <c r="AO293" s="7" t="s">
        <v>1638</v>
      </c>
      <c r="AP293" s="7" t="s">
        <v>3378</v>
      </c>
      <c r="AQ293" s="7" t="s">
        <v>3039</v>
      </c>
      <c r="AR293" s="7" t="s">
        <v>1646</v>
      </c>
      <c r="AS293" s="7" t="s">
        <v>1639</v>
      </c>
      <c r="AT293" s="7" t="s">
        <v>1646</v>
      </c>
      <c r="AU293" s="7" t="s">
        <v>2927</v>
      </c>
      <c r="AV293" s="7" t="s">
        <v>2848</v>
      </c>
      <c r="AW293" s="7">
        <v>48</v>
      </c>
      <c r="AX293" s="7">
        <v>51</v>
      </c>
      <c r="AY293" s="7" t="s">
        <v>3045</v>
      </c>
      <c r="AZ293" s="7">
        <v>57.6907</v>
      </c>
      <c r="BB293" s="7">
        <f>62.7331-AZ293</f>
        <v>5.0424000000000007</v>
      </c>
      <c r="BC293" s="7" t="s">
        <v>3057</v>
      </c>
      <c r="BD293" s="7">
        <v>40.635599999999997</v>
      </c>
      <c r="BF293" s="7">
        <f>45.678-BD293</f>
        <v>5.0424000000000007</v>
      </c>
    </row>
    <row r="294" spans="1:59" x14ac:dyDescent="0.2">
      <c r="A294" s="7">
        <v>84</v>
      </c>
      <c r="B294" s="7" t="s">
        <v>586</v>
      </c>
      <c r="C294" s="7" t="s">
        <v>587</v>
      </c>
      <c r="D294" s="7" t="s">
        <v>588</v>
      </c>
      <c r="E294" s="7" t="s">
        <v>589</v>
      </c>
      <c r="F294" s="7" t="s">
        <v>498</v>
      </c>
      <c r="G294" s="7">
        <v>2007</v>
      </c>
      <c r="H294" s="8">
        <v>38861</v>
      </c>
      <c r="I294" s="7" t="s">
        <v>32</v>
      </c>
      <c r="J294" s="7" t="s">
        <v>32</v>
      </c>
      <c r="K294" s="7" t="s">
        <v>590</v>
      </c>
      <c r="L294" s="7">
        <v>1</v>
      </c>
      <c r="M294" s="7" t="s">
        <v>32</v>
      </c>
      <c r="N294" s="7" t="s">
        <v>34</v>
      </c>
      <c r="O294" s="7" t="s">
        <v>34</v>
      </c>
      <c r="P294" s="7" t="s">
        <v>34</v>
      </c>
      <c r="Q294" s="7" t="s">
        <v>34</v>
      </c>
      <c r="R294" s="7" t="s">
        <v>34</v>
      </c>
      <c r="S294" s="7" t="s">
        <v>34</v>
      </c>
      <c r="T294" s="7" t="s">
        <v>34</v>
      </c>
      <c r="U294" s="7" t="s">
        <v>32</v>
      </c>
      <c r="V294" s="7">
        <v>1</v>
      </c>
      <c r="W294" s="7" t="s">
        <v>32</v>
      </c>
      <c r="X294" s="7" t="s">
        <v>32</v>
      </c>
      <c r="Y294" s="7" t="s">
        <v>32</v>
      </c>
      <c r="Z294" s="7" t="s">
        <v>32</v>
      </c>
      <c r="AA294" s="7">
        <v>16716352</v>
      </c>
      <c r="AB294" s="7">
        <v>1</v>
      </c>
      <c r="AC294" s="7"/>
      <c r="AD294" s="7">
        <v>2</v>
      </c>
      <c r="AE294" s="7">
        <f t="shared" si="21"/>
        <v>55</v>
      </c>
      <c r="AF294" s="7">
        <v>29</v>
      </c>
      <c r="AG294" s="7">
        <v>26</v>
      </c>
      <c r="AH294" s="7" t="s">
        <v>2845</v>
      </c>
      <c r="AI294" s="7" t="s">
        <v>2845</v>
      </c>
      <c r="AJ294" s="7">
        <v>56.45</v>
      </c>
      <c r="AK294" s="7">
        <v>14.06</v>
      </c>
      <c r="AL294" s="7">
        <v>59.26</v>
      </c>
      <c r="AM294" s="7">
        <v>12.87</v>
      </c>
      <c r="AN294" s="7" t="s">
        <v>2902</v>
      </c>
      <c r="AO294" s="7" t="s">
        <v>1638</v>
      </c>
      <c r="AP294" s="7" t="s">
        <v>3378</v>
      </c>
      <c r="AQ294" s="7" t="s">
        <v>3039</v>
      </c>
      <c r="AR294" s="7" t="s">
        <v>1646</v>
      </c>
      <c r="AS294" s="7" t="s">
        <v>1639</v>
      </c>
      <c r="AT294" s="7" t="s">
        <v>1646</v>
      </c>
      <c r="AU294" s="7" t="s">
        <v>2928</v>
      </c>
      <c r="AV294" s="7" t="s">
        <v>2848</v>
      </c>
      <c r="AW294" s="7">
        <v>48</v>
      </c>
      <c r="AX294" s="7">
        <v>51</v>
      </c>
      <c r="AY294" s="7" t="s">
        <v>3379</v>
      </c>
      <c r="AZ294" s="7">
        <v>57.838999999999999</v>
      </c>
      <c r="BB294" s="7">
        <f>63.4746-AZ294</f>
        <v>5.6356000000000037</v>
      </c>
      <c r="BC294" s="7" t="s">
        <v>3383</v>
      </c>
      <c r="BD294" s="7">
        <v>37.669499999999999</v>
      </c>
      <c r="BF294" s="7">
        <f>42.8602-BD294</f>
        <v>5.1906999999999996</v>
      </c>
    </row>
    <row r="295" spans="1:59" x14ac:dyDescent="0.2">
      <c r="A295" s="7">
        <v>84</v>
      </c>
      <c r="B295" s="7" t="s">
        <v>586</v>
      </c>
      <c r="C295" s="7" t="s">
        <v>587</v>
      </c>
      <c r="D295" s="7" t="s">
        <v>588</v>
      </c>
      <c r="E295" s="7" t="s">
        <v>589</v>
      </c>
      <c r="F295" s="7" t="s">
        <v>498</v>
      </c>
      <c r="G295" s="7">
        <v>2007</v>
      </c>
      <c r="H295" s="8">
        <v>38861</v>
      </c>
      <c r="I295" s="7" t="s">
        <v>32</v>
      </c>
      <c r="J295" s="7" t="s">
        <v>32</v>
      </c>
      <c r="K295" s="7" t="s">
        <v>590</v>
      </c>
      <c r="L295" s="7">
        <v>1</v>
      </c>
      <c r="M295" s="7" t="s">
        <v>32</v>
      </c>
      <c r="N295" s="7" t="s">
        <v>34</v>
      </c>
      <c r="O295" s="7" t="s">
        <v>34</v>
      </c>
      <c r="P295" s="7" t="s">
        <v>34</v>
      </c>
      <c r="Q295" s="7" t="s">
        <v>34</v>
      </c>
      <c r="R295" s="7" t="s">
        <v>34</v>
      </c>
      <c r="S295" s="7" t="s">
        <v>34</v>
      </c>
      <c r="T295" s="7" t="s">
        <v>34</v>
      </c>
      <c r="U295" s="7" t="s">
        <v>32</v>
      </c>
      <c r="V295" s="7">
        <v>1</v>
      </c>
      <c r="W295" s="7" t="s">
        <v>32</v>
      </c>
      <c r="X295" s="7" t="s">
        <v>32</v>
      </c>
      <c r="Y295" s="7" t="s">
        <v>32</v>
      </c>
      <c r="Z295" s="7" t="s">
        <v>32</v>
      </c>
      <c r="AA295" s="7">
        <v>16716352</v>
      </c>
      <c r="AB295" s="7">
        <v>1</v>
      </c>
      <c r="AC295" s="7"/>
      <c r="AD295" s="7">
        <v>2</v>
      </c>
      <c r="AE295" s="7">
        <f t="shared" ref="AE295:AE300" si="23">AF295+AG295</f>
        <v>55</v>
      </c>
      <c r="AF295" s="7">
        <v>29</v>
      </c>
      <c r="AG295" s="7">
        <v>26</v>
      </c>
      <c r="AH295" s="7" t="s">
        <v>2845</v>
      </c>
      <c r="AI295" s="7" t="s">
        <v>2845</v>
      </c>
      <c r="AJ295" s="7">
        <v>56.45</v>
      </c>
      <c r="AK295" s="7">
        <v>14.06</v>
      </c>
      <c r="AL295" s="7">
        <v>59.26</v>
      </c>
      <c r="AM295" s="7">
        <v>12.87</v>
      </c>
      <c r="AN295" s="7" t="s">
        <v>2902</v>
      </c>
      <c r="AO295" s="7" t="s">
        <v>1638</v>
      </c>
      <c r="AP295" s="7" t="s">
        <v>3378</v>
      </c>
      <c r="AQ295" s="7" t="s">
        <v>3039</v>
      </c>
      <c r="AR295" s="7" t="s">
        <v>1646</v>
      </c>
      <c r="AS295" s="7" t="s">
        <v>1639</v>
      </c>
      <c r="AT295" s="7" t="s">
        <v>1646</v>
      </c>
      <c r="AU295" s="7" t="s">
        <v>2928</v>
      </c>
      <c r="AV295" s="7" t="s">
        <v>2848</v>
      </c>
      <c r="AW295" s="7">
        <v>48</v>
      </c>
      <c r="AX295" s="7">
        <v>51</v>
      </c>
      <c r="AY295" s="7" t="s">
        <v>3380</v>
      </c>
      <c r="AZ295" s="7">
        <v>54.872900000000001</v>
      </c>
      <c r="BB295" s="7">
        <f>59.322-AZ295</f>
        <v>4.4491000000000014</v>
      </c>
      <c r="BC295" s="7" t="s">
        <v>3384</v>
      </c>
      <c r="BD295" s="7">
        <v>45.677999999999997</v>
      </c>
      <c r="BF295" s="7">
        <f>49.6822-BD295</f>
        <v>4.0042000000000044</v>
      </c>
    </row>
    <row r="296" spans="1:59" x14ac:dyDescent="0.2">
      <c r="A296" s="7">
        <v>84</v>
      </c>
      <c r="B296" s="7" t="s">
        <v>586</v>
      </c>
      <c r="C296" s="7" t="s">
        <v>587</v>
      </c>
      <c r="D296" s="7" t="s">
        <v>588</v>
      </c>
      <c r="E296" s="7" t="s">
        <v>589</v>
      </c>
      <c r="F296" s="7" t="s">
        <v>498</v>
      </c>
      <c r="G296" s="7">
        <v>2007</v>
      </c>
      <c r="H296" s="8">
        <v>38861</v>
      </c>
      <c r="I296" s="7" t="s">
        <v>32</v>
      </c>
      <c r="J296" s="7" t="s">
        <v>32</v>
      </c>
      <c r="K296" s="7" t="s">
        <v>590</v>
      </c>
      <c r="L296" s="7">
        <v>1</v>
      </c>
      <c r="M296" s="7" t="s">
        <v>32</v>
      </c>
      <c r="N296" s="7" t="s">
        <v>34</v>
      </c>
      <c r="O296" s="7" t="s">
        <v>34</v>
      </c>
      <c r="P296" s="7" t="s">
        <v>34</v>
      </c>
      <c r="Q296" s="7" t="s">
        <v>34</v>
      </c>
      <c r="R296" s="7" t="s">
        <v>34</v>
      </c>
      <c r="S296" s="7" t="s">
        <v>34</v>
      </c>
      <c r="T296" s="7" t="s">
        <v>34</v>
      </c>
      <c r="U296" s="7" t="s">
        <v>32</v>
      </c>
      <c r="V296" s="7">
        <v>1</v>
      </c>
      <c r="W296" s="7" t="s">
        <v>32</v>
      </c>
      <c r="X296" s="7" t="s">
        <v>32</v>
      </c>
      <c r="Y296" s="7" t="s">
        <v>32</v>
      </c>
      <c r="Z296" s="7" t="s">
        <v>32</v>
      </c>
      <c r="AA296" s="7">
        <v>16716352</v>
      </c>
      <c r="AB296" s="7">
        <v>1</v>
      </c>
      <c r="AC296" s="7"/>
      <c r="AD296" s="7">
        <v>2</v>
      </c>
      <c r="AE296" s="7">
        <f t="shared" si="23"/>
        <v>54</v>
      </c>
      <c r="AF296" s="7">
        <v>29</v>
      </c>
      <c r="AG296" s="7">
        <v>25</v>
      </c>
      <c r="AH296" s="7" t="s">
        <v>2845</v>
      </c>
      <c r="AI296" s="7" t="s">
        <v>2845</v>
      </c>
      <c r="AJ296" s="7">
        <v>56.45</v>
      </c>
      <c r="AK296" s="7">
        <v>14.06</v>
      </c>
      <c r="AL296" s="7">
        <v>61.37</v>
      </c>
      <c r="AM296" s="7">
        <v>14.65</v>
      </c>
      <c r="AN296" s="7" t="s">
        <v>2902</v>
      </c>
      <c r="AO296" s="7" t="s">
        <v>1770</v>
      </c>
      <c r="AP296" s="7" t="s">
        <v>3378</v>
      </c>
      <c r="AQ296" s="7" t="s">
        <v>3039</v>
      </c>
      <c r="AR296" s="7" t="s">
        <v>1646</v>
      </c>
      <c r="AS296" s="7" t="s">
        <v>1639</v>
      </c>
      <c r="AT296" s="7" t="s">
        <v>1646</v>
      </c>
      <c r="AU296" s="7" t="s">
        <v>2928</v>
      </c>
      <c r="AV296" s="7" t="s">
        <v>2907</v>
      </c>
      <c r="AW296" s="7">
        <v>48</v>
      </c>
      <c r="AX296" s="7">
        <v>50</v>
      </c>
      <c r="AY296" s="7" t="s">
        <v>3046</v>
      </c>
      <c r="AZ296" s="7">
        <v>61.843200000000003</v>
      </c>
      <c r="BB296" s="7">
        <f>66.7373-AZ296</f>
        <v>4.8941000000000017</v>
      </c>
      <c r="BC296" s="7" t="s">
        <v>3392</v>
      </c>
      <c r="BD296" s="7">
        <v>45.974600000000002</v>
      </c>
      <c r="BF296" s="7">
        <f>51.9068-BD296</f>
        <v>5.9321999999999946</v>
      </c>
    </row>
    <row r="297" spans="1:59" x14ac:dyDescent="0.2">
      <c r="A297" s="7">
        <v>84</v>
      </c>
      <c r="B297" s="7" t="s">
        <v>586</v>
      </c>
      <c r="C297" s="7" t="s">
        <v>587</v>
      </c>
      <c r="D297" s="7" t="s">
        <v>588</v>
      </c>
      <c r="E297" s="7" t="s">
        <v>589</v>
      </c>
      <c r="F297" s="7" t="s">
        <v>498</v>
      </c>
      <c r="G297" s="7">
        <v>2007</v>
      </c>
      <c r="H297" s="8">
        <v>38861</v>
      </c>
      <c r="I297" s="7" t="s">
        <v>32</v>
      </c>
      <c r="J297" s="7" t="s">
        <v>32</v>
      </c>
      <c r="K297" s="7" t="s">
        <v>590</v>
      </c>
      <c r="L297" s="7">
        <v>1</v>
      </c>
      <c r="M297" s="7" t="s">
        <v>32</v>
      </c>
      <c r="N297" s="7" t="s">
        <v>34</v>
      </c>
      <c r="O297" s="7" t="s">
        <v>34</v>
      </c>
      <c r="P297" s="7" t="s">
        <v>34</v>
      </c>
      <c r="Q297" s="7" t="s">
        <v>34</v>
      </c>
      <c r="R297" s="7" t="s">
        <v>34</v>
      </c>
      <c r="S297" s="7" t="s">
        <v>34</v>
      </c>
      <c r="T297" s="7" t="s">
        <v>34</v>
      </c>
      <c r="U297" s="7" t="s">
        <v>32</v>
      </c>
      <c r="V297" s="7">
        <v>1</v>
      </c>
      <c r="W297" s="7" t="s">
        <v>32</v>
      </c>
      <c r="X297" s="7" t="s">
        <v>32</v>
      </c>
      <c r="Y297" s="7" t="s">
        <v>32</v>
      </c>
      <c r="Z297" s="7" t="s">
        <v>32</v>
      </c>
      <c r="AA297" s="7">
        <v>16716352</v>
      </c>
      <c r="AB297" s="7">
        <v>1</v>
      </c>
      <c r="AC297" s="7"/>
      <c r="AD297" s="7">
        <v>2</v>
      </c>
      <c r="AE297" s="7">
        <f t="shared" si="23"/>
        <v>54</v>
      </c>
      <c r="AF297" s="7">
        <v>29</v>
      </c>
      <c r="AG297" s="7">
        <v>25</v>
      </c>
      <c r="AH297" s="7" t="s">
        <v>2845</v>
      </c>
      <c r="AI297" s="7" t="s">
        <v>2845</v>
      </c>
      <c r="AJ297" s="7">
        <v>56.45</v>
      </c>
      <c r="AK297" s="7">
        <v>14.06</v>
      </c>
      <c r="AL297" s="7">
        <v>61.37</v>
      </c>
      <c r="AM297" s="7">
        <v>14.65</v>
      </c>
      <c r="AN297" s="7" t="s">
        <v>2902</v>
      </c>
      <c r="AO297" s="7" t="s">
        <v>1770</v>
      </c>
      <c r="AP297" s="7" t="s">
        <v>3378</v>
      </c>
      <c r="AQ297" s="7" t="s">
        <v>3039</v>
      </c>
      <c r="AR297" s="7" t="s">
        <v>1646</v>
      </c>
      <c r="AS297" s="7" t="s">
        <v>1639</v>
      </c>
      <c r="AT297" s="7" t="s">
        <v>1646</v>
      </c>
      <c r="AU297" s="7" t="s">
        <v>2927</v>
      </c>
      <c r="AV297" s="7" t="s">
        <v>2907</v>
      </c>
      <c r="AW297" s="7">
        <v>48</v>
      </c>
      <c r="AX297" s="7">
        <v>50</v>
      </c>
      <c r="AY297" s="7" t="s">
        <v>3385</v>
      </c>
      <c r="AZ297" s="7">
        <v>52.796599999999998</v>
      </c>
      <c r="BB297" s="7">
        <f>57.9873-AZ297</f>
        <v>5.1906999999999996</v>
      </c>
      <c r="BC297" s="7" t="s">
        <v>3386</v>
      </c>
      <c r="BD297" s="7">
        <v>39.745800000000003</v>
      </c>
      <c r="BF297" s="7">
        <f>45.0847-BD297</f>
        <v>5.3388999999999953</v>
      </c>
    </row>
    <row r="298" spans="1:59" x14ac:dyDescent="0.2">
      <c r="A298" s="7">
        <v>84</v>
      </c>
      <c r="B298" s="7" t="s">
        <v>586</v>
      </c>
      <c r="C298" s="7" t="s">
        <v>587</v>
      </c>
      <c r="D298" s="7" t="s">
        <v>588</v>
      </c>
      <c r="E298" s="7" t="s">
        <v>589</v>
      </c>
      <c r="F298" s="7" t="s">
        <v>498</v>
      </c>
      <c r="G298" s="7">
        <v>2007</v>
      </c>
      <c r="H298" s="8">
        <v>38861</v>
      </c>
      <c r="I298" s="7" t="s">
        <v>32</v>
      </c>
      <c r="J298" s="7" t="s">
        <v>32</v>
      </c>
      <c r="K298" s="7" t="s">
        <v>590</v>
      </c>
      <c r="L298" s="7">
        <v>1</v>
      </c>
      <c r="M298" s="7" t="s">
        <v>32</v>
      </c>
      <c r="N298" s="7" t="s">
        <v>34</v>
      </c>
      <c r="O298" s="7" t="s">
        <v>34</v>
      </c>
      <c r="P298" s="7" t="s">
        <v>34</v>
      </c>
      <c r="Q298" s="7" t="s">
        <v>34</v>
      </c>
      <c r="R298" s="7" t="s">
        <v>34</v>
      </c>
      <c r="S298" s="7" t="s">
        <v>34</v>
      </c>
      <c r="T298" s="7" t="s">
        <v>34</v>
      </c>
      <c r="U298" s="7" t="s">
        <v>32</v>
      </c>
      <c r="V298" s="7">
        <v>1</v>
      </c>
      <c r="W298" s="7" t="s">
        <v>32</v>
      </c>
      <c r="X298" s="7" t="s">
        <v>32</v>
      </c>
      <c r="Y298" s="7" t="s">
        <v>32</v>
      </c>
      <c r="Z298" s="7" t="s">
        <v>32</v>
      </c>
      <c r="AA298" s="7">
        <v>16716352</v>
      </c>
      <c r="AB298" s="7">
        <v>1</v>
      </c>
      <c r="AC298" s="7"/>
      <c r="AD298" s="7">
        <v>2</v>
      </c>
      <c r="AE298" s="7">
        <f t="shared" si="23"/>
        <v>54</v>
      </c>
      <c r="AF298" s="7">
        <v>29</v>
      </c>
      <c r="AG298" s="7">
        <v>25</v>
      </c>
      <c r="AH298" s="7" t="s">
        <v>2845</v>
      </c>
      <c r="AI298" s="7" t="s">
        <v>2845</v>
      </c>
      <c r="AJ298" s="7">
        <v>56.45</v>
      </c>
      <c r="AK298" s="7">
        <v>14.06</v>
      </c>
      <c r="AL298" s="7">
        <v>61.37</v>
      </c>
      <c r="AM298" s="7">
        <v>14.65</v>
      </c>
      <c r="AN298" s="7" t="s">
        <v>2902</v>
      </c>
      <c r="AO298" s="7" t="s">
        <v>1770</v>
      </c>
      <c r="AP298" s="7" t="s">
        <v>3378</v>
      </c>
      <c r="AQ298" s="7" t="s">
        <v>3039</v>
      </c>
      <c r="AR298" s="7" t="s">
        <v>1646</v>
      </c>
      <c r="AS298" s="7" t="s">
        <v>1639</v>
      </c>
      <c r="AT298" s="7" t="s">
        <v>1646</v>
      </c>
      <c r="AU298" s="7" t="s">
        <v>2927</v>
      </c>
      <c r="AV298" s="7" t="s">
        <v>2907</v>
      </c>
      <c r="AW298" s="7">
        <v>48</v>
      </c>
      <c r="AX298" s="7">
        <v>50</v>
      </c>
      <c r="AY298" s="7" t="s">
        <v>3387</v>
      </c>
      <c r="AZ298" s="7">
        <v>42.860199999999999</v>
      </c>
      <c r="BB298" s="7">
        <f>48.4958-AZ298</f>
        <v>5.6356000000000037</v>
      </c>
      <c r="BC298" s="7" t="s">
        <v>3388</v>
      </c>
      <c r="BD298" s="7">
        <v>32.775399999999998</v>
      </c>
      <c r="BF298" s="7">
        <f>38.8559-BD298</f>
        <v>6.0805000000000007</v>
      </c>
    </row>
    <row r="299" spans="1:59" x14ac:dyDescent="0.2">
      <c r="A299" s="7">
        <v>84</v>
      </c>
      <c r="B299" s="7" t="s">
        <v>586</v>
      </c>
      <c r="C299" s="7" t="s">
        <v>587</v>
      </c>
      <c r="D299" s="7" t="s">
        <v>588</v>
      </c>
      <c r="E299" s="7" t="s">
        <v>589</v>
      </c>
      <c r="F299" s="7" t="s">
        <v>498</v>
      </c>
      <c r="G299" s="7">
        <v>2007</v>
      </c>
      <c r="H299" s="8">
        <v>38861</v>
      </c>
      <c r="I299" s="7" t="s">
        <v>32</v>
      </c>
      <c r="J299" s="7" t="s">
        <v>32</v>
      </c>
      <c r="K299" s="7" t="s">
        <v>590</v>
      </c>
      <c r="L299" s="7">
        <v>1</v>
      </c>
      <c r="M299" s="7" t="s">
        <v>32</v>
      </c>
      <c r="N299" s="7" t="s">
        <v>34</v>
      </c>
      <c r="O299" s="7" t="s">
        <v>34</v>
      </c>
      <c r="P299" s="7" t="s">
        <v>34</v>
      </c>
      <c r="Q299" s="7" t="s">
        <v>34</v>
      </c>
      <c r="R299" s="7" t="s">
        <v>34</v>
      </c>
      <c r="S299" s="7" t="s">
        <v>34</v>
      </c>
      <c r="T299" s="7" t="s">
        <v>34</v>
      </c>
      <c r="U299" s="7" t="s">
        <v>32</v>
      </c>
      <c r="V299" s="7">
        <v>1</v>
      </c>
      <c r="W299" s="7" t="s">
        <v>32</v>
      </c>
      <c r="X299" s="7" t="s">
        <v>32</v>
      </c>
      <c r="Y299" s="7" t="s">
        <v>32</v>
      </c>
      <c r="Z299" s="7" t="s">
        <v>32</v>
      </c>
      <c r="AA299" s="7">
        <v>16716352</v>
      </c>
      <c r="AB299" s="7">
        <v>1</v>
      </c>
      <c r="AC299" s="7"/>
      <c r="AD299" s="7">
        <v>2</v>
      </c>
      <c r="AE299" s="7">
        <f>AF299+AG299</f>
        <v>55</v>
      </c>
      <c r="AF299" s="7">
        <v>29</v>
      </c>
      <c r="AG299" s="7">
        <v>26</v>
      </c>
      <c r="AH299" s="7" t="s">
        <v>2845</v>
      </c>
      <c r="AI299" s="7" t="s">
        <v>2845</v>
      </c>
      <c r="AJ299" s="7">
        <v>56.45</v>
      </c>
      <c r="AK299" s="7">
        <v>14.06</v>
      </c>
      <c r="AL299" s="7">
        <v>59.26</v>
      </c>
      <c r="AM299" s="7">
        <v>12.87</v>
      </c>
      <c r="AN299" s="7" t="s">
        <v>2902</v>
      </c>
      <c r="AO299" s="7" t="s">
        <v>1638</v>
      </c>
      <c r="AP299" s="7" t="s">
        <v>3378</v>
      </c>
      <c r="AQ299" s="7" t="s">
        <v>3039</v>
      </c>
      <c r="AR299" s="7" t="s">
        <v>1646</v>
      </c>
      <c r="AS299" s="7" t="s">
        <v>1639</v>
      </c>
      <c r="AT299" s="7" t="s">
        <v>1646</v>
      </c>
      <c r="AU299" s="7" t="s">
        <v>2927</v>
      </c>
      <c r="AV299" s="7" t="s">
        <v>2848</v>
      </c>
      <c r="AW299" s="7">
        <v>48</v>
      </c>
      <c r="AX299" s="7">
        <v>51</v>
      </c>
      <c r="AY299" s="7" t="s">
        <v>3046</v>
      </c>
      <c r="AZ299" s="7">
        <v>61.843200000000003</v>
      </c>
      <c r="BB299" s="7">
        <f>66.7373-AZ299</f>
        <v>4.8941000000000017</v>
      </c>
      <c r="BC299" s="7" t="s">
        <v>3058</v>
      </c>
      <c r="BD299" s="7">
        <v>47.605899999999998</v>
      </c>
      <c r="BF299" s="7">
        <f>52.9449-BD299</f>
        <v>5.3389999999999986</v>
      </c>
    </row>
    <row r="300" spans="1:59" x14ac:dyDescent="0.2">
      <c r="A300" s="7">
        <v>84</v>
      </c>
      <c r="B300" s="7" t="s">
        <v>586</v>
      </c>
      <c r="C300" s="7" t="s">
        <v>587</v>
      </c>
      <c r="D300" s="7" t="s">
        <v>588</v>
      </c>
      <c r="E300" s="7" t="s">
        <v>589</v>
      </c>
      <c r="F300" s="7" t="s">
        <v>498</v>
      </c>
      <c r="G300" s="7">
        <v>2007</v>
      </c>
      <c r="H300" s="8">
        <v>38861</v>
      </c>
      <c r="I300" s="7" t="s">
        <v>32</v>
      </c>
      <c r="J300" s="7" t="s">
        <v>32</v>
      </c>
      <c r="K300" s="7" t="s">
        <v>590</v>
      </c>
      <c r="L300" s="7">
        <v>1</v>
      </c>
      <c r="M300" s="7" t="s">
        <v>32</v>
      </c>
      <c r="N300" s="7" t="s">
        <v>34</v>
      </c>
      <c r="O300" s="7" t="s">
        <v>34</v>
      </c>
      <c r="P300" s="7" t="s">
        <v>34</v>
      </c>
      <c r="Q300" s="7" t="s">
        <v>34</v>
      </c>
      <c r="R300" s="7" t="s">
        <v>34</v>
      </c>
      <c r="S300" s="7" t="s">
        <v>34</v>
      </c>
      <c r="T300" s="7" t="s">
        <v>34</v>
      </c>
      <c r="U300" s="7" t="s">
        <v>32</v>
      </c>
      <c r="V300" s="7">
        <v>1</v>
      </c>
      <c r="W300" s="7" t="s">
        <v>32</v>
      </c>
      <c r="X300" s="7" t="s">
        <v>32</v>
      </c>
      <c r="Y300" s="7" t="s">
        <v>32</v>
      </c>
      <c r="Z300" s="7" t="s">
        <v>32</v>
      </c>
      <c r="AA300" s="7">
        <v>16716352</v>
      </c>
      <c r="AB300" s="7">
        <v>1</v>
      </c>
      <c r="AC300" s="7"/>
      <c r="AD300" s="7">
        <v>2</v>
      </c>
      <c r="AE300" s="7">
        <f t="shared" si="23"/>
        <v>55</v>
      </c>
      <c r="AF300" s="7">
        <v>29</v>
      </c>
      <c r="AG300" s="7">
        <v>26</v>
      </c>
      <c r="AH300" s="7" t="s">
        <v>2845</v>
      </c>
      <c r="AI300" s="7" t="s">
        <v>2845</v>
      </c>
      <c r="AJ300" s="7">
        <v>56.45</v>
      </c>
      <c r="AK300" s="7">
        <v>14.06</v>
      </c>
      <c r="AL300" s="7">
        <v>59.26</v>
      </c>
      <c r="AM300" s="7">
        <v>12.87</v>
      </c>
      <c r="AN300" s="7" t="s">
        <v>2902</v>
      </c>
      <c r="AO300" s="7" t="s">
        <v>1638</v>
      </c>
      <c r="AP300" s="7" t="s">
        <v>3378</v>
      </c>
      <c r="AQ300" s="7" t="s">
        <v>3039</v>
      </c>
      <c r="AR300" s="7" t="s">
        <v>1646</v>
      </c>
      <c r="AS300" s="7" t="s">
        <v>1639</v>
      </c>
      <c r="AT300" s="7" t="s">
        <v>1646</v>
      </c>
      <c r="AU300" s="7" t="s">
        <v>2927</v>
      </c>
      <c r="AV300" s="7" t="s">
        <v>2848</v>
      </c>
      <c r="AW300" s="7">
        <v>48</v>
      </c>
      <c r="AX300" s="7">
        <v>51</v>
      </c>
      <c r="AY300" s="7" t="s">
        <v>3385</v>
      </c>
      <c r="AZ300" s="7">
        <v>52.796599999999998</v>
      </c>
      <c r="BB300" s="7">
        <f>57.9873-AZ300</f>
        <v>5.1906999999999996</v>
      </c>
      <c r="BC300" s="7" t="s">
        <v>3389</v>
      </c>
      <c r="BD300" s="7">
        <v>37.966099999999997</v>
      </c>
      <c r="BF300" s="7">
        <f>42.5636-BD300</f>
        <v>4.5975000000000037</v>
      </c>
    </row>
    <row r="301" spans="1:59" x14ac:dyDescent="0.2">
      <c r="A301" s="7">
        <v>84</v>
      </c>
      <c r="B301" s="7" t="s">
        <v>586</v>
      </c>
      <c r="C301" s="7" t="s">
        <v>587</v>
      </c>
      <c r="D301" s="7" t="s">
        <v>588</v>
      </c>
      <c r="E301" s="7" t="s">
        <v>589</v>
      </c>
      <c r="F301" s="7" t="s">
        <v>498</v>
      </c>
      <c r="G301" s="7">
        <v>2007</v>
      </c>
      <c r="H301" s="8">
        <v>38861</v>
      </c>
      <c r="I301" s="7" t="s">
        <v>32</v>
      </c>
      <c r="J301" s="7" t="s">
        <v>32</v>
      </c>
      <c r="K301" s="7" t="s">
        <v>590</v>
      </c>
      <c r="L301" s="7">
        <v>1</v>
      </c>
      <c r="M301" s="7" t="s">
        <v>32</v>
      </c>
      <c r="N301" s="7" t="s">
        <v>34</v>
      </c>
      <c r="O301" s="7" t="s">
        <v>34</v>
      </c>
      <c r="P301" s="7" t="s">
        <v>34</v>
      </c>
      <c r="Q301" s="7" t="s">
        <v>34</v>
      </c>
      <c r="R301" s="7" t="s">
        <v>34</v>
      </c>
      <c r="S301" s="7" t="s">
        <v>34</v>
      </c>
      <c r="T301" s="7" t="s">
        <v>34</v>
      </c>
      <c r="U301" s="7" t="s">
        <v>32</v>
      </c>
      <c r="V301" s="7">
        <v>1</v>
      </c>
      <c r="W301" s="7" t="s">
        <v>32</v>
      </c>
      <c r="X301" s="7" t="s">
        <v>32</v>
      </c>
      <c r="Y301" s="7" t="s">
        <v>32</v>
      </c>
      <c r="Z301" s="7" t="s">
        <v>32</v>
      </c>
      <c r="AA301" s="7">
        <v>16716352</v>
      </c>
      <c r="AB301" s="7">
        <v>1</v>
      </c>
      <c r="AC301" s="7"/>
      <c r="AD301" s="7">
        <v>2</v>
      </c>
      <c r="AE301" s="7">
        <f t="shared" ref="AE301:AE342" si="24">AF301+AG301</f>
        <v>55</v>
      </c>
      <c r="AF301" s="7">
        <v>29</v>
      </c>
      <c r="AG301" s="7">
        <v>26</v>
      </c>
      <c r="AH301" s="7" t="s">
        <v>2845</v>
      </c>
      <c r="AI301" s="7" t="s">
        <v>2845</v>
      </c>
      <c r="AJ301" s="7">
        <v>56.45</v>
      </c>
      <c r="AK301" s="7">
        <v>14.06</v>
      </c>
      <c r="AL301" s="7">
        <v>59.26</v>
      </c>
      <c r="AM301" s="7">
        <v>12.87</v>
      </c>
      <c r="AN301" s="7" t="s">
        <v>2902</v>
      </c>
      <c r="AO301" s="7" t="s">
        <v>1638</v>
      </c>
      <c r="AP301" s="7" t="s">
        <v>3378</v>
      </c>
      <c r="AQ301" s="7" t="s">
        <v>3039</v>
      </c>
      <c r="AR301" s="7" t="s">
        <v>1646</v>
      </c>
      <c r="AS301" s="7" t="s">
        <v>1639</v>
      </c>
      <c r="AT301" s="7" t="s">
        <v>1646</v>
      </c>
      <c r="AU301" s="7" t="s">
        <v>2927</v>
      </c>
      <c r="AV301" s="7" t="s">
        <v>2848</v>
      </c>
      <c r="AW301" s="7">
        <v>48</v>
      </c>
      <c r="AX301" s="7">
        <v>51</v>
      </c>
      <c r="AY301" s="7" t="s">
        <v>3387</v>
      </c>
      <c r="AZ301" s="7">
        <v>42.860199999999999</v>
      </c>
      <c r="BB301" s="7">
        <f>48.4958-AZ301</f>
        <v>5.6356000000000037</v>
      </c>
      <c r="BC301" s="7" t="s">
        <v>3390</v>
      </c>
      <c r="BD301" s="7">
        <v>37.817799999999998</v>
      </c>
      <c r="BF301" s="7">
        <f>42.1186-BD301</f>
        <v>4.3008000000000024</v>
      </c>
    </row>
    <row r="302" spans="1:59" s="56" customFormat="1" x14ac:dyDescent="0.2">
      <c r="A302" s="21">
        <v>85</v>
      </c>
      <c r="B302" s="21" t="s">
        <v>591</v>
      </c>
      <c r="C302" s="21" t="s">
        <v>592</v>
      </c>
      <c r="D302" s="21" t="s">
        <v>593</v>
      </c>
      <c r="E302" s="21" t="s">
        <v>535</v>
      </c>
      <c r="F302" s="21" t="s">
        <v>594</v>
      </c>
      <c r="G302" s="21">
        <v>2006</v>
      </c>
      <c r="H302" s="70">
        <v>38860</v>
      </c>
      <c r="I302" s="21" t="s">
        <v>32</v>
      </c>
      <c r="J302" s="21" t="s">
        <v>32</v>
      </c>
      <c r="K302" s="21" t="s">
        <v>595</v>
      </c>
      <c r="L302" s="21">
        <v>1</v>
      </c>
      <c r="M302" s="21" t="s">
        <v>32</v>
      </c>
      <c r="N302" s="21" t="s">
        <v>34</v>
      </c>
      <c r="O302" s="21" t="s">
        <v>34</v>
      </c>
      <c r="P302" s="21" t="s">
        <v>34</v>
      </c>
      <c r="Q302" s="21" t="s">
        <v>34</v>
      </c>
      <c r="R302" s="21" t="s">
        <v>34</v>
      </c>
      <c r="S302" s="21" t="s">
        <v>34</v>
      </c>
      <c r="T302" s="21" t="s">
        <v>34</v>
      </c>
      <c r="U302" s="21" t="s">
        <v>32</v>
      </c>
      <c r="V302" s="21">
        <v>1</v>
      </c>
      <c r="W302" s="21" t="s">
        <v>32</v>
      </c>
      <c r="X302" s="21" t="s">
        <v>32</v>
      </c>
      <c r="Y302" s="21" t="s">
        <v>596</v>
      </c>
      <c r="Z302" s="21" t="s">
        <v>32</v>
      </c>
      <c r="AA302" s="21">
        <v>16714037</v>
      </c>
      <c r="AB302" s="21">
        <v>1</v>
      </c>
      <c r="AC302" s="21"/>
      <c r="AD302" s="21">
        <v>3</v>
      </c>
      <c r="AE302" s="21">
        <f t="shared" si="24"/>
        <v>31</v>
      </c>
      <c r="AF302" s="21">
        <v>16</v>
      </c>
      <c r="AG302" s="21">
        <v>15</v>
      </c>
      <c r="AH302" s="21" t="s">
        <v>2845</v>
      </c>
      <c r="AI302" s="21" t="s">
        <v>2845</v>
      </c>
      <c r="AJ302" s="21">
        <v>47.6</v>
      </c>
      <c r="AK302" s="21">
        <v>10.24</v>
      </c>
      <c r="AL302" s="21">
        <v>46.9</v>
      </c>
      <c r="AM302" s="21">
        <v>13.1</v>
      </c>
      <c r="AN302" s="21" t="s">
        <v>2918</v>
      </c>
      <c r="AO302" s="21" t="s">
        <v>1770</v>
      </c>
      <c r="AP302" s="21" t="s">
        <v>3393</v>
      </c>
      <c r="AQ302" s="21" t="s">
        <v>3226</v>
      </c>
      <c r="AR302" s="21" t="s">
        <v>1646</v>
      </c>
      <c r="AS302" s="21" t="s">
        <v>3644</v>
      </c>
      <c r="AT302" s="21" t="s">
        <v>1646</v>
      </c>
      <c r="AU302" s="21" t="s">
        <v>3645</v>
      </c>
      <c r="AV302" s="21" t="s">
        <v>2907</v>
      </c>
      <c r="AW302" s="21">
        <v>49</v>
      </c>
      <c r="AX302" s="21">
        <v>52</v>
      </c>
      <c r="AY302" s="21" t="s">
        <v>3651</v>
      </c>
      <c r="AZ302" s="21">
        <v>18.13</v>
      </c>
      <c r="BA302" s="21">
        <v>3.28</v>
      </c>
      <c r="BB302" s="21"/>
      <c r="BC302" s="21" t="s">
        <v>3663</v>
      </c>
      <c r="BD302" s="21">
        <v>18.36</v>
      </c>
      <c r="BE302" s="21">
        <v>2.5299999999999998</v>
      </c>
      <c r="BF302" s="21"/>
      <c r="BG302" s="56" t="s">
        <v>3394</v>
      </c>
    </row>
    <row r="303" spans="1:59" s="56" customFormat="1" x14ac:dyDescent="0.2">
      <c r="A303" s="21">
        <v>85</v>
      </c>
      <c r="B303" s="21" t="s">
        <v>591</v>
      </c>
      <c r="C303" s="21" t="s">
        <v>592</v>
      </c>
      <c r="D303" s="21" t="s">
        <v>593</v>
      </c>
      <c r="E303" s="21" t="s">
        <v>535</v>
      </c>
      <c r="F303" s="21" t="s">
        <v>594</v>
      </c>
      <c r="G303" s="21">
        <v>2006</v>
      </c>
      <c r="H303" s="70">
        <v>38860</v>
      </c>
      <c r="I303" s="21" t="s">
        <v>32</v>
      </c>
      <c r="J303" s="21" t="s">
        <v>32</v>
      </c>
      <c r="K303" s="21" t="s">
        <v>595</v>
      </c>
      <c r="L303" s="21">
        <v>1</v>
      </c>
      <c r="M303" s="21" t="s">
        <v>32</v>
      </c>
      <c r="N303" s="21" t="s">
        <v>34</v>
      </c>
      <c r="O303" s="21" t="s">
        <v>34</v>
      </c>
      <c r="P303" s="21" t="s">
        <v>34</v>
      </c>
      <c r="Q303" s="21" t="s">
        <v>34</v>
      </c>
      <c r="R303" s="21" t="s">
        <v>34</v>
      </c>
      <c r="S303" s="21" t="s">
        <v>34</v>
      </c>
      <c r="T303" s="21" t="s">
        <v>34</v>
      </c>
      <c r="U303" s="21" t="s">
        <v>32</v>
      </c>
      <c r="V303" s="21">
        <v>1</v>
      </c>
      <c r="W303" s="21" t="s">
        <v>32</v>
      </c>
      <c r="X303" s="21" t="s">
        <v>32</v>
      </c>
      <c r="Y303" s="21" t="s">
        <v>596</v>
      </c>
      <c r="Z303" s="21" t="s">
        <v>32</v>
      </c>
      <c r="AA303" s="21">
        <v>16714037</v>
      </c>
      <c r="AB303" s="21">
        <v>1</v>
      </c>
      <c r="AC303" s="21"/>
      <c r="AD303" s="21">
        <v>3</v>
      </c>
      <c r="AE303" s="21">
        <f t="shared" ref="AE303:AE307" si="25">AF303+AG303</f>
        <v>31</v>
      </c>
      <c r="AF303" s="21">
        <v>16</v>
      </c>
      <c r="AG303" s="21">
        <v>15</v>
      </c>
      <c r="AH303" s="21" t="s">
        <v>2845</v>
      </c>
      <c r="AI303" s="21" t="s">
        <v>2845</v>
      </c>
      <c r="AJ303" s="21">
        <v>47.6</v>
      </c>
      <c r="AK303" s="21">
        <v>10.24</v>
      </c>
      <c r="AL303" s="21">
        <v>46.9</v>
      </c>
      <c r="AM303" s="21">
        <v>13.1</v>
      </c>
      <c r="AN303" s="21" t="s">
        <v>2918</v>
      </c>
      <c r="AO303" s="21" t="s">
        <v>1770</v>
      </c>
      <c r="AP303" s="21" t="s">
        <v>3393</v>
      </c>
      <c r="AQ303" s="21" t="s">
        <v>3226</v>
      </c>
      <c r="AR303" s="21" t="s">
        <v>1646</v>
      </c>
      <c r="AS303" s="21" t="s">
        <v>3644</v>
      </c>
      <c r="AT303" s="21" t="s">
        <v>1646</v>
      </c>
      <c r="AU303" s="21" t="s">
        <v>3646</v>
      </c>
      <c r="AV303" s="21" t="s">
        <v>2907</v>
      </c>
      <c r="AW303" s="21">
        <v>49</v>
      </c>
      <c r="AX303" s="21">
        <v>52</v>
      </c>
      <c r="AY303" s="21" t="s">
        <v>3652</v>
      </c>
      <c r="AZ303" s="21">
        <v>12.86</v>
      </c>
      <c r="BA303" s="21">
        <v>1.54</v>
      </c>
      <c r="BB303" s="21"/>
      <c r="BC303" s="21" t="s">
        <v>3664</v>
      </c>
      <c r="BD303" s="21">
        <v>13.93</v>
      </c>
      <c r="BE303" s="21">
        <v>3.99</v>
      </c>
      <c r="BF303" s="21"/>
    </row>
    <row r="304" spans="1:59" s="56" customFormat="1" x14ac:dyDescent="0.2">
      <c r="A304" s="21">
        <v>85</v>
      </c>
      <c r="B304" s="21" t="s">
        <v>591</v>
      </c>
      <c r="C304" s="21" t="s">
        <v>592</v>
      </c>
      <c r="D304" s="21" t="s">
        <v>593</v>
      </c>
      <c r="E304" s="21" t="s">
        <v>535</v>
      </c>
      <c r="F304" s="21" t="s">
        <v>594</v>
      </c>
      <c r="G304" s="21">
        <v>2006</v>
      </c>
      <c r="H304" s="70">
        <v>38860</v>
      </c>
      <c r="I304" s="21" t="s">
        <v>32</v>
      </c>
      <c r="J304" s="21" t="s">
        <v>32</v>
      </c>
      <c r="K304" s="21" t="s">
        <v>595</v>
      </c>
      <c r="L304" s="21">
        <v>1</v>
      </c>
      <c r="M304" s="21" t="s">
        <v>32</v>
      </c>
      <c r="N304" s="21" t="s">
        <v>34</v>
      </c>
      <c r="O304" s="21" t="s">
        <v>34</v>
      </c>
      <c r="P304" s="21" t="s">
        <v>34</v>
      </c>
      <c r="Q304" s="21" t="s">
        <v>34</v>
      </c>
      <c r="R304" s="21" t="s">
        <v>34</v>
      </c>
      <c r="S304" s="21" t="s">
        <v>34</v>
      </c>
      <c r="T304" s="21" t="s">
        <v>34</v>
      </c>
      <c r="U304" s="21" t="s">
        <v>32</v>
      </c>
      <c r="V304" s="21">
        <v>1</v>
      </c>
      <c r="W304" s="21" t="s">
        <v>32</v>
      </c>
      <c r="X304" s="21" t="s">
        <v>32</v>
      </c>
      <c r="Y304" s="21" t="s">
        <v>596</v>
      </c>
      <c r="Z304" s="21" t="s">
        <v>32</v>
      </c>
      <c r="AA304" s="21">
        <v>16714037</v>
      </c>
      <c r="AB304" s="21">
        <v>1</v>
      </c>
      <c r="AC304" s="21"/>
      <c r="AD304" s="21">
        <v>3</v>
      </c>
      <c r="AE304" s="21">
        <f t="shared" si="25"/>
        <v>31</v>
      </c>
      <c r="AF304" s="21">
        <v>16</v>
      </c>
      <c r="AG304" s="21">
        <v>15</v>
      </c>
      <c r="AH304" s="21" t="s">
        <v>2845</v>
      </c>
      <c r="AI304" s="21" t="s">
        <v>2845</v>
      </c>
      <c r="AJ304" s="21">
        <v>47.6</v>
      </c>
      <c r="AK304" s="21">
        <v>10.24</v>
      </c>
      <c r="AL304" s="21">
        <v>46.9</v>
      </c>
      <c r="AM304" s="21">
        <v>13.1</v>
      </c>
      <c r="AN304" s="21" t="s">
        <v>2918</v>
      </c>
      <c r="AO304" s="21" t="s">
        <v>1770</v>
      </c>
      <c r="AP304" s="21" t="s">
        <v>3393</v>
      </c>
      <c r="AQ304" s="21" t="s">
        <v>3226</v>
      </c>
      <c r="AR304" s="21" t="s">
        <v>1646</v>
      </c>
      <c r="AS304" s="21" t="s">
        <v>3644</v>
      </c>
      <c r="AT304" s="21" t="s">
        <v>1646</v>
      </c>
      <c r="AU304" s="21" t="s">
        <v>3647</v>
      </c>
      <c r="AV304" s="21" t="s">
        <v>2907</v>
      </c>
      <c r="AW304" s="21">
        <v>49</v>
      </c>
      <c r="AX304" s="21">
        <v>52</v>
      </c>
      <c r="AY304" s="21" t="s">
        <v>3653</v>
      </c>
      <c r="AZ304" s="21">
        <v>13.75</v>
      </c>
      <c r="BA304" s="21">
        <v>2.52</v>
      </c>
      <c r="BB304" s="21"/>
      <c r="BC304" s="21" t="s">
        <v>3665</v>
      </c>
      <c r="BD304" s="21">
        <v>14.93</v>
      </c>
      <c r="BE304" s="21">
        <v>3.29</v>
      </c>
      <c r="BF304" s="21"/>
    </row>
    <row r="305" spans="1:16384" s="56" customFormat="1" x14ac:dyDescent="0.2">
      <c r="A305" s="21">
        <v>85</v>
      </c>
      <c r="B305" s="21" t="s">
        <v>591</v>
      </c>
      <c r="C305" s="21" t="s">
        <v>592</v>
      </c>
      <c r="D305" s="21" t="s">
        <v>593</v>
      </c>
      <c r="E305" s="21" t="s">
        <v>535</v>
      </c>
      <c r="F305" s="21" t="s">
        <v>594</v>
      </c>
      <c r="G305" s="21">
        <v>2006</v>
      </c>
      <c r="H305" s="70">
        <v>38860</v>
      </c>
      <c r="I305" s="21" t="s">
        <v>32</v>
      </c>
      <c r="J305" s="21" t="s">
        <v>32</v>
      </c>
      <c r="K305" s="21" t="s">
        <v>595</v>
      </c>
      <c r="L305" s="21">
        <v>1</v>
      </c>
      <c r="M305" s="21" t="s">
        <v>32</v>
      </c>
      <c r="N305" s="21" t="s">
        <v>34</v>
      </c>
      <c r="O305" s="21" t="s">
        <v>34</v>
      </c>
      <c r="P305" s="21" t="s">
        <v>34</v>
      </c>
      <c r="Q305" s="21" t="s">
        <v>34</v>
      </c>
      <c r="R305" s="21" t="s">
        <v>34</v>
      </c>
      <c r="S305" s="21" t="s">
        <v>34</v>
      </c>
      <c r="T305" s="21" t="s">
        <v>34</v>
      </c>
      <c r="U305" s="21" t="s">
        <v>32</v>
      </c>
      <c r="V305" s="21">
        <v>1</v>
      </c>
      <c r="W305" s="21" t="s">
        <v>32</v>
      </c>
      <c r="X305" s="21" t="s">
        <v>32</v>
      </c>
      <c r="Y305" s="21" t="s">
        <v>596</v>
      </c>
      <c r="Z305" s="21" t="s">
        <v>32</v>
      </c>
      <c r="AA305" s="21">
        <v>16714037</v>
      </c>
      <c r="AB305" s="21">
        <v>1</v>
      </c>
      <c r="AC305" s="21"/>
      <c r="AD305" s="21">
        <v>3</v>
      </c>
      <c r="AE305" s="21">
        <f t="shared" si="25"/>
        <v>31</v>
      </c>
      <c r="AF305" s="21">
        <v>16</v>
      </c>
      <c r="AG305" s="21">
        <v>15</v>
      </c>
      <c r="AH305" s="21" t="s">
        <v>2845</v>
      </c>
      <c r="AI305" s="21" t="s">
        <v>2845</v>
      </c>
      <c r="AJ305" s="21">
        <v>47.6</v>
      </c>
      <c r="AK305" s="21">
        <v>10.24</v>
      </c>
      <c r="AL305" s="21">
        <v>46.9</v>
      </c>
      <c r="AM305" s="21">
        <v>13.1</v>
      </c>
      <c r="AN305" s="21" t="s">
        <v>2918</v>
      </c>
      <c r="AO305" s="21" t="s">
        <v>1770</v>
      </c>
      <c r="AP305" s="21" t="s">
        <v>3393</v>
      </c>
      <c r="AQ305" s="21" t="s">
        <v>3226</v>
      </c>
      <c r="AR305" s="21" t="s">
        <v>1646</v>
      </c>
      <c r="AS305" s="21" t="s">
        <v>3644</v>
      </c>
      <c r="AT305" s="21" t="s">
        <v>1646</v>
      </c>
      <c r="AU305" s="21" t="s">
        <v>3648</v>
      </c>
      <c r="AV305" s="21" t="s">
        <v>2907</v>
      </c>
      <c r="AW305" s="21">
        <v>49</v>
      </c>
      <c r="AX305" s="21">
        <v>52</v>
      </c>
      <c r="AY305" s="21" t="s">
        <v>3654</v>
      </c>
      <c r="AZ305" s="21">
        <v>7.12</v>
      </c>
      <c r="BA305" s="21">
        <v>1.55</v>
      </c>
      <c r="BB305" s="21"/>
      <c r="BC305" s="21" t="s">
        <v>3666</v>
      </c>
      <c r="BD305" s="21">
        <v>7.53</v>
      </c>
      <c r="BE305" s="21">
        <v>1.63</v>
      </c>
      <c r="BF305" s="21"/>
    </row>
    <row r="306" spans="1:16384" s="56" customFormat="1" x14ac:dyDescent="0.2">
      <c r="A306" s="21">
        <v>85</v>
      </c>
      <c r="B306" s="21" t="s">
        <v>591</v>
      </c>
      <c r="C306" s="21" t="s">
        <v>592</v>
      </c>
      <c r="D306" s="21" t="s">
        <v>593</v>
      </c>
      <c r="E306" s="21" t="s">
        <v>535</v>
      </c>
      <c r="F306" s="21" t="s">
        <v>594</v>
      </c>
      <c r="G306" s="21">
        <v>2006</v>
      </c>
      <c r="H306" s="70">
        <v>38860</v>
      </c>
      <c r="I306" s="21" t="s">
        <v>32</v>
      </c>
      <c r="J306" s="21" t="s">
        <v>32</v>
      </c>
      <c r="K306" s="21" t="s">
        <v>595</v>
      </c>
      <c r="L306" s="21">
        <v>1</v>
      </c>
      <c r="M306" s="21" t="s">
        <v>32</v>
      </c>
      <c r="N306" s="21" t="s">
        <v>34</v>
      </c>
      <c r="O306" s="21" t="s">
        <v>34</v>
      </c>
      <c r="P306" s="21" t="s">
        <v>34</v>
      </c>
      <c r="Q306" s="21" t="s">
        <v>34</v>
      </c>
      <c r="R306" s="21" t="s">
        <v>34</v>
      </c>
      <c r="S306" s="21" t="s">
        <v>34</v>
      </c>
      <c r="T306" s="21" t="s">
        <v>34</v>
      </c>
      <c r="U306" s="21" t="s">
        <v>32</v>
      </c>
      <c r="V306" s="21">
        <v>1</v>
      </c>
      <c r="W306" s="21" t="s">
        <v>32</v>
      </c>
      <c r="X306" s="21" t="s">
        <v>32</v>
      </c>
      <c r="Y306" s="21" t="s">
        <v>596</v>
      </c>
      <c r="Z306" s="21" t="s">
        <v>32</v>
      </c>
      <c r="AA306" s="21">
        <v>16714037</v>
      </c>
      <c r="AB306" s="21">
        <v>1</v>
      </c>
      <c r="AC306" s="21"/>
      <c r="AD306" s="21">
        <v>3</v>
      </c>
      <c r="AE306" s="21">
        <f t="shared" si="25"/>
        <v>31</v>
      </c>
      <c r="AF306" s="21">
        <v>16</v>
      </c>
      <c r="AG306" s="21">
        <v>15</v>
      </c>
      <c r="AH306" s="21" t="s">
        <v>2845</v>
      </c>
      <c r="AI306" s="21" t="s">
        <v>2845</v>
      </c>
      <c r="AJ306" s="21">
        <v>47.6</v>
      </c>
      <c r="AK306" s="21">
        <v>10.24</v>
      </c>
      <c r="AL306" s="21">
        <v>46.9</v>
      </c>
      <c r="AM306" s="21">
        <v>13.1</v>
      </c>
      <c r="AN306" s="21" t="s">
        <v>2918</v>
      </c>
      <c r="AO306" s="21" t="s">
        <v>1770</v>
      </c>
      <c r="AP306" s="21" t="s">
        <v>3393</v>
      </c>
      <c r="AQ306" s="21" t="s">
        <v>3226</v>
      </c>
      <c r="AR306" s="21" t="s">
        <v>1646</v>
      </c>
      <c r="AS306" s="21" t="s">
        <v>3644</v>
      </c>
      <c r="AT306" s="21" t="s">
        <v>1646</v>
      </c>
      <c r="AU306" s="21" t="s">
        <v>3649</v>
      </c>
      <c r="AV306" s="21" t="s">
        <v>2907</v>
      </c>
      <c r="AW306" s="21">
        <v>49</v>
      </c>
      <c r="AX306" s="21">
        <v>52</v>
      </c>
      <c r="AY306" s="21" t="s">
        <v>3655</v>
      </c>
      <c r="AZ306" s="21">
        <v>8.24</v>
      </c>
      <c r="BA306" s="21">
        <v>1.99</v>
      </c>
      <c r="BB306" s="21"/>
      <c r="BC306" s="21" t="s">
        <v>3667</v>
      </c>
      <c r="BD306" s="21">
        <v>8.58</v>
      </c>
      <c r="BE306" s="21">
        <v>1.99</v>
      </c>
      <c r="BF306" s="21"/>
    </row>
    <row r="307" spans="1:16384" s="56" customFormat="1" x14ac:dyDescent="0.2">
      <c r="A307" s="21">
        <v>85</v>
      </c>
      <c r="B307" s="21" t="s">
        <v>591</v>
      </c>
      <c r="C307" s="21" t="s">
        <v>592</v>
      </c>
      <c r="D307" s="21" t="s">
        <v>593</v>
      </c>
      <c r="E307" s="21" t="s">
        <v>535</v>
      </c>
      <c r="F307" s="21" t="s">
        <v>594</v>
      </c>
      <c r="G307" s="21">
        <v>2006</v>
      </c>
      <c r="H307" s="70">
        <v>38860</v>
      </c>
      <c r="I307" s="21" t="s">
        <v>32</v>
      </c>
      <c r="J307" s="21" t="s">
        <v>32</v>
      </c>
      <c r="K307" s="21" t="s">
        <v>595</v>
      </c>
      <c r="L307" s="21">
        <v>1</v>
      </c>
      <c r="M307" s="21" t="s">
        <v>32</v>
      </c>
      <c r="N307" s="21" t="s">
        <v>34</v>
      </c>
      <c r="O307" s="21" t="s">
        <v>34</v>
      </c>
      <c r="P307" s="21" t="s">
        <v>34</v>
      </c>
      <c r="Q307" s="21" t="s">
        <v>34</v>
      </c>
      <c r="R307" s="21" t="s">
        <v>34</v>
      </c>
      <c r="S307" s="21" t="s">
        <v>34</v>
      </c>
      <c r="T307" s="21" t="s">
        <v>34</v>
      </c>
      <c r="U307" s="21" t="s">
        <v>32</v>
      </c>
      <c r="V307" s="21">
        <v>1</v>
      </c>
      <c r="W307" s="21" t="s">
        <v>32</v>
      </c>
      <c r="X307" s="21" t="s">
        <v>32</v>
      </c>
      <c r="Y307" s="21" t="s">
        <v>596</v>
      </c>
      <c r="Z307" s="21" t="s">
        <v>32</v>
      </c>
      <c r="AA307" s="21">
        <v>16714037</v>
      </c>
      <c r="AB307" s="21">
        <v>1</v>
      </c>
      <c r="AC307" s="21"/>
      <c r="AD307" s="21">
        <v>3</v>
      </c>
      <c r="AE307" s="21">
        <f t="shared" si="25"/>
        <v>31</v>
      </c>
      <c r="AF307" s="21">
        <v>16</v>
      </c>
      <c r="AG307" s="21">
        <v>15</v>
      </c>
      <c r="AH307" s="21" t="s">
        <v>2845</v>
      </c>
      <c r="AI307" s="21" t="s">
        <v>2845</v>
      </c>
      <c r="AJ307" s="21">
        <v>47.6</v>
      </c>
      <c r="AK307" s="21">
        <v>10.24</v>
      </c>
      <c r="AL307" s="21">
        <v>46.9</v>
      </c>
      <c r="AM307" s="21">
        <v>13.1</v>
      </c>
      <c r="AN307" s="21" t="s">
        <v>2918</v>
      </c>
      <c r="AO307" s="21" t="s">
        <v>1770</v>
      </c>
      <c r="AP307" s="21" t="s">
        <v>3393</v>
      </c>
      <c r="AQ307" s="21" t="s">
        <v>3226</v>
      </c>
      <c r="AR307" s="21" t="s">
        <v>1646</v>
      </c>
      <c r="AS307" s="21" t="s">
        <v>3644</v>
      </c>
      <c r="AT307" s="21" t="s">
        <v>1646</v>
      </c>
      <c r="AU307" s="21" t="s">
        <v>3650</v>
      </c>
      <c r="AV307" s="21" t="s">
        <v>2907</v>
      </c>
      <c r="AW307" s="21">
        <v>49</v>
      </c>
      <c r="AX307" s="21">
        <v>52</v>
      </c>
      <c r="AY307" s="21" t="s">
        <v>3656</v>
      </c>
      <c r="AZ307" s="21">
        <v>8.06</v>
      </c>
      <c r="BA307" s="21">
        <v>2.35</v>
      </c>
      <c r="BB307" s="21"/>
      <c r="BC307" s="21" t="s">
        <v>3668</v>
      </c>
      <c r="BD307" s="21">
        <v>7.55</v>
      </c>
      <c r="BE307" s="21">
        <v>2.81</v>
      </c>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c r="GJ307" s="21"/>
      <c r="GK307" s="21"/>
      <c r="GL307" s="21"/>
      <c r="GM307" s="21"/>
      <c r="GN307" s="21"/>
      <c r="GO307" s="21"/>
      <c r="GP307" s="21"/>
      <c r="GQ307" s="21"/>
      <c r="GR307" s="21"/>
      <c r="GS307" s="21"/>
      <c r="GT307" s="21"/>
      <c r="GU307" s="21"/>
      <c r="GV307" s="21"/>
      <c r="GW307" s="21"/>
      <c r="GX307" s="21"/>
      <c r="GY307" s="21"/>
      <c r="GZ307" s="21"/>
      <c r="HA307" s="21"/>
      <c r="HB307" s="21"/>
      <c r="HC307" s="21"/>
      <c r="HD307" s="21"/>
      <c r="HE307" s="21"/>
      <c r="HF307" s="21"/>
      <c r="HG307" s="21"/>
      <c r="HH307" s="21"/>
      <c r="HI307" s="21"/>
      <c r="HJ307" s="21"/>
      <c r="HK307" s="21"/>
      <c r="HL307" s="21"/>
      <c r="HM307" s="21"/>
      <c r="HN307" s="21"/>
      <c r="HO307" s="21"/>
      <c r="HP307" s="21"/>
      <c r="HQ307" s="21"/>
      <c r="HR307" s="21"/>
      <c r="HS307" s="21"/>
      <c r="HT307" s="21"/>
      <c r="HU307" s="21"/>
      <c r="HV307" s="21"/>
      <c r="HW307" s="21"/>
      <c r="HX307" s="21"/>
      <c r="HY307" s="21"/>
      <c r="HZ307" s="21"/>
      <c r="IA307" s="21"/>
      <c r="IB307" s="21"/>
      <c r="IC307" s="21"/>
      <c r="ID307" s="21"/>
      <c r="IE307" s="21"/>
      <c r="IF307" s="21"/>
      <c r="IG307" s="21"/>
      <c r="IH307" s="21"/>
      <c r="II307" s="21"/>
      <c r="IJ307" s="21"/>
      <c r="IK307" s="21"/>
      <c r="IL307" s="21"/>
      <c r="IM307" s="21"/>
      <c r="IN307" s="21"/>
      <c r="IO307" s="21"/>
      <c r="IP307" s="21"/>
      <c r="IQ307" s="21"/>
      <c r="IR307" s="21"/>
      <c r="IS307" s="21"/>
      <c r="IT307" s="21"/>
      <c r="IU307" s="21"/>
      <c r="IV307" s="21"/>
      <c r="IW307" s="21"/>
      <c r="IX307" s="21"/>
      <c r="IY307" s="21"/>
      <c r="IZ307" s="21"/>
      <c r="JA307" s="21"/>
      <c r="JB307" s="21"/>
      <c r="JC307" s="21"/>
      <c r="JD307" s="21"/>
      <c r="JE307" s="21"/>
      <c r="JF307" s="21"/>
      <c r="JG307" s="21"/>
      <c r="JH307" s="21"/>
      <c r="JI307" s="21"/>
      <c r="JJ307" s="21"/>
      <c r="JK307" s="21"/>
      <c r="JL307" s="21"/>
      <c r="JM307" s="21"/>
      <c r="JN307" s="21"/>
      <c r="JO307" s="21"/>
      <c r="JP307" s="21"/>
      <c r="JQ307" s="21"/>
      <c r="JR307" s="21"/>
      <c r="JS307" s="21"/>
      <c r="JT307" s="21"/>
      <c r="JU307" s="21"/>
      <c r="JV307" s="21"/>
      <c r="JW307" s="21"/>
      <c r="JX307" s="21"/>
      <c r="JY307" s="21"/>
      <c r="JZ307" s="21"/>
      <c r="KA307" s="21"/>
      <c r="KB307" s="21"/>
      <c r="KC307" s="21"/>
      <c r="KD307" s="21"/>
      <c r="KE307" s="21"/>
      <c r="KF307" s="21"/>
      <c r="KG307" s="21"/>
      <c r="KH307" s="21"/>
      <c r="KI307" s="21"/>
      <c r="KJ307" s="21"/>
      <c r="KK307" s="21"/>
      <c r="KL307" s="21"/>
      <c r="KM307" s="21"/>
      <c r="KN307" s="21"/>
      <c r="KO307" s="21"/>
      <c r="KP307" s="21"/>
      <c r="KQ307" s="21"/>
      <c r="KR307" s="21"/>
      <c r="KS307" s="21"/>
      <c r="KT307" s="21"/>
      <c r="KU307" s="21"/>
      <c r="KV307" s="21"/>
      <c r="KW307" s="21"/>
      <c r="KX307" s="21"/>
      <c r="KY307" s="21"/>
      <c r="KZ307" s="21"/>
      <c r="LA307" s="21"/>
      <c r="LB307" s="21"/>
      <c r="LC307" s="21"/>
      <c r="LD307" s="21"/>
      <c r="LE307" s="21"/>
      <c r="LF307" s="21"/>
      <c r="LG307" s="21"/>
      <c r="LH307" s="21"/>
      <c r="LI307" s="21"/>
      <c r="LJ307" s="21"/>
      <c r="LK307" s="21"/>
      <c r="LL307" s="21"/>
      <c r="LM307" s="21"/>
      <c r="LN307" s="21"/>
      <c r="LO307" s="21"/>
      <c r="LP307" s="21"/>
      <c r="LQ307" s="21"/>
      <c r="LR307" s="21"/>
      <c r="LS307" s="21"/>
      <c r="LT307" s="21"/>
      <c r="LU307" s="21"/>
      <c r="LV307" s="21"/>
      <c r="LW307" s="21"/>
      <c r="LX307" s="21"/>
      <c r="LY307" s="21"/>
      <c r="LZ307" s="21"/>
      <c r="MA307" s="21"/>
      <c r="MB307" s="21"/>
      <c r="MC307" s="21"/>
      <c r="MD307" s="21"/>
      <c r="ME307" s="21"/>
      <c r="MF307" s="21"/>
      <c r="MG307" s="21"/>
      <c r="MH307" s="21"/>
      <c r="MI307" s="21"/>
      <c r="MJ307" s="21"/>
      <c r="MK307" s="21"/>
      <c r="ML307" s="21"/>
      <c r="MM307" s="21"/>
      <c r="MN307" s="21"/>
      <c r="MO307" s="21"/>
      <c r="MP307" s="21"/>
      <c r="MQ307" s="21"/>
      <c r="MR307" s="21"/>
      <c r="MS307" s="21"/>
      <c r="MT307" s="21"/>
      <c r="MU307" s="21"/>
      <c r="MV307" s="21"/>
      <c r="MW307" s="21"/>
      <c r="MX307" s="21"/>
      <c r="MY307" s="21"/>
      <c r="MZ307" s="21"/>
      <c r="NA307" s="21"/>
      <c r="NB307" s="21"/>
      <c r="NC307" s="21"/>
      <c r="ND307" s="21"/>
      <c r="NE307" s="21"/>
      <c r="NF307" s="21"/>
      <c r="NG307" s="21"/>
      <c r="NH307" s="21"/>
      <c r="NI307" s="21"/>
      <c r="NJ307" s="21"/>
      <c r="NK307" s="21"/>
      <c r="NL307" s="21"/>
      <c r="NM307" s="21"/>
      <c r="NN307" s="21"/>
      <c r="NO307" s="21"/>
      <c r="NP307" s="21"/>
      <c r="NQ307" s="21"/>
      <c r="NR307" s="21"/>
      <c r="NS307" s="21"/>
      <c r="NT307" s="21"/>
      <c r="NU307" s="21"/>
      <c r="NV307" s="21"/>
      <c r="NW307" s="21"/>
      <c r="NX307" s="21"/>
      <c r="NY307" s="21"/>
      <c r="NZ307" s="21"/>
      <c r="OA307" s="21"/>
      <c r="OB307" s="21"/>
      <c r="OC307" s="21"/>
      <c r="OD307" s="21"/>
      <c r="OE307" s="21"/>
      <c r="OF307" s="21"/>
      <c r="OG307" s="21"/>
      <c r="OH307" s="21"/>
      <c r="OI307" s="21"/>
      <c r="OJ307" s="21"/>
      <c r="OK307" s="21"/>
      <c r="OL307" s="21"/>
      <c r="OM307" s="21"/>
      <c r="ON307" s="21"/>
      <c r="OO307" s="21"/>
      <c r="OP307" s="21"/>
      <c r="OQ307" s="21"/>
      <c r="OR307" s="21"/>
      <c r="OS307" s="21"/>
      <c r="OT307" s="21"/>
      <c r="OU307" s="21"/>
      <c r="OV307" s="21"/>
      <c r="OW307" s="21"/>
      <c r="OX307" s="21"/>
      <c r="OY307" s="21"/>
      <c r="OZ307" s="21"/>
      <c r="PA307" s="21"/>
      <c r="PB307" s="21"/>
      <c r="PC307" s="21"/>
      <c r="PD307" s="21"/>
      <c r="PE307" s="21"/>
      <c r="PF307" s="21"/>
      <c r="PG307" s="21"/>
      <c r="PH307" s="21"/>
      <c r="PI307" s="21"/>
      <c r="PJ307" s="21"/>
      <c r="PK307" s="21"/>
      <c r="PL307" s="21"/>
      <c r="PM307" s="21"/>
      <c r="PN307" s="21"/>
      <c r="PO307" s="21"/>
      <c r="PP307" s="21"/>
      <c r="PQ307" s="21"/>
      <c r="PR307" s="21"/>
      <c r="PS307" s="21"/>
      <c r="PT307" s="21"/>
      <c r="PU307" s="21"/>
      <c r="PV307" s="21"/>
      <c r="PW307" s="21"/>
      <c r="PX307" s="21"/>
      <c r="PY307" s="21"/>
      <c r="PZ307" s="21"/>
      <c r="QA307" s="21"/>
      <c r="QB307" s="21"/>
      <c r="QC307" s="21"/>
      <c r="QD307" s="21"/>
      <c r="QE307" s="21"/>
      <c r="QF307" s="21"/>
      <c r="QG307" s="21"/>
      <c r="QH307" s="21"/>
      <c r="QI307" s="21"/>
      <c r="QJ307" s="21"/>
      <c r="QK307" s="21"/>
      <c r="QL307" s="21"/>
      <c r="QM307" s="21"/>
      <c r="QN307" s="21"/>
      <c r="QO307" s="21"/>
      <c r="QP307" s="21"/>
      <c r="QQ307" s="21"/>
      <c r="QR307" s="21"/>
      <c r="QS307" s="21"/>
      <c r="QT307" s="21"/>
      <c r="QU307" s="21"/>
      <c r="QV307" s="21"/>
      <c r="QW307" s="21"/>
      <c r="QX307" s="21"/>
      <c r="QY307" s="21"/>
      <c r="QZ307" s="21"/>
      <c r="RA307" s="21"/>
      <c r="RB307" s="21"/>
      <c r="RC307" s="21"/>
      <c r="RD307" s="21"/>
      <c r="RE307" s="21"/>
      <c r="RF307" s="21"/>
      <c r="RG307" s="21"/>
      <c r="RH307" s="21"/>
      <c r="RI307" s="21"/>
      <c r="RJ307" s="21"/>
      <c r="RK307" s="21"/>
      <c r="RL307" s="21"/>
      <c r="RM307" s="21"/>
      <c r="RN307" s="21"/>
      <c r="RO307" s="21"/>
      <c r="RP307" s="21"/>
      <c r="RQ307" s="21"/>
      <c r="RR307" s="21"/>
      <c r="RS307" s="21"/>
      <c r="RT307" s="21"/>
      <c r="RU307" s="21"/>
      <c r="RV307" s="21"/>
      <c r="RW307" s="21"/>
      <c r="RX307" s="21"/>
      <c r="RY307" s="21"/>
      <c r="RZ307" s="21"/>
      <c r="SA307" s="21"/>
      <c r="SB307" s="21"/>
      <c r="SC307" s="21"/>
      <c r="SD307" s="21"/>
      <c r="SE307" s="21"/>
      <c r="SF307" s="21"/>
      <c r="SG307" s="21"/>
      <c r="SH307" s="21"/>
      <c r="SI307" s="21"/>
      <c r="SJ307" s="21"/>
      <c r="SK307" s="21"/>
      <c r="SL307" s="21"/>
      <c r="SM307" s="21"/>
      <c r="SN307" s="21"/>
      <c r="SO307" s="21"/>
      <c r="SP307" s="21"/>
      <c r="SQ307" s="21"/>
      <c r="SR307" s="21"/>
      <c r="SS307" s="21"/>
      <c r="ST307" s="21"/>
      <c r="SU307" s="21"/>
      <c r="SV307" s="21"/>
      <c r="SW307" s="21"/>
      <c r="SX307" s="21"/>
      <c r="SY307" s="21"/>
      <c r="SZ307" s="21"/>
      <c r="TA307" s="21"/>
      <c r="TB307" s="21"/>
      <c r="TC307" s="21"/>
      <c r="TD307" s="21"/>
      <c r="TE307" s="21"/>
      <c r="TF307" s="21"/>
      <c r="TG307" s="21"/>
      <c r="TH307" s="21"/>
      <c r="TI307" s="21"/>
      <c r="TJ307" s="21"/>
      <c r="TK307" s="21"/>
      <c r="TL307" s="21"/>
      <c r="TM307" s="21"/>
      <c r="TN307" s="21"/>
      <c r="TO307" s="21"/>
      <c r="TP307" s="21"/>
      <c r="TQ307" s="21"/>
      <c r="TR307" s="21"/>
      <c r="TS307" s="21"/>
      <c r="TT307" s="21"/>
      <c r="TU307" s="21"/>
      <c r="TV307" s="21"/>
      <c r="TW307" s="21"/>
      <c r="TX307" s="21"/>
      <c r="TY307" s="21"/>
      <c r="TZ307" s="21"/>
      <c r="UA307" s="21"/>
      <c r="UB307" s="21"/>
      <c r="UC307" s="21"/>
      <c r="UD307" s="21"/>
      <c r="UE307" s="21"/>
      <c r="UF307" s="21"/>
      <c r="UG307" s="21"/>
      <c r="UH307" s="21"/>
      <c r="UI307" s="21"/>
      <c r="UJ307" s="21"/>
      <c r="UK307" s="21"/>
      <c r="UL307" s="21"/>
      <c r="UM307" s="21"/>
      <c r="UN307" s="21"/>
      <c r="UO307" s="21"/>
      <c r="UP307" s="21"/>
      <c r="UQ307" s="21"/>
      <c r="UR307" s="21"/>
      <c r="US307" s="21"/>
      <c r="UT307" s="21"/>
      <c r="UU307" s="21"/>
      <c r="UV307" s="21"/>
      <c r="UW307" s="21"/>
      <c r="UX307" s="21"/>
      <c r="UY307" s="21"/>
      <c r="UZ307" s="21"/>
      <c r="VA307" s="21"/>
      <c r="VB307" s="21"/>
      <c r="VC307" s="21"/>
      <c r="VD307" s="21"/>
      <c r="VE307" s="21"/>
      <c r="VF307" s="21"/>
      <c r="VG307" s="21"/>
      <c r="VH307" s="21"/>
      <c r="VI307" s="21"/>
      <c r="VJ307" s="21"/>
      <c r="VK307" s="21"/>
      <c r="VL307" s="21"/>
      <c r="VM307" s="21"/>
      <c r="VN307" s="21"/>
      <c r="VO307" s="21"/>
      <c r="VP307" s="21"/>
      <c r="VQ307" s="21"/>
      <c r="VR307" s="21"/>
      <c r="VS307" s="21"/>
      <c r="VT307" s="21"/>
      <c r="VU307" s="21"/>
      <c r="VV307" s="21"/>
      <c r="VW307" s="21"/>
      <c r="VX307" s="21"/>
      <c r="VY307" s="21"/>
      <c r="VZ307" s="21"/>
      <c r="WA307" s="21"/>
      <c r="WB307" s="21"/>
      <c r="WC307" s="21"/>
      <c r="WD307" s="21"/>
      <c r="WE307" s="21"/>
      <c r="WF307" s="21"/>
      <c r="WG307" s="21"/>
      <c r="WH307" s="21"/>
      <c r="WI307" s="21"/>
      <c r="WJ307" s="21"/>
      <c r="WK307" s="21"/>
      <c r="WL307" s="21"/>
      <c r="WM307" s="21"/>
      <c r="WN307" s="21"/>
      <c r="WO307" s="21"/>
      <c r="WP307" s="21"/>
      <c r="WQ307" s="21"/>
      <c r="WR307" s="21"/>
      <c r="WS307" s="21"/>
      <c r="WT307" s="21"/>
      <c r="WU307" s="21"/>
      <c r="WV307" s="21"/>
      <c r="WW307" s="21"/>
      <c r="WX307" s="21"/>
      <c r="WY307" s="21"/>
      <c r="WZ307" s="21"/>
      <c r="XA307" s="21"/>
      <c r="XB307" s="21"/>
      <c r="XC307" s="21"/>
      <c r="XD307" s="21"/>
      <c r="XE307" s="21"/>
      <c r="XF307" s="21"/>
      <c r="XG307" s="21"/>
      <c r="XH307" s="21"/>
      <c r="XI307" s="21"/>
      <c r="XJ307" s="21"/>
      <c r="XK307" s="21"/>
      <c r="XL307" s="21"/>
      <c r="XM307" s="21"/>
      <c r="XN307" s="21"/>
      <c r="XO307" s="21"/>
      <c r="XP307" s="21"/>
      <c r="XQ307" s="21"/>
      <c r="XR307" s="21"/>
      <c r="XS307" s="21"/>
      <c r="XT307" s="21"/>
      <c r="XU307" s="21"/>
      <c r="XV307" s="21"/>
      <c r="XW307" s="21"/>
      <c r="XX307" s="21"/>
      <c r="XY307" s="21"/>
      <c r="XZ307" s="21"/>
      <c r="YA307" s="21"/>
      <c r="YB307" s="21"/>
      <c r="YC307" s="21"/>
      <c r="YD307" s="21"/>
      <c r="YE307" s="21"/>
      <c r="YF307" s="21"/>
      <c r="YG307" s="21"/>
      <c r="YH307" s="21"/>
      <c r="YI307" s="21"/>
      <c r="YJ307" s="21"/>
      <c r="YK307" s="21"/>
      <c r="YL307" s="21"/>
      <c r="YM307" s="21"/>
      <c r="YN307" s="21"/>
      <c r="YO307" s="21"/>
      <c r="YP307" s="21"/>
      <c r="YQ307" s="21"/>
      <c r="YR307" s="21"/>
      <c r="YS307" s="21"/>
      <c r="YT307" s="21"/>
      <c r="YU307" s="21"/>
      <c r="YV307" s="21"/>
      <c r="YW307" s="21"/>
      <c r="YX307" s="21"/>
      <c r="YY307" s="21"/>
      <c r="YZ307" s="21"/>
      <c r="ZA307" s="21"/>
      <c r="ZB307" s="21"/>
      <c r="ZC307" s="21"/>
      <c r="ZD307" s="21"/>
      <c r="ZE307" s="21"/>
      <c r="ZF307" s="21"/>
      <c r="ZG307" s="21"/>
      <c r="ZH307" s="21"/>
      <c r="ZI307" s="21"/>
      <c r="ZJ307" s="21"/>
      <c r="ZK307" s="21"/>
      <c r="ZL307" s="21"/>
      <c r="ZM307" s="21"/>
      <c r="ZN307" s="21"/>
      <c r="ZO307" s="21"/>
      <c r="ZP307" s="21"/>
      <c r="ZQ307" s="21"/>
      <c r="ZR307" s="21"/>
      <c r="ZS307" s="21"/>
      <c r="ZT307" s="21"/>
      <c r="ZU307" s="21"/>
      <c r="ZV307" s="21"/>
      <c r="ZW307" s="21"/>
      <c r="ZX307" s="21"/>
      <c r="ZY307" s="21"/>
      <c r="ZZ307" s="21"/>
      <c r="AAA307" s="21"/>
      <c r="AAB307" s="21"/>
      <c r="AAC307" s="21"/>
      <c r="AAD307" s="21"/>
      <c r="AAE307" s="21"/>
      <c r="AAF307" s="21"/>
      <c r="AAG307" s="21"/>
      <c r="AAH307" s="21"/>
      <c r="AAI307" s="21"/>
      <c r="AAJ307" s="21"/>
      <c r="AAK307" s="21"/>
      <c r="AAL307" s="21"/>
      <c r="AAM307" s="21"/>
      <c r="AAN307" s="21"/>
      <c r="AAO307" s="21"/>
      <c r="AAP307" s="21"/>
      <c r="AAQ307" s="21"/>
      <c r="AAR307" s="21"/>
      <c r="AAS307" s="21"/>
      <c r="AAT307" s="21"/>
      <c r="AAU307" s="21"/>
      <c r="AAV307" s="21"/>
      <c r="AAW307" s="21"/>
      <c r="AAX307" s="21"/>
      <c r="AAY307" s="21"/>
      <c r="AAZ307" s="21"/>
      <c r="ABA307" s="21"/>
      <c r="ABB307" s="21"/>
      <c r="ABC307" s="21"/>
      <c r="ABD307" s="21"/>
      <c r="ABE307" s="21"/>
      <c r="ABF307" s="21"/>
      <c r="ABG307" s="21"/>
      <c r="ABH307" s="21"/>
      <c r="ABI307" s="21"/>
      <c r="ABJ307" s="21"/>
      <c r="ABK307" s="21"/>
      <c r="ABL307" s="21"/>
      <c r="ABM307" s="21"/>
      <c r="ABN307" s="21"/>
      <c r="ABO307" s="21"/>
      <c r="ABP307" s="21"/>
      <c r="ABQ307" s="21"/>
      <c r="ABR307" s="21"/>
      <c r="ABS307" s="21"/>
      <c r="ABT307" s="21"/>
      <c r="ABU307" s="21"/>
      <c r="ABV307" s="21"/>
      <c r="ABW307" s="21"/>
      <c r="ABX307" s="21"/>
      <c r="ABY307" s="21"/>
      <c r="ABZ307" s="21"/>
      <c r="ACA307" s="21"/>
      <c r="ACB307" s="21"/>
      <c r="ACC307" s="21"/>
      <c r="ACD307" s="21"/>
      <c r="ACE307" s="21"/>
      <c r="ACF307" s="21"/>
      <c r="ACG307" s="21"/>
      <c r="ACH307" s="21"/>
      <c r="ACI307" s="21"/>
      <c r="ACJ307" s="21"/>
      <c r="ACK307" s="21"/>
      <c r="ACL307" s="21"/>
      <c r="ACM307" s="21"/>
      <c r="ACN307" s="21"/>
      <c r="ACO307" s="21"/>
      <c r="ACP307" s="21"/>
      <c r="ACQ307" s="21"/>
      <c r="ACR307" s="21"/>
      <c r="ACS307" s="21"/>
      <c r="ACT307" s="21"/>
      <c r="ACU307" s="21"/>
      <c r="ACV307" s="21"/>
      <c r="ACW307" s="21"/>
      <c r="ACX307" s="21"/>
      <c r="ACY307" s="21"/>
      <c r="ACZ307" s="21"/>
      <c r="ADA307" s="21"/>
      <c r="ADB307" s="21"/>
      <c r="ADC307" s="21"/>
      <c r="ADD307" s="21"/>
      <c r="ADE307" s="21"/>
      <c r="ADF307" s="21"/>
      <c r="ADG307" s="21"/>
      <c r="ADH307" s="21"/>
      <c r="ADI307" s="21"/>
      <c r="ADJ307" s="21"/>
      <c r="ADK307" s="21"/>
      <c r="ADL307" s="21"/>
      <c r="ADM307" s="21"/>
      <c r="ADN307" s="21"/>
      <c r="ADO307" s="21"/>
      <c r="ADP307" s="21"/>
      <c r="ADQ307" s="21"/>
      <c r="ADR307" s="21"/>
      <c r="ADS307" s="21"/>
      <c r="ADT307" s="21"/>
      <c r="ADU307" s="21"/>
      <c r="ADV307" s="21"/>
      <c r="ADW307" s="21"/>
      <c r="ADX307" s="21"/>
      <c r="ADY307" s="21"/>
      <c r="ADZ307" s="21"/>
      <c r="AEA307" s="21"/>
      <c r="AEB307" s="21"/>
      <c r="AEC307" s="21"/>
      <c r="AED307" s="21"/>
      <c r="AEE307" s="21"/>
      <c r="AEF307" s="21"/>
      <c r="AEG307" s="21"/>
      <c r="AEH307" s="21"/>
      <c r="AEI307" s="21"/>
      <c r="AEJ307" s="21"/>
      <c r="AEK307" s="21"/>
      <c r="AEL307" s="21"/>
      <c r="AEM307" s="21"/>
      <c r="AEN307" s="21"/>
      <c r="AEO307" s="21"/>
      <c r="AEP307" s="21"/>
      <c r="AEQ307" s="21"/>
      <c r="AER307" s="21"/>
      <c r="AES307" s="21"/>
      <c r="AET307" s="21"/>
      <c r="AEU307" s="21"/>
      <c r="AEV307" s="21"/>
      <c r="AEW307" s="21"/>
      <c r="AEX307" s="21"/>
      <c r="AEY307" s="21"/>
      <c r="AEZ307" s="21"/>
      <c r="AFA307" s="21"/>
      <c r="AFB307" s="21"/>
      <c r="AFC307" s="21"/>
      <c r="AFD307" s="21"/>
      <c r="AFE307" s="21"/>
      <c r="AFF307" s="21"/>
      <c r="AFG307" s="21"/>
      <c r="AFH307" s="21"/>
      <c r="AFI307" s="21"/>
      <c r="AFJ307" s="21"/>
      <c r="AFK307" s="21"/>
      <c r="AFL307" s="21"/>
      <c r="AFM307" s="21"/>
      <c r="AFN307" s="21"/>
      <c r="AFO307" s="21"/>
      <c r="AFP307" s="21"/>
      <c r="AFQ307" s="21"/>
      <c r="AFR307" s="21"/>
      <c r="AFS307" s="21"/>
      <c r="AFT307" s="21"/>
      <c r="AFU307" s="21"/>
      <c r="AFV307" s="21"/>
      <c r="AFW307" s="21"/>
      <c r="AFX307" s="21"/>
      <c r="AFY307" s="21"/>
      <c r="AFZ307" s="21"/>
      <c r="AGA307" s="21"/>
      <c r="AGB307" s="21"/>
      <c r="AGC307" s="21"/>
      <c r="AGD307" s="21"/>
      <c r="AGE307" s="21"/>
      <c r="AGF307" s="21"/>
      <c r="AGG307" s="21"/>
      <c r="AGH307" s="21"/>
      <c r="AGI307" s="21"/>
      <c r="AGJ307" s="21"/>
      <c r="AGK307" s="21"/>
      <c r="AGL307" s="21"/>
      <c r="AGM307" s="21"/>
      <c r="AGN307" s="21"/>
      <c r="AGO307" s="21"/>
      <c r="AGP307" s="21"/>
      <c r="AGQ307" s="21"/>
      <c r="AGR307" s="21"/>
      <c r="AGS307" s="21"/>
      <c r="AGT307" s="21"/>
      <c r="AGU307" s="21"/>
      <c r="AGV307" s="21"/>
      <c r="AGW307" s="21"/>
      <c r="AGX307" s="21"/>
      <c r="AGY307" s="21"/>
      <c r="AGZ307" s="21"/>
      <c r="AHA307" s="21"/>
      <c r="AHB307" s="21"/>
      <c r="AHC307" s="21"/>
      <c r="AHD307" s="21"/>
      <c r="AHE307" s="21"/>
      <c r="AHF307" s="21"/>
      <c r="AHG307" s="21"/>
      <c r="AHH307" s="21"/>
      <c r="AHI307" s="21"/>
      <c r="AHJ307" s="21"/>
      <c r="AHK307" s="21"/>
      <c r="AHL307" s="21"/>
      <c r="AHM307" s="21"/>
      <c r="AHN307" s="21"/>
      <c r="AHO307" s="21"/>
      <c r="AHP307" s="21"/>
      <c r="AHQ307" s="21"/>
      <c r="AHR307" s="21"/>
      <c r="AHS307" s="21"/>
      <c r="AHT307" s="21"/>
      <c r="AHU307" s="21"/>
      <c r="AHV307" s="21"/>
      <c r="AHW307" s="21"/>
      <c r="AHX307" s="21"/>
      <c r="AHY307" s="21"/>
      <c r="AHZ307" s="21"/>
      <c r="AIA307" s="21"/>
      <c r="AIB307" s="21"/>
      <c r="AIC307" s="21"/>
      <c r="AID307" s="21"/>
      <c r="AIE307" s="21"/>
      <c r="AIF307" s="21"/>
      <c r="AIG307" s="21"/>
      <c r="AIH307" s="21"/>
      <c r="AII307" s="21"/>
      <c r="AIJ307" s="21"/>
      <c r="AIK307" s="21"/>
      <c r="AIL307" s="21"/>
      <c r="AIM307" s="21"/>
      <c r="AIN307" s="21"/>
      <c r="AIO307" s="21"/>
      <c r="AIP307" s="21"/>
      <c r="AIQ307" s="21"/>
      <c r="AIR307" s="21"/>
      <c r="AIS307" s="21"/>
      <c r="AIT307" s="21"/>
      <c r="AIU307" s="21"/>
      <c r="AIV307" s="21"/>
      <c r="AIW307" s="21"/>
      <c r="AIX307" s="21"/>
      <c r="AIY307" s="21"/>
      <c r="AIZ307" s="21"/>
      <c r="AJA307" s="21"/>
      <c r="AJB307" s="21"/>
      <c r="AJC307" s="21"/>
      <c r="AJD307" s="21"/>
      <c r="AJE307" s="21"/>
      <c r="AJF307" s="21"/>
      <c r="AJG307" s="21"/>
      <c r="AJH307" s="21"/>
      <c r="AJI307" s="21"/>
      <c r="AJJ307" s="21"/>
      <c r="AJK307" s="21"/>
      <c r="AJL307" s="21"/>
      <c r="AJM307" s="21"/>
      <c r="AJN307" s="21"/>
      <c r="AJO307" s="21"/>
      <c r="AJP307" s="21"/>
      <c r="AJQ307" s="21"/>
      <c r="AJR307" s="21"/>
      <c r="AJS307" s="21"/>
      <c r="AJT307" s="21"/>
      <c r="AJU307" s="21"/>
      <c r="AJV307" s="21"/>
      <c r="AJW307" s="21"/>
      <c r="AJX307" s="21"/>
      <c r="AJY307" s="21"/>
      <c r="AJZ307" s="21"/>
      <c r="AKA307" s="21"/>
      <c r="AKB307" s="21"/>
      <c r="AKC307" s="21"/>
      <c r="AKD307" s="21"/>
      <c r="AKE307" s="21"/>
      <c r="AKF307" s="21"/>
      <c r="AKG307" s="21"/>
      <c r="AKH307" s="21"/>
      <c r="AKI307" s="21"/>
      <c r="AKJ307" s="21"/>
      <c r="AKK307" s="21"/>
      <c r="AKL307" s="21"/>
      <c r="AKM307" s="21"/>
      <c r="AKN307" s="21"/>
      <c r="AKO307" s="21"/>
      <c r="AKP307" s="21"/>
      <c r="AKQ307" s="21"/>
      <c r="AKR307" s="21"/>
      <c r="AKS307" s="21"/>
      <c r="AKT307" s="21"/>
      <c r="AKU307" s="21"/>
      <c r="AKV307" s="21"/>
      <c r="AKW307" s="21"/>
      <c r="AKX307" s="21"/>
      <c r="AKY307" s="21"/>
      <c r="AKZ307" s="21"/>
      <c r="ALA307" s="21"/>
      <c r="ALB307" s="21"/>
      <c r="ALC307" s="21"/>
      <c r="ALD307" s="21"/>
      <c r="ALE307" s="21"/>
      <c r="ALF307" s="21"/>
      <c r="ALG307" s="21"/>
      <c r="ALH307" s="21"/>
      <c r="ALI307" s="21"/>
      <c r="ALJ307" s="21"/>
      <c r="ALK307" s="21"/>
      <c r="ALL307" s="21"/>
      <c r="ALM307" s="21"/>
      <c r="ALN307" s="21"/>
      <c r="ALO307" s="21"/>
      <c r="ALP307" s="21"/>
      <c r="ALQ307" s="21"/>
      <c r="ALR307" s="21"/>
      <c r="ALS307" s="21"/>
      <c r="ALT307" s="21"/>
      <c r="ALU307" s="21"/>
      <c r="ALV307" s="21"/>
      <c r="ALW307" s="21"/>
      <c r="ALX307" s="21"/>
      <c r="ALY307" s="21"/>
      <c r="ALZ307" s="21"/>
      <c r="AMA307" s="21"/>
      <c r="AMB307" s="21"/>
      <c r="AMC307" s="21"/>
      <c r="AMD307" s="21"/>
      <c r="AME307" s="21"/>
      <c r="AMF307" s="21"/>
      <c r="AMG307" s="21"/>
      <c r="AMH307" s="21"/>
      <c r="AMI307" s="21"/>
      <c r="AMJ307" s="21"/>
      <c r="AMK307" s="21"/>
      <c r="AML307" s="21"/>
      <c r="AMM307" s="21"/>
      <c r="AMN307" s="21"/>
      <c r="AMO307" s="21"/>
      <c r="AMP307" s="21"/>
      <c r="AMQ307" s="21"/>
      <c r="AMR307" s="21"/>
      <c r="AMS307" s="21"/>
      <c r="AMT307" s="21"/>
      <c r="AMU307" s="21"/>
      <c r="AMV307" s="21"/>
      <c r="AMW307" s="21"/>
      <c r="AMX307" s="21"/>
      <c r="AMY307" s="21"/>
      <c r="AMZ307" s="21"/>
      <c r="ANA307" s="21"/>
      <c r="ANB307" s="21"/>
      <c r="ANC307" s="21"/>
      <c r="AND307" s="21"/>
      <c r="ANE307" s="21"/>
      <c r="ANF307" s="21"/>
      <c r="ANG307" s="21"/>
      <c r="ANH307" s="21"/>
      <c r="ANI307" s="21"/>
      <c r="ANJ307" s="21"/>
      <c r="ANK307" s="21"/>
      <c r="ANL307" s="21"/>
      <c r="ANM307" s="21"/>
      <c r="ANN307" s="21"/>
      <c r="ANO307" s="21"/>
      <c r="ANP307" s="21"/>
      <c r="ANQ307" s="21"/>
      <c r="ANR307" s="21"/>
      <c r="ANS307" s="21"/>
      <c r="ANT307" s="21"/>
      <c r="ANU307" s="21"/>
      <c r="ANV307" s="21"/>
      <c r="ANW307" s="21"/>
      <c r="ANX307" s="21"/>
      <c r="ANY307" s="21"/>
      <c r="ANZ307" s="21"/>
      <c r="AOA307" s="21"/>
      <c r="AOB307" s="21"/>
      <c r="AOC307" s="21"/>
      <c r="AOD307" s="21"/>
      <c r="AOE307" s="21"/>
      <c r="AOF307" s="21"/>
      <c r="AOG307" s="21"/>
      <c r="AOH307" s="21"/>
      <c r="AOI307" s="21"/>
      <c r="AOJ307" s="21"/>
      <c r="AOK307" s="21"/>
      <c r="AOL307" s="21"/>
      <c r="AOM307" s="21"/>
      <c r="AON307" s="21"/>
      <c r="AOO307" s="21"/>
      <c r="AOP307" s="21"/>
      <c r="AOQ307" s="21"/>
      <c r="AOR307" s="21"/>
      <c r="AOS307" s="21"/>
      <c r="AOT307" s="21"/>
      <c r="AOU307" s="21"/>
      <c r="AOV307" s="21"/>
      <c r="AOW307" s="21"/>
      <c r="AOX307" s="21"/>
      <c r="AOY307" s="21"/>
      <c r="AOZ307" s="21"/>
      <c r="APA307" s="21"/>
      <c r="APB307" s="21"/>
      <c r="APC307" s="21"/>
      <c r="APD307" s="21"/>
      <c r="APE307" s="21"/>
      <c r="APF307" s="21"/>
      <c r="APG307" s="21"/>
      <c r="APH307" s="21"/>
      <c r="API307" s="21"/>
      <c r="APJ307" s="21"/>
      <c r="APK307" s="21"/>
      <c r="APL307" s="21"/>
      <c r="APM307" s="21"/>
      <c r="APN307" s="21"/>
      <c r="APO307" s="21"/>
      <c r="APP307" s="21"/>
      <c r="APQ307" s="21"/>
      <c r="APR307" s="21"/>
      <c r="APS307" s="21"/>
      <c r="APT307" s="21"/>
      <c r="APU307" s="21"/>
      <c r="APV307" s="21"/>
      <c r="APW307" s="21"/>
      <c r="APX307" s="21"/>
      <c r="APY307" s="21"/>
      <c r="APZ307" s="21"/>
      <c r="AQA307" s="21"/>
      <c r="AQB307" s="21"/>
      <c r="AQC307" s="21"/>
      <c r="AQD307" s="21"/>
      <c r="AQE307" s="21"/>
      <c r="AQF307" s="21"/>
      <c r="AQG307" s="21"/>
      <c r="AQH307" s="21"/>
      <c r="AQI307" s="21"/>
      <c r="AQJ307" s="21"/>
      <c r="AQK307" s="21"/>
      <c r="AQL307" s="21"/>
      <c r="AQM307" s="21"/>
      <c r="AQN307" s="21"/>
      <c r="AQO307" s="21"/>
      <c r="AQP307" s="21"/>
      <c r="AQQ307" s="21"/>
      <c r="AQR307" s="21"/>
      <c r="AQS307" s="21"/>
      <c r="AQT307" s="21"/>
      <c r="AQU307" s="21"/>
      <c r="AQV307" s="21"/>
      <c r="AQW307" s="21"/>
      <c r="AQX307" s="21"/>
      <c r="AQY307" s="21"/>
      <c r="AQZ307" s="21"/>
      <c r="ARA307" s="21"/>
      <c r="ARB307" s="21"/>
      <c r="ARC307" s="21"/>
      <c r="ARD307" s="21"/>
      <c r="ARE307" s="21"/>
      <c r="ARF307" s="21"/>
      <c r="ARG307" s="21"/>
      <c r="ARH307" s="21"/>
      <c r="ARI307" s="21"/>
      <c r="ARJ307" s="21"/>
      <c r="ARK307" s="21"/>
      <c r="ARL307" s="21"/>
      <c r="ARM307" s="21"/>
      <c r="ARN307" s="21"/>
      <c r="ARO307" s="21"/>
      <c r="ARP307" s="21"/>
      <c r="ARQ307" s="21"/>
      <c r="ARR307" s="21"/>
      <c r="ARS307" s="21"/>
      <c r="ART307" s="21"/>
      <c r="ARU307" s="21"/>
      <c r="ARV307" s="21"/>
      <c r="ARW307" s="21"/>
      <c r="ARX307" s="21"/>
      <c r="ARY307" s="21"/>
      <c r="ARZ307" s="21"/>
      <c r="ASA307" s="21"/>
      <c r="ASB307" s="21"/>
      <c r="ASC307" s="21"/>
      <c r="ASD307" s="21"/>
      <c r="ASE307" s="21"/>
      <c r="ASF307" s="21"/>
      <c r="ASG307" s="21"/>
      <c r="ASH307" s="21"/>
      <c r="ASI307" s="21"/>
      <c r="ASJ307" s="21"/>
      <c r="ASK307" s="21"/>
      <c r="ASL307" s="21"/>
      <c r="ASM307" s="21"/>
      <c r="ASN307" s="21"/>
      <c r="ASO307" s="21"/>
      <c r="ASP307" s="21"/>
      <c r="ASQ307" s="21"/>
      <c r="ASR307" s="21"/>
      <c r="ASS307" s="21"/>
      <c r="AST307" s="21"/>
      <c r="ASU307" s="21"/>
      <c r="ASV307" s="21"/>
      <c r="ASW307" s="21"/>
      <c r="ASX307" s="21"/>
      <c r="ASY307" s="21"/>
      <c r="ASZ307" s="21"/>
      <c r="ATA307" s="21"/>
      <c r="ATB307" s="21"/>
      <c r="ATC307" s="21"/>
      <c r="ATD307" s="21"/>
      <c r="ATE307" s="21"/>
      <c r="ATF307" s="21"/>
      <c r="ATG307" s="21"/>
      <c r="ATH307" s="21"/>
      <c r="ATI307" s="21"/>
      <c r="ATJ307" s="21"/>
      <c r="ATK307" s="21"/>
      <c r="ATL307" s="21"/>
      <c r="ATM307" s="21"/>
      <c r="ATN307" s="21"/>
      <c r="ATO307" s="21"/>
      <c r="ATP307" s="21"/>
      <c r="ATQ307" s="21"/>
      <c r="ATR307" s="21"/>
      <c r="ATS307" s="21"/>
      <c r="ATT307" s="21"/>
      <c r="ATU307" s="21"/>
      <c r="ATV307" s="21"/>
      <c r="ATW307" s="21"/>
      <c r="ATX307" s="21"/>
      <c r="ATY307" s="21"/>
      <c r="ATZ307" s="21"/>
      <c r="AUA307" s="21"/>
      <c r="AUB307" s="21"/>
      <c r="AUC307" s="21"/>
      <c r="AUD307" s="21"/>
      <c r="AUE307" s="21"/>
      <c r="AUF307" s="21"/>
      <c r="AUG307" s="21"/>
      <c r="AUH307" s="21"/>
      <c r="AUI307" s="21"/>
      <c r="AUJ307" s="21"/>
      <c r="AUK307" s="21"/>
      <c r="AUL307" s="21"/>
      <c r="AUM307" s="21"/>
      <c r="AUN307" s="21"/>
      <c r="AUO307" s="21"/>
      <c r="AUP307" s="21"/>
      <c r="AUQ307" s="21"/>
      <c r="AUR307" s="21"/>
      <c r="AUS307" s="21"/>
      <c r="AUT307" s="21"/>
      <c r="AUU307" s="21"/>
      <c r="AUV307" s="21"/>
      <c r="AUW307" s="21"/>
      <c r="AUX307" s="21"/>
      <c r="AUY307" s="21"/>
      <c r="AUZ307" s="21"/>
      <c r="AVA307" s="21"/>
      <c r="AVB307" s="21"/>
      <c r="AVC307" s="21"/>
      <c r="AVD307" s="21"/>
      <c r="AVE307" s="21"/>
      <c r="AVF307" s="21"/>
      <c r="AVG307" s="21"/>
      <c r="AVH307" s="21"/>
      <c r="AVI307" s="21"/>
      <c r="AVJ307" s="21"/>
      <c r="AVK307" s="21"/>
      <c r="AVL307" s="21"/>
      <c r="AVM307" s="21"/>
      <c r="AVN307" s="21"/>
      <c r="AVO307" s="21"/>
      <c r="AVP307" s="21"/>
      <c r="AVQ307" s="21"/>
      <c r="AVR307" s="21"/>
      <c r="AVS307" s="21"/>
      <c r="AVT307" s="21"/>
      <c r="AVU307" s="21"/>
      <c r="AVV307" s="21"/>
      <c r="AVW307" s="21"/>
      <c r="AVX307" s="21"/>
      <c r="AVY307" s="21"/>
      <c r="AVZ307" s="21"/>
      <c r="AWA307" s="21"/>
      <c r="AWB307" s="21"/>
      <c r="AWC307" s="21"/>
      <c r="AWD307" s="21"/>
      <c r="AWE307" s="21"/>
      <c r="AWF307" s="21"/>
      <c r="AWG307" s="21"/>
      <c r="AWH307" s="21"/>
      <c r="AWI307" s="21"/>
      <c r="AWJ307" s="21"/>
      <c r="AWK307" s="21"/>
      <c r="AWL307" s="21"/>
      <c r="AWM307" s="21"/>
      <c r="AWN307" s="21"/>
      <c r="AWO307" s="21"/>
      <c r="AWP307" s="21"/>
      <c r="AWQ307" s="21"/>
      <c r="AWR307" s="21"/>
      <c r="AWS307" s="21"/>
      <c r="AWT307" s="21"/>
      <c r="AWU307" s="21"/>
      <c r="AWV307" s="21"/>
      <c r="AWW307" s="21"/>
      <c r="AWX307" s="21"/>
      <c r="AWY307" s="21"/>
      <c r="AWZ307" s="21"/>
      <c r="AXA307" s="21"/>
      <c r="AXB307" s="21"/>
      <c r="AXC307" s="21"/>
      <c r="AXD307" s="21"/>
      <c r="AXE307" s="21"/>
      <c r="AXF307" s="21"/>
      <c r="AXG307" s="21"/>
      <c r="AXH307" s="21"/>
      <c r="AXI307" s="21"/>
      <c r="AXJ307" s="21"/>
      <c r="AXK307" s="21"/>
      <c r="AXL307" s="21"/>
      <c r="AXM307" s="21"/>
      <c r="AXN307" s="21"/>
      <c r="AXO307" s="21"/>
      <c r="AXP307" s="21"/>
      <c r="AXQ307" s="21"/>
      <c r="AXR307" s="21"/>
      <c r="AXS307" s="21"/>
      <c r="AXT307" s="21"/>
      <c r="AXU307" s="21"/>
      <c r="AXV307" s="21"/>
      <c r="AXW307" s="21"/>
      <c r="AXX307" s="21"/>
      <c r="AXY307" s="21"/>
      <c r="AXZ307" s="21"/>
      <c r="AYA307" s="21"/>
      <c r="AYB307" s="21"/>
      <c r="AYC307" s="21"/>
      <c r="AYD307" s="21"/>
      <c r="AYE307" s="21"/>
      <c r="AYF307" s="21"/>
      <c r="AYG307" s="21"/>
      <c r="AYH307" s="21"/>
      <c r="AYI307" s="21"/>
      <c r="AYJ307" s="21"/>
      <c r="AYK307" s="21"/>
      <c r="AYL307" s="21"/>
      <c r="AYM307" s="21"/>
      <c r="AYN307" s="21"/>
      <c r="AYO307" s="21"/>
      <c r="AYP307" s="21"/>
      <c r="AYQ307" s="21"/>
      <c r="AYR307" s="21"/>
      <c r="AYS307" s="21"/>
      <c r="AYT307" s="21"/>
      <c r="AYU307" s="21"/>
      <c r="AYV307" s="21"/>
      <c r="AYW307" s="21"/>
      <c r="AYX307" s="21"/>
      <c r="AYY307" s="21"/>
      <c r="AYZ307" s="21"/>
      <c r="AZA307" s="21"/>
      <c r="AZB307" s="21"/>
      <c r="AZC307" s="21"/>
      <c r="AZD307" s="21"/>
      <c r="AZE307" s="21"/>
      <c r="AZF307" s="21"/>
      <c r="AZG307" s="21"/>
      <c r="AZH307" s="21"/>
      <c r="AZI307" s="21"/>
      <c r="AZJ307" s="21"/>
      <c r="AZK307" s="21"/>
      <c r="AZL307" s="21"/>
      <c r="AZM307" s="21"/>
      <c r="AZN307" s="21"/>
      <c r="AZO307" s="21"/>
      <c r="AZP307" s="21"/>
      <c r="AZQ307" s="21"/>
      <c r="AZR307" s="21"/>
      <c r="AZS307" s="21"/>
      <c r="AZT307" s="21"/>
      <c r="AZU307" s="21"/>
      <c r="AZV307" s="21"/>
      <c r="AZW307" s="21"/>
      <c r="AZX307" s="21"/>
      <c r="AZY307" s="21"/>
      <c r="AZZ307" s="21"/>
      <c r="BAA307" s="21"/>
      <c r="BAB307" s="21"/>
      <c r="BAC307" s="21"/>
      <c r="BAD307" s="21"/>
      <c r="BAE307" s="21"/>
      <c r="BAF307" s="21"/>
      <c r="BAG307" s="21"/>
      <c r="BAH307" s="21"/>
      <c r="BAI307" s="21"/>
      <c r="BAJ307" s="21"/>
      <c r="BAK307" s="21"/>
      <c r="BAL307" s="21"/>
      <c r="BAM307" s="21"/>
      <c r="BAN307" s="21"/>
      <c r="BAO307" s="21"/>
      <c r="BAP307" s="21"/>
      <c r="BAQ307" s="21"/>
      <c r="BAR307" s="21"/>
      <c r="BAS307" s="21"/>
      <c r="BAT307" s="21"/>
      <c r="BAU307" s="21"/>
      <c r="BAV307" s="21"/>
      <c r="BAW307" s="21"/>
      <c r="BAX307" s="21"/>
      <c r="BAY307" s="21"/>
      <c r="BAZ307" s="21"/>
      <c r="BBA307" s="21"/>
      <c r="BBB307" s="21"/>
      <c r="BBC307" s="21"/>
      <c r="BBD307" s="21"/>
      <c r="BBE307" s="21"/>
      <c r="BBF307" s="21"/>
      <c r="BBG307" s="21"/>
      <c r="BBH307" s="21"/>
      <c r="BBI307" s="21"/>
      <c r="BBJ307" s="21"/>
      <c r="BBK307" s="21"/>
      <c r="BBL307" s="21"/>
      <c r="BBM307" s="21"/>
      <c r="BBN307" s="21"/>
      <c r="BBO307" s="21"/>
      <c r="BBP307" s="21"/>
      <c r="BBQ307" s="21"/>
      <c r="BBR307" s="21"/>
      <c r="BBS307" s="21"/>
      <c r="BBT307" s="21"/>
      <c r="BBU307" s="21"/>
      <c r="BBV307" s="21"/>
      <c r="BBW307" s="21"/>
      <c r="BBX307" s="21"/>
      <c r="BBY307" s="21"/>
      <c r="BBZ307" s="21"/>
      <c r="BCA307" s="21"/>
      <c r="BCB307" s="21"/>
      <c r="BCC307" s="21"/>
      <c r="BCD307" s="21"/>
      <c r="BCE307" s="21"/>
      <c r="BCF307" s="21"/>
      <c r="BCG307" s="21"/>
      <c r="BCH307" s="21"/>
      <c r="BCI307" s="21"/>
      <c r="BCJ307" s="21"/>
      <c r="BCK307" s="21"/>
      <c r="BCL307" s="21"/>
      <c r="BCM307" s="21"/>
      <c r="BCN307" s="21"/>
      <c r="BCO307" s="21"/>
      <c r="BCP307" s="21"/>
      <c r="BCQ307" s="21"/>
      <c r="BCR307" s="21"/>
      <c r="BCS307" s="21"/>
      <c r="BCT307" s="21"/>
      <c r="BCU307" s="21"/>
      <c r="BCV307" s="21"/>
      <c r="BCW307" s="21"/>
      <c r="BCX307" s="21"/>
      <c r="BCY307" s="21"/>
      <c r="BCZ307" s="21"/>
      <c r="BDA307" s="21"/>
      <c r="BDB307" s="21"/>
      <c r="BDC307" s="21"/>
      <c r="BDD307" s="21"/>
      <c r="BDE307" s="21"/>
      <c r="BDF307" s="21"/>
      <c r="BDG307" s="21"/>
      <c r="BDH307" s="21"/>
      <c r="BDI307" s="21"/>
      <c r="BDJ307" s="21"/>
      <c r="BDK307" s="21"/>
      <c r="BDL307" s="21"/>
      <c r="BDM307" s="21"/>
      <c r="BDN307" s="21"/>
      <c r="BDO307" s="21"/>
      <c r="BDP307" s="21"/>
      <c r="BDQ307" s="21"/>
      <c r="BDR307" s="21"/>
      <c r="BDS307" s="21"/>
      <c r="BDT307" s="21"/>
      <c r="BDU307" s="21"/>
      <c r="BDV307" s="21"/>
      <c r="BDW307" s="21"/>
      <c r="BDX307" s="21"/>
      <c r="BDY307" s="21"/>
      <c r="BDZ307" s="21"/>
      <c r="BEA307" s="21"/>
      <c r="BEB307" s="21"/>
      <c r="BEC307" s="21"/>
      <c r="BED307" s="21"/>
      <c r="BEE307" s="21"/>
      <c r="BEF307" s="21"/>
      <c r="BEG307" s="21"/>
      <c r="BEH307" s="21"/>
      <c r="BEI307" s="21"/>
      <c r="BEJ307" s="21"/>
      <c r="BEK307" s="21"/>
      <c r="BEL307" s="21"/>
      <c r="BEM307" s="21"/>
      <c r="BEN307" s="21"/>
      <c r="BEO307" s="21"/>
      <c r="BEP307" s="21"/>
      <c r="BEQ307" s="21"/>
      <c r="BER307" s="21"/>
      <c r="BES307" s="21"/>
      <c r="BET307" s="21"/>
      <c r="BEU307" s="21"/>
      <c r="BEV307" s="21"/>
      <c r="BEW307" s="21"/>
      <c r="BEX307" s="21"/>
      <c r="BEY307" s="21"/>
      <c r="BEZ307" s="21"/>
      <c r="BFA307" s="21"/>
      <c r="BFB307" s="21"/>
      <c r="BFC307" s="21"/>
      <c r="BFD307" s="21"/>
      <c r="BFE307" s="21"/>
      <c r="BFF307" s="21"/>
      <c r="BFG307" s="21"/>
      <c r="BFH307" s="21"/>
      <c r="BFI307" s="21"/>
      <c r="BFJ307" s="21"/>
      <c r="BFK307" s="21"/>
      <c r="BFL307" s="21"/>
      <c r="BFM307" s="21"/>
      <c r="BFN307" s="21"/>
      <c r="BFO307" s="21"/>
      <c r="BFP307" s="21"/>
      <c r="BFQ307" s="21"/>
      <c r="BFR307" s="21"/>
      <c r="BFS307" s="21"/>
      <c r="BFT307" s="21"/>
      <c r="BFU307" s="21"/>
      <c r="BFV307" s="21"/>
      <c r="BFW307" s="21"/>
      <c r="BFX307" s="21"/>
      <c r="BFY307" s="21"/>
      <c r="BFZ307" s="21"/>
      <c r="BGA307" s="21"/>
      <c r="BGB307" s="21"/>
      <c r="BGC307" s="21"/>
      <c r="BGD307" s="21"/>
      <c r="BGE307" s="21"/>
      <c r="BGF307" s="21"/>
      <c r="BGG307" s="21"/>
      <c r="BGH307" s="21"/>
      <c r="BGI307" s="21"/>
      <c r="BGJ307" s="21"/>
      <c r="BGK307" s="21"/>
      <c r="BGL307" s="21"/>
      <c r="BGM307" s="21"/>
      <c r="BGN307" s="21"/>
      <c r="BGO307" s="21"/>
      <c r="BGP307" s="21"/>
      <c r="BGQ307" s="21"/>
      <c r="BGR307" s="21"/>
      <c r="BGS307" s="21"/>
      <c r="BGT307" s="21"/>
      <c r="BGU307" s="21"/>
      <c r="BGV307" s="21"/>
      <c r="BGW307" s="21"/>
      <c r="BGX307" s="21"/>
      <c r="BGY307" s="21"/>
      <c r="BGZ307" s="21"/>
      <c r="BHA307" s="21"/>
      <c r="BHB307" s="21"/>
      <c r="BHC307" s="21"/>
      <c r="BHD307" s="21"/>
      <c r="BHE307" s="21"/>
      <c r="BHF307" s="21"/>
      <c r="BHG307" s="21"/>
      <c r="BHH307" s="21"/>
      <c r="BHI307" s="21"/>
      <c r="BHJ307" s="21"/>
      <c r="BHK307" s="21"/>
      <c r="BHL307" s="21"/>
      <c r="BHM307" s="21"/>
      <c r="BHN307" s="21"/>
      <c r="BHO307" s="21"/>
      <c r="BHP307" s="21"/>
      <c r="BHQ307" s="21"/>
      <c r="BHR307" s="21"/>
      <c r="BHS307" s="21"/>
      <c r="BHT307" s="21"/>
      <c r="BHU307" s="21"/>
      <c r="BHV307" s="21"/>
      <c r="BHW307" s="21"/>
      <c r="BHX307" s="21"/>
      <c r="BHY307" s="21"/>
      <c r="BHZ307" s="21"/>
      <c r="BIA307" s="21"/>
      <c r="BIB307" s="21"/>
      <c r="BIC307" s="21"/>
      <c r="BID307" s="21"/>
      <c r="BIE307" s="21"/>
      <c r="BIF307" s="21"/>
      <c r="BIG307" s="21"/>
      <c r="BIH307" s="21"/>
      <c r="BII307" s="21"/>
      <c r="BIJ307" s="21"/>
      <c r="BIK307" s="21"/>
      <c r="BIL307" s="21"/>
      <c r="BIM307" s="21"/>
      <c r="BIN307" s="21"/>
      <c r="BIO307" s="21"/>
      <c r="BIP307" s="21"/>
      <c r="BIQ307" s="21"/>
      <c r="BIR307" s="21"/>
      <c r="BIS307" s="21"/>
      <c r="BIT307" s="21"/>
      <c r="BIU307" s="21"/>
      <c r="BIV307" s="21"/>
      <c r="BIW307" s="21"/>
      <c r="BIX307" s="21"/>
      <c r="BIY307" s="21"/>
      <c r="BIZ307" s="21"/>
      <c r="BJA307" s="21"/>
      <c r="BJB307" s="21"/>
      <c r="BJC307" s="21"/>
      <c r="BJD307" s="21"/>
      <c r="BJE307" s="21"/>
      <c r="BJF307" s="21"/>
      <c r="BJG307" s="21"/>
      <c r="BJH307" s="21"/>
      <c r="BJI307" s="21"/>
      <c r="BJJ307" s="21"/>
      <c r="BJK307" s="21"/>
      <c r="BJL307" s="21"/>
      <c r="BJM307" s="21"/>
      <c r="BJN307" s="21"/>
      <c r="BJO307" s="21"/>
      <c r="BJP307" s="21"/>
      <c r="BJQ307" s="21"/>
      <c r="BJR307" s="21"/>
      <c r="BJS307" s="21"/>
      <c r="BJT307" s="21"/>
      <c r="BJU307" s="21"/>
      <c r="BJV307" s="21"/>
      <c r="BJW307" s="21"/>
      <c r="BJX307" s="21"/>
      <c r="BJY307" s="21"/>
      <c r="BJZ307" s="21"/>
      <c r="BKA307" s="21"/>
      <c r="BKB307" s="21"/>
      <c r="BKC307" s="21"/>
      <c r="BKD307" s="21"/>
      <c r="BKE307" s="21"/>
      <c r="BKF307" s="21"/>
      <c r="BKG307" s="21"/>
      <c r="BKH307" s="21"/>
      <c r="BKI307" s="21"/>
      <c r="BKJ307" s="21"/>
      <c r="BKK307" s="21"/>
      <c r="BKL307" s="21"/>
      <c r="BKM307" s="21"/>
      <c r="BKN307" s="21"/>
      <c r="BKO307" s="21"/>
      <c r="BKP307" s="21"/>
      <c r="BKQ307" s="21"/>
      <c r="BKR307" s="21"/>
      <c r="BKS307" s="21"/>
      <c r="BKT307" s="21"/>
      <c r="BKU307" s="21"/>
      <c r="BKV307" s="21"/>
      <c r="BKW307" s="21"/>
      <c r="BKX307" s="21"/>
      <c r="BKY307" s="21"/>
      <c r="BKZ307" s="21"/>
      <c r="BLA307" s="21"/>
      <c r="BLB307" s="21"/>
      <c r="BLC307" s="21"/>
      <c r="BLD307" s="21"/>
      <c r="BLE307" s="21"/>
      <c r="BLF307" s="21"/>
      <c r="BLG307" s="21"/>
      <c r="BLH307" s="21"/>
      <c r="BLI307" s="21"/>
      <c r="BLJ307" s="21"/>
      <c r="BLK307" s="21"/>
      <c r="BLL307" s="21"/>
      <c r="BLM307" s="21"/>
      <c r="BLN307" s="21"/>
      <c r="BLO307" s="21"/>
      <c r="BLP307" s="21"/>
      <c r="BLQ307" s="21"/>
      <c r="BLR307" s="21"/>
      <c r="BLS307" s="21"/>
      <c r="BLT307" s="21"/>
      <c r="BLU307" s="21"/>
      <c r="BLV307" s="21"/>
      <c r="BLW307" s="21"/>
      <c r="BLX307" s="21"/>
      <c r="BLY307" s="21"/>
      <c r="BLZ307" s="21"/>
      <c r="BMA307" s="21"/>
      <c r="BMB307" s="21"/>
      <c r="BMC307" s="21"/>
      <c r="BMD307" s="21"/>
      <c r="BME307" s="21"/>
      <c r="BMF307" s="21"/>
      <c r="BMG307" s="21"/>
      <c r="BMH307" s="21"/>
      <c r="BMI307" s="21"/>
      <c r="BMJ307" s="21"/>
      <c r="BMK307" s="21"/>
      <c r="BML307" s="21"/>
      <c r="BMM307" s="21"/>
      <c r="BMN307" s="21"/>
      <c r="BMO307" s="21"/>
      <c r="BMP307" s="21"/>
      <c r="BMQ307" s="21"/>
      <c r="BMR307" s="21"/>
      <c r="BMS307" s="21"/>
      <c r="BMT307" s="21"/>
      <c r="BMU307" s="21"/>
      <c r="BMV307" s="21"/>
      <c r="BMW307" s="21"/>
      <c r="BMX307" s="21"/>
      <c r="BMY307" s="21"/>
      <c r="BMZ307" s="21"/>
      <c r="BNA307" s="21"/>
      <c r="BNB307" s="21"/>
      <c r="BNC307" s="21"/>
      <c r="BND307" s="21"/>
      <c r="BNE307" s="21"/>
      <c r="BNF307" s="21"/>
      <c r="BNG307" s="21"/>
      <c r="BNH307" s="21"/>
      <c r="BNI307" s="21"/>
      <c r="BNJ307" s="21"/>
      <c r="BNK307" s="21"/>
      <c r="BNL307" s="21"/>
      <c r="BNM307" s="21"/>
      <c r="BNN307" s="21"/>
      <c r="BNO307" s="21"/>
      <c r="BNP307" s="21"/>
      <c r="BNQ307" s="21"/>
      <c r="BNR307" s="21"/>
      <c r="BNS307" s="21"/>
      <c r="BNT307" s="21"/>
      <c r="BNU307" s="21"/>
      <c r="BNV307" s="21"/>
      <c r="BNW307" s="21"/>
      <c r="BNX307" s="21"/>
      <c r="BNY307" s="21"/>
      <c r="BNZ307" s="21"/>
      <c r="BOA307" s="21"/>
      <c r="BOB307" s="21"/>
      <c r="BOC307" s="21"/>
      <c r="BOD307" s="21"/>
      <c r="BOE307" s="21"/>
      <c r="BOF307" s="21"/>
      <c r="BOG307" s="21"/>
      <c r="BOH307" s="21"/>
      <c r="BOI307" s="21"/>
      <c r="BOJ307" s="21"/>
      <c r="BOK307" s="21"/>
      <c r="BOL307" s="21"/>
      <c r="BOM307" s="21"/>
      <c r="BON307" s="21"/>
      <c r="BOO307" s="21"/>
      <c r="BOP307" s="21"/>
      <c r="BOQ307" s="21"/>
      <c r="BOR307" s="21"/>
      <c r="BOS307" s="21"/>
      <c r="BOT307" s="21"/>
      <c r="BOU307" s="21"/>
      <c r="BOV307" s="21"/>
      <c r="BOW307" s="21"/>
      <c r="BOX307" s="21"/>
      <c r="BOY307" s="21"/>
      <c r="BOZ307" s="21"/>
      <c r="BPA307" s="21"/>
      <c r="BPB307" s="21"/>
      <c r="BPC307" s="21"/>
      <c r="BPD307" s="21"/>
      <c r="BPE307" s="21"/>
      <c r="BPF307" s="21"/>
      <c r="BPG307" s="21"/>
      <c r="BPH307" s="21"/>
      <c r="BPI307" s="21"/>
      <c r="BPJ307" s="21"/>
      <c r="BPK307" s="21"/>
      <c r="BPL307" s="21"/>
      <c r="BPM307" s="21"/>
      <c r="BPN307" s="21"/>
      <c r="BPO307" s="21"/>
      <c r="BPP307" s="21"/>
      <c r="BPQ307" s="21"/>
      <c r="BPR307" s="21"/>
      <c r="BPS307" s="21"/>
      <c r="BPT307" s="21"/>
      <c r="BPU307" s="21"/>
      <c r="BPV307" s="21"/>
      <c r="BPW307" s="21"/>
      <c r="BPX307" s="21"/>
      <c r="BPY307" s="21"/>
      <c r="BPZ307" s="21"/>
      <c r="BQA307" s="21"/>
      <c r="BQB307" s="21"/>
      <c r="BQC307" s="21"/>
      <c r="BQD307" s="21"/>
      <c r="BQE307" s="21"/>
      <c r="BQF307" s="21"/>
      <c r="BQG307" s="21"/>
      <c r="BQH307" s="21"/>
      <c r="BQI307" s="21"/>
      <c r="BQJ307" s="21"/>
      <c r="BQK307" s="21"/>
      <c r="BQL307" s="21"/>
      <c r="BQM307" s="21"/>
      <c r="BQN307" s="21"/>
      <c r="BQO307" s="21"/>
      <c r="BQP307" s="21"/>
      <c r="BQQ307" s="21"/>
      <c r="BQR307" s="21"/>
      <c r="BQS307" s="21"/>
      <c r="BQT307" s="21"/>
      <c r="BQU307" s="21"/>
      <c r="BQV307" s="21"/>
      <c r="BQW307" s="21"/>
      <c r="BQX307" s="21"/>
      <c r="BQY307" s="21"/>
      <c r="BQZ307" s="21"/>
      <c r="BRA307" s="21"/>
      <c r="BRB307" s="21"/>
      <c r="BRC307" s="21"/>
      <c r="BRD307" s="21"/>
      <c r="BRE307" s="21"/>
      <c r="BRF307" s="21"/>
      <c r="BRG307" s="21"/>
      <c r="BRH307" s="21"/>
      <c r="BRI307" s="21"/>
      <c r="BRJ307" s="21"/>
      <c r="BRK307" s="21"/>
      <c r="BRL307" s="21"/>
      <c r="BRM307" s="21"/>
      <c r="BRN307" s="21"/>
      <c r="BRO307" s="21"/>
      <c r="BRP307" s="21"/>
      <c r="BRQ307" s="21"/>
      <c r="BRR307" s="21"/>
      <c r="BRS307" s="21"/>
      <c r="BRT307" s="21"/>
      <c r="BRU307" s="21"/>
      <c r="BRV307" s="21"/>
      <c r="BRW307" s="21"/>
      <c r="BRX307" s="21"/>
      <c r="BRY307" s="21"/>
      <c r="BRZ307" s="21"/>
      <c r="BSA307" s="21"/>
      <c r="BSB307" s="21"/>
      <c r="BSC307" s="21"/>
      <c r="BSD307" s="21"/>
      <c r="BSE307" s="21"/>
      <c r="BSF307" s="21"/>
      <c r="BSG307" s="21"/>
      <c r="BSH307" s="21"/>
      <c r="BSI307" s="21"/>
      <c r="BSJ307" s="21"/>
      <c r="BSK307" s="21"/>
      <c r="BSL307" s="21"/>
      <c r="BSM307" s="21"/>
      <c r="BSN307" s="21"/>
      <c r="BSO307" s="21"/>
      <c r="BSP307" s="21"/>
      <c r="BSQ307" s="21"/>
      <c r="BSR307" s="21"/>
      <c r="BSS307" s="21"/>
      <c r="BST307" s="21"/>
      <c r="BSU307" s="21"/>
      <c r="BSV307" s="21"/>
      <c r="BSW307" s="21"/>
      <c r="BSX307" s="21"/>
      <c r="BSY307" s="21"/>
      <c r="BSZ307" s="21"/>
      <c r="BTA307" s="21"/>
      <c r="BTB307" s="21"/>
      <c r="BTC307" s="21"/>
      <c r="BTD307" s="21"/>
      <c r="BTE307" s="21"/>
      <c r="BTF307" s="21"/>
      <c r="BTG307" s="21"/>
      <c r="BTH307" s="21"/>
      <c r="BTI307" s="21"/>
      <c r="BTJ307" s="21"/>
      <c r="BTK307" s="21"/>
      <c r="BTL307" s="21"/>
      <c r="BTM307" s="21"/>
      <c r="BTN307" s="21"/>
      <c r="BTO307" s="21"/>
      <c r="BTP307" s="21"/>
      <c r="BTQ307" s="21"/>
      <c r="BTR307" s="21"/>
      <c r="BTS307" s="21"/>
      <c r="BTT307" s="21"/>
      <c r="BTU307" s="21"/>
      <c r="BTV307" s="21"/>
      <c r="BTW307" s="21"/>
      <c r="BTX307" s="21"/>
      <c r="BTY307" s="21"/>
      <c r="BTZ307" s="21"/>
      <c r="BUA307" s="21"/>
      <c r="BUB307" s="21"/>
      <c r="BUC307" s="21"/>
      <c r="BUD307" s="21"/>
      <c r="BUE307" s="21"/>
      <c r="BUF307" s="21"/>
      <c r="BUG307" s="21"/>
      <c r="BUH307" s="21"/>
      <c r="BUI307" s="21"/>
      <c r="BUJ307" s="21"/>
      <c r="BUK307" s="21"/>
      <c r="BUL307" s="21"/>
      <c r="BUM307" s="21"/>
      <c r="BUN307" s="21"/>
      <c r="BUO307" s="21"/>
      <c r="BUP307" s="21"/>
      <c r="BUQ307" s="21"/>
      <c r="BUR307" s="21"/>
      <c r="BUS307" s="21"/>
      <c r="BUT307" s="21"/>
      <c r="BUU307" s="21"/>
      <c r="BUV307" s="21"/>
      <c r="BUW307" s="21"/>
      <c r="BUX307" s="21"/>
      <c r="BUY307" s="21"/>
      <c r="BUZ307" s="21"/>
      <c r="BVA307" s="21"/>
      <c r="BVB307" s="21"/>
      <c r="BVC307" s="21"/>
      <c r="BVD307" s="21"/>
      <c r="BVE307" s="21"/>
      <c r="BVF307" s="21"/>
      <c r="BVG307" s="21"/>
      <c r="BVH307" s="21"/>
      <c r="BVI307" s="21"/>
      <c r="BVJ307" s="21"/>
      <c r="BVK307" s="21"/>
      <c r="BVL307" s="21"/>
      <c r="BVM307" s="21"/>
      <c r="BVN307" s="21"/>
      <c r="BVO307" s="21"/>
      <c r="BVP307" s="21"/>
      <c r="BVQ307" s="21"/>
      <c r="BVR307" s="21"/>
      <c r="BVS307" s="21"/>
      <c r="BVT307" s="21"/>
      <c r="BVU307" s="21"/>
      <c r="BVV307" s="21"/>
      <c r="BVW307" s="21"/>
      <c r="BVX307" s="21"/>
      <c r="BVY307" s="21"/>
      <c r="BVZ307" s="21"/>
      <c r="BWA307" s="21"/>
      <c r="BWB307" s="21"/>
      <c r="BWC307" s="21"/>
      <c r="BWD307" s="21"/>
      <c r="BWE307" s="21"/>
      <c r="BWF307" s="21"/>
      <c r="BWG307" s="21"/>
      <c r="BWH307" s="21"/>
      <c r="BWI307" s="21"/>
      <c r="BWJ307" s="21"/>
      <c r="BWK307" s="21"/>
      <c r="BWL307" s="21"/>
      <c r="BWM307" s="21"/>
      <c r="BWN307" s="21"/>
      <c r="BWO307" s="21"/>
      <c r="BWP307" s="21"/>
      <c r="BWQ307" s="21"/>
      <c r="BWR307" s="21"/>
      <c r="BWS307" s="21"/>
      <c r="BWT307" s="21"/>
      <c r="BWU307" s="21"/>
      <c r="BWV307" s="21"/>
      <c r="BWW307" s="21"/>
      <c r="BWX307" s="21"/>
      <c r="BWY307" s="21"/>
      <c r="BWZ307" s="21"/>
      <c r="BXA307" s="21"/>
      <c r="BXB307" s="21"/>
      <c r="BXC307" s="21"/>
      <c r="BXD307" s="21"/>
      <c r="BXE307" s="21"/>
      <c r="BXF307" s="21"/>
      <c r="BXG307" s="21"/>
      <c r="BXH307" s="21"/>
      <c r="BXI307" s="21"/>
      <c r="BXJ307" s="21"/>
      <c r="BXK307" s="21"/>
      <c r="BXL307" s="21"/>
      <c r="BXM307" s="21"/>
      <c r="BXN307" s="21"/>
      <c r="BXO307" s="21"/>
      <c r="BXP307" s="21"/>
      <c r="BXQ307" s="21"/>
      <c r="BXR307" s="21"/>
      <c r="BXS307" s="21"/>
      <c r="BXT307" s="21"/>
      <c r="BXU307" s="21"/>
      <c r="BXV307" s="21"/>
      <c r="BXW307" s="21"/>
      <c r="BXX307" s="21"/>
      <c r="BXY307" s="21"/>
      <c r="BXZ307" s="21"/>
      <c r="BYA307" s="21"/>
      <c r="BYB307" s="21"/>
      <c r="BYC307" s="21"/>
      <c r="BYD307" s="21"/>
      <c r="BYE307" s="21"/>
      <c r="BYF307" s="21"/>
      <c r="BYG307" s="21"/>
      <c r="BYH307" s="21"/>
      <c r="BYI307" s="21"/>
      <c r="BYJ307" s="21"/>
      <c r="BYK307" s="21"/>
      <c r="BYL307" s="21"/>
      <c r="BYM307" s="21"/>
      <c r="BYN307" s="21"/>
      <c r="BYO307" s="21"/>
      <c r="BYP307" s="21"/>
      <c r="BYQ307" s="21"/>
      <c r="BYR307" s="21"/>
      <c r="BYS307" s="21"/>
      <c r="BYT307" s="21"/>
      <c r="BYU307" s="21"/>
      <c r="BYV307" s="21"/>
      <c r="BYW307" s="21"/>
      <c r="BYX307" s="21"/>
      <c r="BYY307" s="21"/>
      <c r="BYZ307" s="21"/>
      <c r="BZA307" s="21"/>
      <c r="BZB307" s="21"/>
      <c r="BZC307" s="21"/>
      <c r="BZD307" s="21"/>
      <c r="BZE307" s="21"/>
      <c r="BZF307" s="21"/>
      <c r="BZG307" s="21"/>
      <c r="BZH307" s="21"/>
      <c r="BZI307" s="21"/>
      <c r="BZJ307" s="21"/>
      <c r="BZK307" s="21"/>
      <c r="BZL307" s="21"/>
      <c r="BZM307" s="21"/>
      <c r="BZN307" s="21"/>
      <c r="BZO307" s="21"/>
      <c r="BZP307" s="21"/>
      <c r="BZQ307" s="21"/>
      <c r="BZR307" s="21"/>
      <c r="BZS307" s="21"/>
      <c r="BZT307" s="21"/>
      <c r="BZU307" s="21"/>
      <c r="BZV307" s="21"/>
      <c r="BZW307" s="21"/>
      <c r="BZX307" s="21"/>
      <c r="BZY307" s="21"/>
      <c r="BZZ307" s="21"/>
      <c r="CAA307" s="21"/>
      <c r="CAB307" s="21"/>
      <c r="CAC307" s="21"/>
      <c r="CAD307" s="21"/>
      <c r="CAE307" s="21"/>
      <c r="CAF307" s="21"/>
      <c r="CAG307" s="21"/>
      <c r="CAH307" s="21"/>
      <c r="CAI307" s="21"/>
      <c r="CAJ307" s="21"/>
      <c r="CAK307" s="21"/>
      <c r="CAL307" s="21"/>
      <c r="CAM307" s="21"/>
      <c r="CAN307" s="21"/>
      <c r="CAO307" s="21"/>
      <c r="CAP307" s="21"/>
      <c r="CAQ307" s="21"/>
      <c r="CAR307" s="21"/>
      <c r="CAS307" s="21"/>
      <c r="CAT307" s="21"/>
      <c r="CAU307" s="21"/>
      <c r="CAV307" s="21"/>
      <c r="CAW307" s="21"/>
      <c r="CAX307" s="21"/>
      <c r="CAY307" s="21"/>
      <c r="CAZ307" s="21"/>
      <c r="CBA307" s="21"/>
      <c r="CBB307" s="21"/>
      <c r="CBC307" s="21"/>
      <c r="CBD307" s="21"/>
      <c r="CBE307" s="21"/>
      <c r="CBF307" s="21"/>
      <c r="CBG307" s="21"/>
      <c r="CBH307" s="21"/>
      <c r="CBI307" s="21"/>
      <c r="CBJ307" s="21"/>
      <c r="CBK307" s="21"/>
      <c r="CBL307" s="21"/>
      <c r="CBM307" s="21"/>
      <c r="CBN307" s="21"/>
      <c r="CBO307" s="21"/>
      <c r="CBP307" s="21"/>
      <c r="CBQ307" s="21"/>
      <c r="CBR307" s="21"/>
      <c r="CBS307" s="21"/>
      <c r="CBT307" s="21"/>
      <c r="CBU307" s="21"/>
      <c r="CBV307" s="21"/>
      <c r="CBW307" s="21"/>
      <c r="CBX307" s="21"/>
      <c r="CBY307" s="21"/>
      <c r="CBZ307" s="21"/>
      <c r="CCA307" s="21"/>
      <c r="CCB307" s="21"/>
      <c r="CCC307" s="21"/>
      <c r="CCD307" s="21"/>
      <c r="CCE307" s="21"/>
      <c r="CCF307" s="21"/>
      <c r="CCG307" s="21"/>
      <c r="CCH307" s="21"/>
      <c r="CCI307" s="21"/>
      <c r="CCJ307" s="21"/>
      <c r="CCK307" s="21"/>
      <c r="CCL307" s="21"/>
      <c r="CCM307" s="21"/>
      <c r="CCN307" s="21"/>
      <c r="CCO307" s="21"/>
      <c r="CCP307" s="21"/>
      <c r="CCQ307" s="21"/>
      <c r="CCR307" s="21"/>
      <c r="CCS307" s="21"/>
      <c r="CCT307" s="21"/>
      <c r="CCU307" s="21"/>
      <c r="CCV307" s="21"/>
      <c r="CCW307" s="21"/>
      <c r="CCX307" s="21"/>
      <c r="CCY307" s="21"/>
      <c r="CCZ307" s="21"/>
      <c r="CDA307" s="21"/>
      <c r="CDB307" s="21"/>
      <c r="CDC307" s="21"/>
      <c r="CDD307" s="21"/>
      <c r="CDE307" s="21"/>
      <c r="CDF307" s="21"/>
      <c r="CDG307" s="21"/>
      <c r="CDH307" s="21"/>
      <c r="CDI307" s="21"/>
      <c r="CDJ307" s="21"/>
      <c r="CDK307" s="21"/>
      <c r="CDL307" s="21"/>
      <c r="CDM307" s="21"/>
      <c r="CDN307" s="21"/>
      <c r="CDO307" s="21"/>
      <c r="CDP307" s="21"/>
      <c r="CDQ307" s="21"/>
      <c r="CDR307" s="21"/>
      <c r="CDS307" s="21"/>
      <c r="CDT307" s="21"/>
      <c r="CDU307" s="21"/>
      <c r="CDV307" s="21"/>
      <c r="CDW307" s="21"/>
      <c r="CDX307" s="21"/>
      <c r="CDY307" s="21"/>
      <c r="CDZ307" s="21"/>
      <c r="CEA307" s="21"/>
      <c r="CEB307" s="21"/>
      <c r="CEC307" s="21"/>
      <c r="CED307" s="21"/>
      <c r="CEE307" s="21"/>
      <c r="CEF307" s="21"/>
      <c r="CEG307" s="21"/>
      <c r="CEH307" s="21"/>
      <c r="CEI307" s="21"/>
      <c r="CEJ307" s="21"/>
      <c r="CEK307" s="21"/>
      <c r="CEL307" s="21"/>
      <c r="CEM307" s="21"/>
      <c r="CEN307" s="21"/>
      <c r="CEO307" s="21"/>
      <c r="CEP307" s="21"/>
      <c r="CEQ307" s="21"/>
      <c r="CER307" s="21"/>
      <c r="CES307" s="21"/>
      <c r="CET307" s="21"/>
      <c r="CEU307" s="21"/>
      <c r="CEV307" s="21"/>
      <c r="CEW307" s="21"/>
      <c r="CEX307" s="21"/>
      <c r="CEY307" s="21"/>
      <c r="CEZ307" s="21"/>
      <c r="CFA307" s="21"/>
      <c r="CFB307" s="21"/>
      <c r="CFC307" s="21"/>
      <c r="CFD307" s="21"/>
      <c r="CFE307" s="21"/>
      <c r="CFF307" s="21"/>
      <c r="CFG307" s="21"/>
      <c r="CFH307" s="21"/>
      <c r="CFI307" s="21"/>
      <c r="CFJ307" s="21"/>
      <c r="CFK307" s="21"/>
      <c r="CFL307" s="21"/>
      <c r="CFM307" s="21"/>
      <c r="CFN307" s="21"/>
      <c r="CFO307" s="21"/>
      <c r="CFP307" s="21"/>
      <c r="CFQ307" s="21"/>
      <c r="CFR307" s="21"/>
      <c r="CFS307" s="21"/>
      <c r="CFT307" s="21"/>
      <c r="CFU307" s="21"/>
      <c r="CFV307" s="21"/>
      <c r="CFW307" s="21"/>
      <c r="CFX307" s="21"/>
      <c r="CFY307" s="21"/>
      <c r="CFZ307" s="21"/>
      <c r="CGA307" s="21"/>
      <c r="CGB307" s="21"/>
      <c r="CGC307" s="21"/>
      <c r="CGD307" s="21"/>
      <c r="CGE307" s="21"/>
      <c r="CGF307" s="21"/>
      <c r="CGG307" s="21"/>
      <c r="CGH307" s="21"/>
      <c r="CGI307" s="21"/>
      <c r="CGJ307" s="21"/>
      <c r="CGK307" s="21"/>
      <c r="CGL307" s="21"/>
      <c r="CGM307" s="21"/>
      <c r="CGN307" s="21"/>
      <c r="CGO307" s="21"/>
      <c r="CGP307" s="21"/>
      <c r="CGQ307" s="21"/>
      <c r="CGR307" s="21"/>
      <c r="CGS307" s="21"/>
      <c r="CGT307" s="21"/>
      <c r="CGU307" s="21"/>
      <c r="CGV307" s="21"/>
      <c r="CGW307" s="21"/>
      <c r="CGX307" s="21"/>
      <c r="CGY307" s="21"/>
      <c r="CGZ307" s="21"/>
      <c r="CHA307" s="21"/>
      <c r="CHB307" s="21"/>
      <c r="CHC307" s="21"/>
      <c r="CHD307" s="21"/>
      <c r="CHE307" s="21"/>
      <c r="CHF307" s="21"/>
      <c r="CHG307" s="21"/>
      <c r="CHH307" s="21"/>
      <c r="CHI307" s="21"/>
      <c r="CHJ307" s="21"/>
      <c r="CHK307" s="21"/>
      <c r="CHL307" s="21"/>
      <c r="CHM307" s="21"/>
      <c r="CHN307" s="21"/>
      <c r="CHO307" s="21"/>
      <c r="CHP307" s="21"/>
      <c r="CHQ307" s="21"/>
      <c r="CHR307" s="21"/>
      <c r="CHS307" s="21"/>
      <c r="CHT307" s="21"/>
      <c r="CHU307" s="21"/>
      <c r="CHV307" s="21"/>
      <c r="CHW307" s="21"/>
      <c r="CHX307" s="21"/>
      <c r="CHY307" s="21"/>
      <c r="CHZ307" s="21"/>
      <c r="CIA307" s="21"/>
      <c r="CIB307" s="21"/>
      <c r="CIC307" s="21"/>
      <c r="CID307" s="21"/>
      <c r="CIE307" s="21"/>
      <c r="CIF307" s="21"/>
      <c r="CIG307" s="21"/>
      <c r="CIH307" s="21"/>
      <c r="CII307" s="21"/>
      <c r="CIJ307" s="21"/>
      <c r="CIK307" s="21"/>
      <c r="CIL307" s="21"/>
      <c r="CIM307" s="21"/>
      <c r="CIN307" s="21"/>
      <c r="CIO307" s="21"/>
      <c r="CIP307" s="21"/>
      <c r="CIQ307" s="21"/>
      <c r="CIR307" s="21"/>
      <c r="CIS307" s="21"/>
      <c r="CIT307" s="21"/>
      <c r="CIU307" s="21"/>
      <c r="CIV307" s="21"/>
      <c r="CIW307" s="21"/>
      <c r="CIX307" s="21"/>
      <c r="CIY307" s="21"/>
      <c r="CIZ307" s="21"/>
      <c r="CJA307" s="21"/>
      <c r="CJB307" s="21"/>
      <c r="CJC307" s="21"/>
      <c r="CJD307" s="21"/>
      <c r="CJE307" s="21"/>
      <c r="CJF307" s="21"/>
      <c r="CJG307" s="21"/>
      <c r="CJH307" s="21"/>
      <c r="CJI307" s="21"/>
      <c r="CJJ307" s="21"/>
      <c r="CJK307" s="21"/>
      <c r="CJL307" s="21"/>
      <c r="CJM307" s="21"/>
      <c r="CJN307" s="21"/>
      <c r="CJO307" s="21"/>
      <c r="CJP307" s="21"/>
      <c r="CJQ307" s="21"/>
      <c r="CJR307" s="21"/>
      <c r="CJS307" s="21"/>
      <c r="CJT307" s="21"/>
      <c r="CJU307" s="21"/>
      <c r="CJV307" s="21"/>
      <c r="CJW307" s="21"/>
      <c r="CJX307" s="21"/>
      <c r="CJY307" s="21"/>
      <c r="CJZ307" s="21"/>
      <c r="CKA307" s="21"/>
      <c r="CKB307" s="21"/>
      <c r="CKC307" s="21"/>
      <c r="CKD307" s="21"/>
      <c r="CKE307" s="21"/>
      <c r="CKF307" s="21"/>
      <c r="CKG307" s="21"/>
      <c r="CKH307" s="21"/>
      <c r="CKI307" s="21"/>
      <c r="CKJ307" s="21"/>
      <c r="CKK307" s="21"/>
      <c r="CKL307" s="21"/>
      <c r="CKM307" s="21"/>
      <c r="CKN307" s="21"/>
      <c r="CKO307" s="21"/>
      <c r="CKP307" s="21"/>
      <c r="CKQ307" s="21"/>
      <c r="CKR307" s="21"/>
      <c r="CKS307" s="21"/>
      <c r="CKT307" s="21"/>
      <c r="CKU307" s="21"/>
      <c r="CKV307" s="21"/>
      <c r="CKW307" s="21"/>
      <c r="CKX307" s="21"/>
      <c r="CKY307" s="21"/>
      <c r="CKZ307" s="21"/>
      <c r="CLA307" s="21"/>
      <c r="CLB307" s="21"/>
      <c r="CLC307" s="21"/>
      <c r="CLD307" s="21"/>
      <c r="CLE307" s="21"/>
      <c r="CLF307" s="21"/>
      <c r="CLG307" s="21"/>
      <c r="CLH307" s="21"/>
      <c r="CLI307" s="21"/>
      <c r="CLJ307" s="21"/>
      <c r="CLK307" s="21"/>
      <c r="CLL307" s="21"/>
      <c r="CLM307" s="21"/>
      <c r="CLN307" s="21"/>
      <c r="CLO307" s="21"/>
      <c r="CLP307" s="21"/>
      <c r="CLQ307" s="21"/>
      <c r="CLR307" s="21"/>
      <c r="CLS307" s="21"/>
      <c r="CLT307" s="21"/>
      <c r="CLU307" s="21"/>
      <c r="CLV307" s="21"/>
      <c r="CLW307" s="21"/>
      <c r="CLX307" s="21"/>
      <c r="CLY307" s="21"/>
      <c r="CLZ307" s="21"/>
      <c r="CMA307" s="21"/>
      <c r="CMB307" s="21"/>
      <c r="CMC307" s="21"/>
      <c r="CMD307" s="21"/>
      <c r="CME307" s="21"/>
      <c r="CMF307" s="21"/>
      <c r="CMG307" s="21"/>
      <c r="CMH307" s="21"/>
      <c r="CMI307" s="21"/>
      <c r="CMJ307" s="21"/>
      <c r="CMK307" s="21"/>
      <c r="CML307" s="21"/>
      <c r="CMM307" s="21"/>
      <c r="CMN307" s="21"/>
      <c r="CMO307" s="21"/>
      <c r="CMP307" s="21"/>
      <c r="CMQ307" s="21"/>
      <c r="CMR307" s="21"/>
      <c r="CMS307" s="21"/>
      <c r="CMT307" s="21"/>
      <c r="CMU307" s="21"/>
      <c r="CMV307" s="21"/>
      <c r="CMW307" s="21"/>
      <c r="CMX307" s="21"/>
      <c r="CMY307" s="21"/>
      <c r="CMZ307" s="21"/>
      <c r="CNA307" s="21"/>
      <c r="CNB307" s="21"/>
      <c r="CNC307" s="21"/>
      <c r="CND307" s="21"/>
      <c r="CNE307" s="21"/>
      <c r="CNF307" s="21"/>
      <c r="CNG307" s="21"/>
      <c r="CNH307" s="21"/>
      <c r="CNI307" s="21"/>
      <c r="CNJ307" s="21"/>
      <c r="CNK307" s="21"/>
      <c r="CNL307" s="21"/>
      <c r="CNM307" s="21"/>
      <c r="CNN307" s="21"/>
      <c r="CNO307" s="21"/>
      <c r="CNP307" s="21"/>
      <c r="CNQ307" s="21"/>
      <c r="CNR307" s="21"/>
      <c r="CNS307" s="21"/>
      <c r="CNT307" s="21"/>
      <c r="CNU307" s="21"/>
      <c r="CNV307" s="21"/>
      <c r="CNW307" s="21"/>
      <c r="CNX307" s="21"/>
      <c r="CNY307" s="21"/>
      <c r="CNZ307" s="21"/>
      <c r="COA307" s="21"/>
      <c r="COB307" s="21"/>
      <c r="COC307" s="21"/>
      <c r="COD307" s="21"/>
      <c r="COE307" s="21"/>
      <c r="COF307" s="21"/>
      <c r="COG307" s="21"/>
      <c r="COH307" s="21"/>
      <c r="COI307" s="21"/>
      <c r="COJ307" s="21"/>
      <c r="COK307" s="21"/>
      <c r="COL307" s="21"/>
      <c r="COM307" s="21"/>
      <c r="CON307" s="21"/>
      <c r="COO307" s="21"/>
      <c r="COP307" s="21"/>
      <c r="COQ307" s="21"/>
      <c r="COR307" s="21"/>
      <c r="COS307" s="21"/>
      <c r="COT307" s="21"/>
      <c r="COU307" s="21"/>
      <c r="COV307" s="21"/>
      <c r="COW307" s="21"/>
      <c r="COX307" s="21"/>
      <c r="COY307" s="21"/>
      <c r="COZ307" s="21"/>
      <c r="CPA307" s="21"/>
      <c r="CPB307" s="21"/>
      <c r="CPC307" s="21"/>
      <c r="CPD307" s="21"/>
      <c r="CPE307" s="21"/>
      <c r="CPF307" s="21"/>
      <c r="CPG307" s="21"/>
      <c r="CPH307" s="21"/>
      <c r="CPI307" s="21"/>
      <c r="CPJ307" s="21"/>
      <c r="CPK307" s="21"/>
      <c r="CPL307" s="21"/>
      <c r="CPM307" s="21"/>
      <c r="CPN307" s="21"/>
      <c r="CPO307" s="21"/>
      <c r="CPP307" s="21"/>
      <c r="CPQ307" s="21"/>
      <c r="CPR307" s="21"/>
      <c r="CPS307" s="21"/>
      <c r="CPT307" s="21"/>
      <c r="CPU307" s="21"/>
      <c r="CPV307" s="21"/>
      <c r="CPW307" s="21"/>
      <c r="CPX307" s="21"/>
      <c r="CPY307" s="21"/>
      <c r="CPZ307" s="21"/>
      <c r="CQA307" s="21"/>
      <c r="CQB307" s="21"/>
      <c r="CQC307" s="21"/>
      <c r="CQD307" s="21"/>
      <c r="CQE307" s="21"/>
      <c r="CQF307" s="21"/>
      <c r="CQG307" s="21"/>
      <c r="CQH307" s="21"/>
      <c r="CQI307" s="21"/>
      <c r="CQJ307" s="21"/>
      <c r="CQK307" s="21"/>
      <c r="CQL307" s="21"/>
      <c r="CQM307" s="21"/>
      <c r="CQN307" s="21"/>
      <c r="CQO307" s="21"/>
      <c r="CQP307" s="21"/>
      <c r="CQQ307" s="21"/>
      <c r="CQR307" s="21"/>
      <c r="CQS307" s="21"/>
      <c r="CQT307" s="21"/>
      <c r="CQU307" s="21"/>
      <c r="CQV307" s="21"/>
      <c r="CQW307" s="21"/>
      <c r="CQX307" s="21"/>
      <c r="CQY307" s="21"/>
      <c r="CQZ307" s="21"/>
      <c r="CRA307" s="21"/>
      <c r="CRB307" s="21"/>
      <c r="CRC307" s="21"/>
      <c r="CRD307" s="21"/>
      <c r="CRE307" s="21"/>
      <c r="CRF307" s="21"/>
      <c r="CRG307" s="21"/>
      <c r="CRH307" s="21"/>
      <c r="CRI307" s="21"/>
      <c r="CRJ307" s="21"/>
      <c r="CRK307" s="21"/>
      <c r="CRL307" s="21"/>
      <c r="CRM307" s="21"/>
      <c r="CRN307" s="21"/>
      <c r="CRO307" s="21"/>
      <c r="CRP307" s="21"/>
      <c r="CRQ307" s="21"/>
      <c r="CRR307" s="21"/>
      <c r="CRS307" s="21"/>
      <c r="CRT307" s="21"/>
      <c r="CRU307" s="21"/>
      <c r="CRV307" s="21"/>
      <c r="CRW307" s="21"/>
      <c r="CRX307" s="21"/>
      <c r="CRY307" s="21"/>
      <c r="CRZ307" s="21"/>
      <c r="CSA307" s="21"/>
      <c r="CSB307" s="21"/>
      <c r="CSC307" s="21"/>
      <c r="CSD307" s="21"/>
      <c r="CSE307" s="21"/>
      <c r="CSF307" s="21"/>
      <c r="CSG307" s="21"/>
      <c r="CSH307" s="21"/>
      <c r="CSI307" s="21"/>
      <c r="CSJ307" s="21"/>
      <c r="CSK307" s="21"/>
      <c r="CSL307" s="21"/>
      <c r="CSM307" s="21"/>
      <c r="CSN307" s="21"/>
      <c r="CSO307" s="21"/>
      <c r="CSP307" s="21"/>
      <c r="CSQ307" s="21"/>
      <c r="CSR307" s="21"/>
      <c r="CSS307" s="21"/>
      <c r="CST307" s="21"/>
      <c r="CSU307" s="21"/>
      <c r="CSV307" s="21"/>
      <c r="CSW307" s="21"/>
      <c r="CSX307" s="21"/>
      <c r="CSY307" s="21"/>
      <c r="CSZ307" s="21"/>
      <c r="CTA307" s="21"/>
      <c r="CTB307" s="21"/>
      <c r="CTC307" s="21"/>
      <c r="CTD307" s="21"/>
      <c r="CTE307" s="21"/>
      <c r="CTF307" s="21"/>
      <c r="CTG307" s="21"/>
      <c r="CTH307" s="21"/>
      <c r="CTI307" s="21"/>
      <c r="CTJ307" s="21"/>
      <c r="CTK307" s="21"/>
      <c r="CTL307" s="21"/>
      <c r="CTM307" s="21"/>
      <c r="CTN307" s="21"/>
      <c r="CTO307" s="21"/>
      <c r="CTP307" s="21"/>
      <c r="CTQ307" s="21"/>
      <c r="CTR307" s="21"/>
      <c r="CTS307" s="21"/>
      <c r="CTT307" s="21"/>
      <c r="CTU307" s="21"/>
      <c r="CTV307" s="21"/>
      <c r="CTW307" s="21"/>
      <c r="CTX307" s="21"/>
      <c r="CTY307" s="21"/>
      <c r="CTZ307" s="21"/>
      <c r="CUA307" s="21"/>
      <c r="CUB307" s="21"/>
      <c r="CUC307" s="21"/>
      <c r="CUD307" s="21"/>
      <c r="CUE307" s="21"/>
      <c r="CUF307" s="21"/>
      <c r="CUG307" s="21"/>
      <c r="CUH307" s="21"/>
      <c r="CUI307" s="21"/>
      <c r="CUJ307" s="21"/>
      <c r="CUK307" s="21"/>
      <c r="CUL307" s="21"/>
      <c r="CUM307" s="21"/>
      <c r="CUN307" s="21"/>
      <c r="CUO307" s="21"/>
      <c r="CUP307" s="21"/>
      <c r="CUQ307" s="21"/>
      <c r="CUR307" s="21"/>
      <c r="CUS307" s="21"/>
      <c r="CUT307" s="21"/>
      <c r="CUU307" s="21"/>
      <c r="CUV307" s="21"/>
      <c r="CUW307" s="21"/>
      <c r="CUX307" s="21"/>
      <c r="CUY307" s="21"/>
      <c r="CUZ307" s="21"/>
      <c r="CVA307" s="21"/>
      <c r="CVB307" s="21"/>
      <c r="CVC307" s="21"/>
      <c r="CVD307" s="21"/>
      <c r="CVE307" s="21"/>
      <c r="CVF307" s="21"/>
      <c r="CVG307" s="21"/>
      <c r="CVH307" s="21"/>
      <c r="CVI307" s="21"/>
      <c r="CVJ307" s="21"/>
      <c r="CVK307" s="21"/>
      <c r="CVL307" s="21"/>
      <c r="CVM307" s="21"/>
      <c r="CVN307" s="21"/>
      <c r="CVO307" s="21"/>
      <c r="CVP307" s="21"/>
      <c r="CVQ307" s="21"/>
      <c r="CVR307" s="21"/>
      <c r="CVS307" s="21"/>
      <c r="CVT307" s="21"/>
      <c r="CVU307" s="21"/>
      <c r="CVV307" s="21"/>
      <c r="CVW307" s="21"/>
      <c r="CVX307" s="21"/>
      <c r="CVY307" s="21"/>
      <c r="CVZ307" s="21"/>
      <c r="CWA307" s="21"/>
      <c r="CWB307" s="21"/>
      <c r="CWC307" s="21"/>
      <c r="CWD307" s="21"/>
      <c r="CWE307" s="21"/>
      <c r="CWF307" s="21"/>
      <c r="CWG307" s="21"/>
      <c r="CWH307" s="21"/>
      <c r="CWI307" s="21"/>
      <c r="CWJ307" s="21"/>
      <c r="CWK307" s="21"/>
      <c r="CWL307" s="21"/>
      <c r="CWM307" s="21"/>
      <c r="CWN307" s="21"/>
      <c r="CWO307" s="21"/>
      <c r="CWP307" s="21"/>
      <c r="CWQ307" s="21"/>
      <c r="CWR307" s="21"/>
      <c r="CWS307" s="21"/>
      <c r="CWT307" s="21"/>
      <c r="CWU307" s="21"/>
      <c r="CWV307" s="21"/>
      <c r="CWW307" s="21"/>
      <c r="CWX307" s="21"/>
      <c r="CWY307" s="21"/>
      <c r="CWZ307" s="21"/>
      <c r="CXA307" s="21"/>
      <c r="CXB307" s="21"/>
      <c r="CXC307" s="21"/>
      <c r="CXD307" s="21"/>
      <c r="CXE307" s="21"/>
      <c r="CXF307" s="21"/>
      <c r="CXG307" s="21"/>
      <c r="CXH307" s="21"/>
      <c r="CXI307" s="21"/>
      <c r="CXJ307" s="21"/>
      <c r="CXK307" s="21"/>
      <c r="CXL307" s="21"/>
      <c r="CXM307" s="21"/>
      <c r="CXN307" s="21"/>
      <c r="CXO307" s="21"/>
      <c r="CXP307" s="21"/>
      <c r="CXQ307" s="21"/>
      <c r="CXR307" s="21"/>
      <c r="CXS307" s="21"/>
      <c r="CXT307" s="21"/>
      <c r="CXU307" s="21"/>
      <c r="CXV307" s="21"/>
      <c r="CXW307" s="21"/>
      <c r="CXX307" s="21"/>
      <c r="CXY307" s="21"/>
      <c r="CXZ307" s="21"/>
      <c r="CYA307" s="21"/>
      <c r="CYB307" s="21"/>
      <c r="CYC307" s="21"/>
      <c r="CYD307" s="21"/>
      <c r="CYE307" s="21"/>
      <c r="CYF307" s="21"/>
      <c r="CYG307" s="21"/>
      <c r="CYH307" s="21"/>
      <c r="CYI307" s="21"/>
      <c r="CYJ307" s="21"/>
      <c r="CYK307" s="21"/>
      <c r="CYL307" s="21"/>
      <c r="CYM307" s="21"/>
      <c r="CYN307" s="21"/>
      <c r="CYO307" s="21"/>
      <c r="CYP307" s="21"/>
      <c r="CYQ307" s="21"/>
      <c r="CYR307" s="21"/>
      <c r="CYS307" s="21"/>
      <c r="CYT307" s="21"/>
      <c r="CYU307" s="21"/>
      <c r="CYV307" s="21"/>
      <c r="CYW307" s="21"/>
      <c r="CYX307" s="21"/>
      <c r="CYY307" s="21"/>
      <c r="CYZ307" s="21"/>
      <c r="CZA307" s="21"/>
      <c r="CZB307" s="21"/>
      <c r="CZC307" s="21"/>
      <c r="CZD307" s="21"/>
      <c r="CZE307" s="21"/>
      <c r="CZF307" s="21"/>
      <c r="CZG307" s="21"/>
      <c r="CZH307" s="21"/>
      <c r="CZI307" s="21"/>
      <c r="CZJ307" s="21"/>
      <c r="CZK307" s="21"/>
      <c r="CZL307" s="21"/>
      <c r="CZM307" s="21"/>
      <c r="CZN307" s="21"/>
      <c r="CZO307" s="21"/>
      <c r="CZP307" s="21"/>
      <c r="CZQ307" s="21"/>
      <c r="CZR307" s="21"/>
      <c r="CZS307" s="21"/>
      <c r="CZT307" s="21"/>
      <c r="CZU307" s="21"/>
      <c r="CZV307" s="21"/>
      <c r="CZW307" s="21"/>
      <c r="CZX307" s="21"/>
      <c r="CZY307" s="21"/>
      <c r="CZZ307" s="21"/>
      <c r="DAA307" s="21"/>
      <c r="DAB307" s="21"/>
      <c r="DAC307" s="21"/>
      <c r="DAD307" s="21"/>
      <c r="DAE307" s="21"/>
      <c r="DAF307" s="21"/>
      <c r="DAG307" s="21"/>
      <c r="DAH307" s="21"/>
      <c r="DAI307" s="21"/>
      <c r="DAJ307" s="21"/>
      <c r="DAK307" s="21"/>
      <c r="DAL307" s="21"/>
      <c r="DAM307" s="21"/>
      <c r="DAN307" s="21"/>
      <c r="DAO307" s="21"/>
      <c r="DAP307" s="21"/>
      <c r="DAQ307" s="21"/>
      <c r="DAR307" s="21"/>
      <c r="DAS307" s="21"/>
      <c r="DAT307" s="21"/>
      <c r="DAU307" s="21"/>
      <c r="DAV307" s="21"/>
      <c r="DAW307" s="21"/>
      <c r="DAX307" s="21"/>
      <c r="DAY307" s="21"/>
      <c r="DAZ307" s="21"/>
      <c r="DBA307" s="21"/>
      <c r="DBB307" s="21"/>
      <c r="DBC307" s="21"/>
      <c r="DBD307" s="21"/>
      <c r="DBE307" s="21"/>
      <c r="DBF307" s="21"/>
      <c r="DBG307" s="21"/>
      <c r="DBH307" s="21"/>
      <c r="DBI307" s="21"/>
      <c r="DBJ307" s="21"/>
      <c r="DBK307" s="21"/>
      <c r="DBL307" s="21"/>
      <c r="DBM307" s="21"/>
      <c r="DBN307" s="21"/>
      <c r="DBO307" s="21"/>
      <c r="DBP307" s="21"/>
      <c r="DBQ307" s="21"/>
      <c r="DBR307" s="21"/>
      <c r="DBS307" s="21"/>
      <c r="DBT307" s="21"/>
      <c r="DBU307" s="21"/>
      <c r="DBV307" s="21"/>
      <c r="DBW307" s="21"/>
      <c r="DBX307" s="21"/>
      <c r="DBY307" s="21"/>
      <c r="DBZ307" s="21"/>
      <c r="DCA307" s="21"/>
      <c r="DCB307" s="21"/>
      <c r="DCC307" s="21"/>
      <c r="DCD307" s="21"/>
      <c r="DCE307" s="21"/>
      <c r="DCF307" s="21"/>
      <c r="DCG307" s="21"/>
      <c r="DCH307" s="21"/>
      <c r="DCI307" s="21"/>
      <c r="DCJ307" s="21"/>
      <c r="DCK307" s="21"/>
      <c r="DCL307" s="21"/>
      <c r="DCM307" s="21"/>
      <c r="DCN307" s="21"/>
      <c r="DCO307" s="21"/>
      <c r="DCP307" s="21"/>
      <c r="DCQ307" s="21"/>
      <c r="DCR307" s="21"/>
      <c r="DCS307" s="21"/>
      <c r="DCT307" s="21"/>
      <c r="DCU307" s="21"/>
      <c r="DCV307" s="21"/>
      <c r="DCW307" s="21"/>
      <c r="DCX307" s="21"/>
      <c r="DCY307" s="21"/>
      <c r="DCZ307" s="21"/>
      <c r="DDA307" s="21"/>
      <c r="DDB307" s="21"/>
      <c r="DDC307" s="21"/>
      <c r="DDD307" s="21"/>
      <c r="DDE307" s="21"/>
      <c r="DDF307" s="21"/>
      <c r="DDG307" s="21"/>
      <c r="DDH307" s="21"/>
      <c r="DDI307" s="21"/>
      <c r="DDJ307" s="21"/>
      <c r="DDK307" s="21"/>
      <c r="DDL307" s="21"/>
      <c r="DDM307" s="21"/>
      <c r="DDN307" s="21"/>
      <c r="DDO307" s="21"/>
      <c r="DDP307" s="21"/>
      <c r="DDQ307" s="21"/>
      <c r="DDR307" s="21"/>
      <c r="DDS307" s="21"/>
      <c r="DDT307" s="21"/>
      <c r="DDU307" s="21"/>
      <c r="DDV307" s="21"/>
      <c r="DDW307" s="21"/>
      <c r="DDX307" s="21"/>
      <c r="DDY307" s="21"/>
      <c r="DDZ307" s="21"/>
      <c r="DEA307" s="21"/>
      <c r="DEB307" s="21"/>
      <c r="DEC307" s="21"/>
      <c r="DED307" s="21"/>
      <c r="DEE307" s="21"/>
      <c r="DEF307" s="21"/>
      <c r="DEG307" s="21"/>
      <c r="DEH307" s="21"/>
      <c r="DEI307" s="21"/>
      <c r="DEJ307" s="21"/>
      <c r="DEK307" s="21"/>
      <c r="DEL307" s="21"/>
      <c r="DEM307" s="21"/>
      <c r="DEN307" s="21"/>
      <c r="DEO307" s="21"/>
      <c r="DEP307" s="21"/>
      <c r="DEQ307" s="21"/>
      <c r="DER307" s="21"/>
      <c r="DES307" s="21"/>
      <c r="DET307" s="21"/>
      <c r="DEU307" s="21"/>
      <c r="DEV307" s="21"/>
      <c r="DEW307" s="21"/>
      <c r="DEX307" s="21"/>
      <c r="DEY307" s="21"/>
      <c r="DEZ307" s="21"/>
      <c r="DFA307" s="21"/>
      <c r="DFB307" s="21"/>
      <c r="DFC307" s="21"/>
      <c r="DFD307" s="21"/>
      <c r="DFE307" s="21"/>
      <c r="DFF307" s="21"/>
      <c r="DFG307" s="21"/>
      <c r="DFH307" s="21"/>
      <c r="DFI307" s="21"/>
      <c r="DFJ307" s="21"/>
      <c r="DFK307" s="21"/>
      <c r="DFL307" s="21"/>
      <c r="DFM307" s="21"/>
      <c r="DFN307" s="21"/>
      <c r="DFO307" s="21"/>
      <c r="DFP307" s="21"/>
      <c r="DFQ307" s="21"/>
      <c r="DFR307" s="21"/>
      <c r="DFS307" s="21"/>
      <c r="DFT307" s="21"/>
      <c r="DFU307" s="21"/>
      <c r="DFV307" s="21"/>
      <c r="DFW307" s="21"/>
      <c r="DFX307" s="21"/>
      <c r="DFY307" s="21"/>
      <c r="DFZ307" s="21"/>
      <c r="DGA307" s="21"/>
      <c r="DGB307" s="21"/>
      <c r="DGC307" s="21"/>
      <c r="DGD307" s="21"/>
      <c r="DGE307" s="21"/>
      <c r="DGF307" s="21"/>
      <c r="DGG307" s="21"/>
      <c r="DGH307" s="21"/>
      <c r="DGI307" s="21"/>
      <c r="DGJ307" s="21"/>
      <c r="DGK307" s="21"/>
      <c r="DGL307" s="21"/>
      <c r="DGM307" s="21"/>
      <c r="DGN307" s="21"/>
      <c r="DGO307" s="21"/>
      <c r="DGP307" s="21"/>
      <c r="DGQ307" s="21"/>
      <c r="DGR307" s="21"/>
      <c r="DGS307" s="21"/>
      <c r="DGT307" s="21"/>
      <c r="DGU307" s="21"/>
      <c r="DGV307" s="21"/>
      <c r="DGW307" s="21"/>
      <c r="DGX307" s="21"/>
      <c r="DGY307" s="21"/>
      <c r="DGZ307" s="21"/>
      <c r="DHA307" s="21"/>
      <c r="DHB307" s="21"/>
      <c r="DHC307" s="21"/>
      <c r="DHD307" s="21"/>
      <c r="DHE307" s="21"/>
      <c r="DHF307" s="21"/>
      <c r="DHG307" s="21"/>
      <c r="DHH307" s="21"/>
      <c r="DHI307" s="21"/>
      <c r="DHJ307" s="21"/>
      <c r="DHK307" s="21"/>
      <c r="DHL307" s="21"/>
      <c r="DHM307" s="21"/>
      <c r="DHN307" s="21"/>
      <c r="DHO307" s="21"/>
      <c r="DHP307" s="21"/>
      <c r="DHQ307" s="21"/>
      <c r="DHR307" s="21"/>
      <c r="DHS307" s="21"/>
      <c r="DHT307" s="21"/>
      <c r="DHU307" s="21"/>
      <c r="DHV307" s="21"/>
      <c r="DHW307" s="21"/>
      <c r="DHX307" s="21"/>
      <c r="DHY307" s="21"/>
      <c r="DHZ307" s="21"/>
      <c r="DIA307" s="21"/>
      <c r="DIB307" s="21"/>
      <c r="DIC307" s="21"/>
      <c r="DID307" s="21"/>
      <c r="DIE307" s="21"/>
      <c r="DIF307" s="21"/>
      <c r="DIG307" s="21"/>
      <c r="DIH307" s="21"/>
      <c r="DII307" s="21"/>
      <c r="DIJ307" s="21"/>
      <c r="DIK307" s="21"/>
      <c r="DIL307" s="21"/>
      <c r="DIM307" s="21"/>
      <c r="DIN307" s="21"/>
      <c r="DIO307" s="21"/>
      <c r="DIP307" s="21"/>
      <c r="DIQ307" s="21"/>
      <c r="DIR307" s="21"/>
      <c r="DIS307" s="21"/>
      <c r="DIT307" s="21"/>
      <c r="DIU307" s="21"/>
      <c r="DIV307" s="21"/>
      <c r="DIW307" s="21"/>
      <c r="DIX307" s="21"/>
      <c r="DIY307" s="21"/>
      <c r="DIZ307" s="21"/>
      <c r="DJA307" s="21"/>
      <c r="DJB307" s="21"/>
      <c r="DJC307" s="21"/>
      <c r="DJD307" s="21"/>
      <c r="DJE307" s="21"/>
      <c r="DJF307" s="21"/>
      <c r="DJG307" s="21"/>
      <c r="DJH307" s="21"/>
      <c r="DJI307" s="21"/>
      <c r="DJJ307" s="21"/>
      <c r="DJK307" s="21"/>
      <c r="DJL307" s="21"/>
      <c r="DJM307" s="21"/>
      <c r="DJN307" s="21"/>
      <c r="DJO307" s="21"/>
      <c r="DJP307" s="21"/>
      <c r="DJQ307" s="21"/>
      <c r="DJR307" s="21"/>
      <c r="DJS307" s="21"/>
      <c r="DJT307" s="21"/>
      <c r="DJU307" s="21"/>
      <c r="DJV307" s="21"/>
      <c r="DJW307" s="21"/>
      <c r="DJX307" s="21"/>
      <c r="DJY307" s="21"/>
      <c r="DJZ307" s="21"/>
      <c r="DKA307" s="21"/>
      <c r="DKB307" s="21"/>
      <c r="DKC307" s="21"/>
      <c r="DKD307" s="21"/>
      <c r="DKE307" s="21"/>
      <c r="DKF307" s="21"/>
      <c r="DKG307" s="21"/>
      <c r="DKH307" s="21"/>
      <c r="DKI307" s="21"/>
      <c r="DKJ307" s="21"/>
      <c r="DKK307" s="21"/>
      <c r="DKL307" s="21"/>
      <c r="DKM307" s="21"/>
      <c r="DKN307" s="21"/>
      <c r="DKO307" s="21"/>
      <c r="DKP307" s="21"/>
      <c r="DKQ307" s="21"/>
      <c r="DKR307" s="21"/>
      <c r="DKS307" s="21"/>
      <c r="DKT307" s="21"/>
      <c r="DKU307" s="21"/>
      <c r="DKV307" s="21"/>
      <c r="DKW307" s="21"/>
      <c r="DKX307" s="21"/>
      <c r="DKY307" s="21"/>
      <c r="DKZ307" s="21"/>
      <c r="DLA307" s="21"/>
      <c r="DLB307" s="21"/>
      <c r="DLC307" s="21"/>
      <c r="DLD307" s="21"/>
      <c r="DLE307" s="21"/>
      <c r="DLF307" s="21"/>
      <c r="DLG307" s="21"/>
      <c r="DLH307" s="21"/>
      <c r="DLI307" s="21"/>
      <c r="DLJ307" s="21"/>
      <c r="DLK307" s="21"/>
      <c r="DLL307" s="21"/>
      <c r="DLM307" s="21"/>
      <c r="DLN307" s="21"/>
      <c r="DLO307" s="21"/>
      <c r="DLP307" s="21"/>
      <c r="DLQ307" s="21"/>
      <c r="DLR307" s="21"/>
      <c r="DLS307" s="21"/>
      <c r="DLT307" s="21"/>
      <c r="DLU307" s="21"/>
      <c r="DLV307" s="21"/>
      <c r="DLW307" s="21"/>
      <c r="DLX307" s="21"/>
      <c r="DLY307" s="21"/>
      <c r="DLZ307" s="21"/>
      <c r="DMA307" s="21"/>
      <c r="DMB307" s="21"/>
      <c r="DMC307" s="21"/>
      <c r="DMD307" s="21"/>
      <c r="DME307" s="21"/>
      <c r="DMF307" s="21"/>
      <c r="DMG307" s="21"/>
      <c r="DMH307" s="21"/>
      <c r="DMI307" s="21"/>
      <c r="DMJ307" s="21"/>
      <c r="DMK307" s="21"/>
      <c r="DML307" s="21"/>
      <c r="DMM307" s="21"/>
      <c r="DMN307" s="21"/>
      <c r="DMO307" s="21"/>
      <c r="DMP307" s="21"/>
      <c r="DMQ307" s="21"/>
      <c r="DMR307" s="21"/>
      <c r="DMS307" s="21"/>
      <c r="DMT307" s="21"/>
      <c r="DMU307" s="21"/>
      <c r="DMV307" s="21"/>
      <c r="DMW307" s="21"/>
      <c r="DMX307" s="21"/>
      <c r="DMY307" s="21"/>
      <c r="DMZ307" s="21"/>
      <c r="DNA307" s="21"/>
      <c r="DNB307" s="21"/>
      <c r="DNC307" s="21"/>
      <c r="DND307" s="21"/>
      <c r="DNE307" s="21"/>
      <c r="DNF307" s="21"/>
      <c r="DNG307" s="21"/>
      <c r="DNH307" s="21"/>
      <c r="DNI307" s="21"/>
      <c r="DNJ307" s="21"/>
      <c r="DNK307" s="21"/>
      <c r="DNL307" s="21"/>
      <c r="DNM307" s="21"/>
      <c r="DNN307" s="21"/>
      <c r="DNO307" s="21"/>
      <c r="DNP307" s="21"/>
      <c r="DNQ307" s="21"/>
      <c r="DNR307" s="21"/>
      <c r="DNS307" s="21"/>
      <c r="DNT307" s="21"/>
      <c r="DNU307" s="21"/>
      <c r="DNV307" s="21"/>
      <c r="DNW307" s="21"/>
      <c r="DNX307" s="21"/>
      <c r="DNY307" s="21"/>
      <c r="DNZ307" s="21"/>
      <c r="DOA307" s="21"/>
      <c r="DOB307" s="21"/>
      <c r="DOC307" s="21"/>
      <c r="DOD307" s="21"/>
      <c r="DOE307" s="21"/>
      <c r="DOF307" s="21"/>
      <c r="DOG307" s="21"/>
      <c r="DOH307" s="21"/>
      <c r="DOI307" s="21"/>
      <c r="DOJ307" s="21"/>
      <c r="DOK307" s="21"/>
      <c r="DOL307" s="21"/>
      <c r="DOM307" s="21"/>
      <c r="DON307" s="21"/>
      <c r="DOO307" s="21"/>
      <c r="DOP307" s="21"/>
      <c r="DOQ307" s="21"/>
      <c r="DOR307" s="21"/>
      <c r="DOS307" s="21"/>
      <c r="DOT307" s="21"/>
      <c r="DOU307" s="21"/>
      <c r="DOV307" s="21"/>
      <c r="DOW307" s="21"/>
      <c r="DOX307" s="21"/>
      <c r="DOY307" s="21"/>
      <c r="DOZ307" s="21"/>
      <c r="DPA307" s="21"/>
      <c r="DPB307" s="21"/>
      <c r="DPC307" s="21"/>
      <c r="DPD307" s="21"/>
      <c r="DPE307" s="21"/>
      <c r="DPF307" s="21"/>
      <c r="DPG307" s="21"/>
      <c r="DPH307" s="21"/>
      <c r="DPI307" s="21"/>
      <c r="DPJ307" s="21"/>
      <c r="DPK307" s="21"/>
      <c r="DPL307" s="21"/>
      <c r="DPM307" s="21"/>
      <c r="DPN307" s="21"/>
      <c r="DPO307" s="21"/>
      <c r="DPP307" s="21"/>
      <c r="DPQ307" s="21"/>
      <c r="DPR307" s="21"/>
      <c r="DPS307" s="21"/>
      <c r="DPT307" s="21"/>
      <c r="DPU307" s="21"/>
      <c r="DPV307" s="21"/>
      <c r="DPW307" s="21"/>
      <c r="DPX307" s="21"/>
      <c r="DPY307" s="21"/>
      <c r="DPZ307" s="21"/>
      <c r="DQA307" s="21"/>
      <c r="DQB307" s="21"/>
      <c r="DQC307" s="21"/>
      <c r="DQD307" s="21"/>
      <c r="DQE307" s="21"/>
      <c r="DQF307" s="21"/>
      <c r="DQG307" s="21"/>
      <c r="DQH307" s="21"/>
      <c r="DQI307" s="21"/>
      <c r="DQJ307" s="21"/>
      <c r="DQK307" s="21"/>
      <c r="DQL307" s="21"/>
      <c r="DQM307" s="21"/>
      <c r="DQN307" s="21"/>
      <c r="DQO307" s="21"/>
      <c r="DQP307" s="21"/>
      <c r="DQQ307" s="21"/>
      <c r="DQR307" s="21"/>
      <c r="DQS307" s="21"/>
      <c r="DQT307" s="21"/>
      <c r="DQU307" s="21"/>
      <c r="DQV307" s="21"/>
      <c r="DQW307" s="21"/>
      <c r="DQX307" s="21"/>
      <c r="DQY307" s="21"/>
      <c r="DQZ307" s="21"/>
      <c r="DRA307" s="21"/>
      <c r="DRB307" s="21"/>
      <c r="DRC307" s="21"/>
      <c r="DRD307" s="21"/>
      <c r="DRE307" s="21"/>
      <c r="DRF307" s="21"/>
      <c r="DRG307" s="21"/>
      <c r="DRH307" s="21"/>
      <c r="DRI307" s="21"/>
      <c r="DRJ307" s="21"/>
      <c r="DRK307" s="21"/>
      <c r="DRL307" s="21"/>
      <c r="DRM307" s="21"/>
      <c r="DRN307" s="21"/>
      <c r="DRO307" s="21"/>
      <c r="DRP307" s="21"/>
      <c r="DRQ307" s="21"/>
      <c r="DRR307" s="21"/>
      <c r="DRS307" s="21"/>
      <c r="DRT307" s="21"/>
      <c r="DRU307" s="21"/>
      <c r="DRV307" s="21"/>
      <c r="DRW307" s="21"/>
      <c r="DRX307" s="21"/>
      <c r="DRY307" s="21"/>
      <c r="DRZ307" s="21"/>
      <c r="DSA307" s="21"/>
      <c r="DSB307" s="21"/>
      <c r="DSC307" s="21"/>
      <c r="DSD307" s="21"/>
      <c r="DSE307" s="21"/>
      <c r="DSF307" s="21"/>
      <c r="DSG307" s="21"/>
      <c r="DSH307" s="21"/>
      <c r="DSI307" s="21"/>
      <c r="DSJ307" s="21"/>
      <c r="DSK307" s="21"/>
      <c r="DSL307" s="21"/>
      <c r="DSM307" s="21"/>
      <c r="DSN307" s="21"/>
      <c r="DSO307" s="21"/>
      <c r="DSP307" s="21"/>
      <c r="DSQ307" s="21"/>
      <c r="DSR307" s="21"/>
      <c r="DSS307" s="21"/>
      <c r="DST307" s="21"/>
      <c r="DSU307" s="21"/>
      <c r="DSV307" s="21"/>
      <c r="DSW307" s="21"/>
      <c r="DSX307" s="21"/>
      <c r="DSY307" s="21"/>
      <c r="DSZ307" s="21"/>
      <c r="DTA307" s="21"/>
      <c r="DTB307" s="21"/>
      <c r="DTC307" s="21"/>
      <c r="DTD307" s="21"/>
      <c r="DTE307" s="21"/>
      <c r="DTF307" s="21"/>
      <c r="DTG307" s="21"/>
      <c r="DTH307" s="21"/>
      <c r="DTI307" s="21"/>
      <c r="DTJ307" s="21"/>
      <c r="DTK307" s="21"/>
      <c r="DTL307" s="21"/>
      <c r="DTM307" s="21"/>
      <c r="DTN307" s="21"/>
      <c r="DTO307" s="21"/>
      <c r="DTP307" s="21"/>
      <c r="DTQ307" s="21"/>
      <c r="DTR307" s="21"/>
      <c r="DTS307" s="21"/>
      <c r="DTT307" s="21"/>
      <c r="DTU307" s="21"/>
      <c r="DTV307" s="21"/>
      <c r="DTW307" s="21"/>
      <c r="DTX307" s="21"/>
      <c r="DTY307" s="21"/>
      <c r="DTZ307" s="21"/>
      <c r="DUA307" s="21"/>
      <c r="DUB307" s="21"/>
      <c r="DUC307" s="21"/>
      <c r="DUD307" s="21"/>
      <c r="DUE307" s="21"/>
      <c r="DUF307" s="21"/>
      <c r="DUG307" s="21"/>
      <c r="DUH307" s="21"/>
      <c r="DUI307" s="21"/>
      <c r="DUJ307" s="21"/>
      <c r="DUK307" s="21"/>
      <c r="DUL307" s="21"/>
      <c r="DUM307" s="21"/>
      <c r="DUN307" s="21"/>
      <c r="DUO307" s="21"/>
      <c r="DUP307" s="21"/>
      <c r="DUQ307" s="21"/>
      <c r="DUR307" s="21"/>
      <c r="DUS307" s="21"/>
      <c r="DUT307" s="21"/>
      <c r="DUU307" s="21"/>
      <c r="DUV307" s="21"/>
      <c r="DUW307" s="21"/>
      <c r="DUX307" s="21"/>
      <c r="DUY307" s="21"/>
      <c r="DUZ307" s="21"/>
      <c r="DVA307" s="21"/>
      <c r="DVB307" s="21"/>
      <c r="DVC307" s="21"/>
      <c r="DVD307" s="21"/>
      <c r="DVE307" s="21"/>
      <c r="DVF307" s="21"/>
      <c r="DVG307" s="21"/>
      <c r="DVH307" s="21"/>
      <c r="DVI307" s="21"/>
      <c r="DVJ307" s="21"/>
      <c r="DVK307" s="21"/>
      <c r="DVL307" s="21"/>
      <c r="DVM307" s="21"/>
      <c r="DVN307" s="21"/>
      <c r="DVO307" s="21"/>
      <c r="DVP307" s="21"/>
      <c r="DVQ307" s="21"/>
      <c r="DVR307" s="21"/>
      <c r="DVS307" s="21"/>
      <c r="DVT307" s="21"/>
      <c r="DVU307" s="21"/>
      <c r="DVV307" s="21"/>
      <c r="DVW307" s="21"/>
      <c r="DVX307" s="21"/>
      <c r="DVY307" s="21"/>
      <c r="DVZ307" s="21"/>
      <c r="DWA307" s="21"/>
      <c r="DWB307" s="21"/>
      <c r="DWC307" s="21"/>
      <c r="DWD307" s="21"/>
      <c r="DWE307" s="21"/>
      <c r="DWF307" s="21"/>
      <c r="DWG307" s="21"/>
      <c r="DWH307" s="21"/>
      <c r="DWI307" s="21"/>
      <c r="DWJ307" s="21"/>
      <c r="DWK307" s="21"/>
      <c r="DWL307" s="21"/>
      <c r="DWM307" s="21"/>
      <c r="DWN307" s="21"/>
      <c r="DWO307" s="21"/>
      <c r="DWP307" s="21"/>
      <c r="DWQ307" s="21"/>
      <c r="DWR307" s="21"/>
      <c r="DWS307" s="21"/>
      <c r="DWT307" s="21"/>
      <c r="DWU307" s="21"/>
      <c r="DWV307" s="21"/>
      <c r="DWW307" s="21"/>
      <c r="DWX307" s="21"/>
      <c r="DWY307" s="21"/>
      <c r="DWZ307" s="21"/>
      <c r="DXA307" s="21"/>
      <c r="DXB307" s="21"/>
      <c r="DXC307" s="21"/>
      <c r="DXD307" s="21"/>
      <c r="DXE307" s="21"/>
      <c r="DXF307" s="21"/>
      <c r="DXG307" s="21"/>
      <c r="DXH307" s="21"/>
      <c r="DXI307" s="21"/>
      <c r="DXJ307" s="21"/>
      <c r="DXK307" s="21"/>
      <c r="DXL307" s="21"/>
      <c r="DXM307" s="21"/>
      <c r="DXN307" s="21"/>
      <c r="DXO307" s="21"/>
      <c r="DXP307" s="21"/>
      <c r="DXQ307" s="21"/>
      <c r="DXR307" s="21"/>
      <c r="DXS307" s="21"/>
      <c r="DXT307" s="21"/>
      <c r="DXU307" s="21"/>
      <c r="DXV307" s="21"/>
      <c r="DXW307" s="21"/>
      <c r="DXX307" s="21"/>
      <c r="DXY307" s="21"/>
      <c r="DXZ307" s="21"/>
      <c r="DYA307" s="21"/>
      <c r="DYB307" s="21"/>
      <c r="DYC307" s="21"/>
      <c r="DYD307" s="21"/>
      <c r="DYE307" s="21"/>
      <c r="DYF307" s="21"/>
      <c r="DYG307" s="21"/>
      <c r="DYH307" s="21"/>
      <c r="DYI307" s="21"/>
      <c r="DYJ307" s="21"/>
      <c r="DYK307" s="21"/>
      <c r="DYL307" s="21"/>
      <c r="DYM307" s="21"/>
      <c r="DYN307" s="21"/>
      <c r="DYO307" s="21"/>
      <c r="DYP307" s="21"/>
      <c r="DYQ307" s="21"/>
      <c r="DYR307" s="21"/>
      <c r="DYS307" s="21"/>
      <c r="DYT307" s="21"/>
      <c r="DYU307" s="21"/>
      <c r="DYV307" s="21"/>
      <c r="DYW307" s="21"/>
      <c r="DYX307" s="21"/>
      <c r="DYY307" s="21"/>
      <c r="DYZ307" s="21"/>
      <c r="DZA307" s="21"/>
      <c r="DZB307" s="21"/>
      <c r="DZC307" s="21"/>
      <c r="DZD307" s="21"/>
      <c r="DZE307" s="21"/>
      <c r="DZF307" s="21"/>
      <c r="DZG307" s="21"/>
      <c r="DZH307" s="21"/>
      <c r="DZI307" s="21"/>
      <c r="DZJ307" s="21"/>
      <c r="DZK307" s="21"/>
      <c r="DZL307" s="21"/>
      <c r="DZM307" s="21"/>
      <c r="DZN307" s="21"/>
      <c r="DZO307" s="21"/>
      <c r="DZP307" s="21"/>
      <c r="DZQ307" s="21"/>
      <c r="DZR307" s="21"/>
      <c r="DZS307" s="21"/>
      <c r="DZT307" s="21"/>
      <c r="DZU307" s="21"/>
      <c r="DZV307" s="21"/>
      <c r="DZW307" s="21"/>
      <c r="DZX307" s="21"/>
      <c r="DZY307" s="21"/>
      <c r="DZZ307" s="21"/>
      <c r="EAA307" s="21"/>
      <c r="EAB307" s="21"/>
      <c r="EAC307" s="21"/>
      <c r="EAD307" s="21"/>
      <c r="EAE307" s="21"/>
      <c r="EAF307" s="21"/>
      <c r="EAG307" s="21"/>
      <c r="EAH307" s="21"/>
      <c r="EAI307" s="21"/>
      <c r="EAJ307" s="21"/>
      <c r="EAK307" s="21"/>
      <c r="EAL307" s="21"/>
      <c r="EAM307" s="21"/>
      <c r="EAN307" s="21"/>
      <c r="EAO307" s="21"/>
      <c r="EAP307" s="21"/>
      <c r="EAQ307" s="21"/>
      <c r="EAR307" s="21"/>
      <c r="EAS307" s="21"/>
      <c r="EAT307" s="21"/>
      <c r="EAU307" s="21"/>
      <c r="EAV307" s="21"/>
      <c r="EAW307" s="21"/>
      <c r="EAX307" s="21"/>
      <c r="EAY307" s="21"/>
      <c r="EAZ307" s="21"/>
      <c r="EBA307" s="21"/>
      <c r="EBB307" s="21"/>
      <c r="EBC307" s="21"/>
      <c r="EBD307" s="21"/>
      <c r="EBE307" s="21"/>
      <c r="EBF307" s="21"/>
      <c r="EBG307" s="21"/>
      <c r="EBH307" s="21"/>
      <c r="EBI307" s="21"/>
      <c r="EBJ307" s="21"/>
      <c r="EBK307" s="21"/>
      <c r="EBL307" s="21"/>
      <c r="EBM307" s="21"/>
      <c r="EBN307" s="21"/>
      <c r="EBO307" s="21"/>
      <c r="EBP307" s="21"/>
      <c r="EBQ307" s="21"/>
      <c r="EBR307" s="21"/>
      <c r="EBS307" s="21"/>
      <c r="EBT307" s="21"/>
      <c r="EBU307" s="21"/>
      <c r="EBV307" s="21"/>
      <c r="EBW307" s="21"/>
      <c r="EBX307" s="21"/>
      <c r="EBY307" s="21"/>
      <c r="EBZ307" s="21"/>
      <c r="ECA307" s="21"/>
      <c r="ECB307" s="21"/>
      <c r="ECC307" s="21"/>
      <c r="ECD307" s="21"/>
      <c r="ECE307" s="21"/>
      <c r="ECF307" s="21"/>
      <c r="ECG307" s="21"/>
      <c r="ECH307" s="21"/>
      <c r="ECI307" s="21"/>
      <c r="ECJ307" s="21"/>
      <c r="ECK307" s="21"/>
      <c r="ECL307" s="21"/>
      <c r="ECM307" s="21"/>
      <c r="ECN307" s="21"/>
      <c r="ECO307" s="21"/>
      <c r="ECP307" s="21"/>
      <c r="ECQ307" s="21"/>
      <c r="ECR307" s="21"/>
      <c r="ECS307" s="21"/>
      <c r="ECT307" s="21"/>
      <c r="ECU307" s="21"/>
      <c r="ECV307" s="21"/>
      <c r="ECW307" s="21"/>
      <c r="ECX307" s="21"/>
      <c r="ECY307" s="21"/>
      <c r="ECZ307" s="21"/>
      <c r="EDA307" s="21"/>
      <c r="EDB307" s="21"/>
      <c r="EDC307" s="21"/>
      <c r="EDD307" s="21"/>
      <c r="EDE307" s="21"/>
      <c r="EDF307" s="21"/>
      <c r="EDG307" s="21"/>
      <c r="EDH307" s="21"/>
      <c r="EDI307" s="21"/>
      <c r="EDJ307" s="21"/>
      <c r="EDK307" s="21"/>
      <c r="EDL307" s="21"/>
      <c r="EDM307" s="21"/>
      <c r="EDN307" s="21"/>
      <c r="EDO307" s="21"/>
      <c r="EDP307" s="21"/>
      <c r="EDQ307" s="21"/>
      <c r="EDR307" s="21"/>
      <c r="EDS307" s="21"/>
      <c r="EDT307" s="21"/>
      <c r="EDU307" s="21"/>
      <c r="EDV307" s="21"/>
      <c r="EDW307" s="21"/>
      <c r="EDX307" s="21"/>
      <c r="EDY307" s="21"/>
      <c r="EDZ307" s="21"/>
      <c r="EEA307" s="21"/>
      <c r="EEB307" s="21"/>
      <c r="EEC307" s="21"/>
      <c r="EED307" s="21"/>
      <c r="EEE307" s="21"/>
      <c r="EEF307" s="21"/>
      <c r="EEG307" s="21"/>
      <c r="EEH307" s="21"/>
      <c r="EEI307" s="21"/>
      <c r="EEJ307" s="21"/>
      <c r="EEK307" s="21"/>
      <c r="EEL307" s="21"/>
      <c r="EEM307" s="21"/>
      <c r="EEN307" s="21"/>
      <c r="EEO307" s="21"/>
      <c r="EEP307" s="21"/>
      <c r="EEQ307" s="21"/>
      <c r="EER307" s="21"/>
      <c r="EES307" s="21"/>
      <c r="EET307" s="21"/>
      <c r="EEU307" s="21"/>
      <c r="EEV307" s="21"/>
      <c r="EEW307" s="21"/>
      <c r="EEX307" s="21"/>
      <c r="EEY307" s="21"/>
      <c r="EEZ307" s="21"/>
      <c r="EFA307" s="21"/>
      <c r="EFB307" s="21"/>
      <c r="EFC307" s="21"/>
      <c r="EFD307" s="21"/>
      <c r="EFE307" s="21"/>
      <c r="EFF307" s="21"/>
      <c r="EFG307" s="21"/>
      <c r="EFH307" s="21"/>
      <c r="EFI307" s="21"/>
      <c r="EFJ307" s="21"/>
      <c r="EFK307" s="21"/>
      <c r="EFL307" s="21"/>
      <c r="EFM307" s="21"/>
      <c r="EFN307" s="21"/>
      <c r="EFO307" s="21"/>
      <c r="EFP307" s="21"/>
      <c r="EFQ307" s="21"/>
      <c r="EFR307" s="21"/>
      <c r="EFS307" s="21"/>
      <c r="EFT307" s="21"/>
      <c r="EFU307" s="21"/>
      <c r="EFV307" s="21"/>
      <c r="EFW307" s="21"/>
      <c r="EFX307" s="21"/>
      <c r="EFY307" s="21"/>
      <c r="EFZ307" s="21"/>
      <c r="EGA307" s="21"/>
      <c r="EGB307" s="21"/>
      <c r="EGC307" s="21"/>
      <c r="EGD307" s="21"/>
      <c r="EGE307" s="21"/>
      <c r="EGF307" s="21"/>
      <c r="EGG307" s="21"/>
      <c r="EGH307" s="21"/>
      <c r="EGI307" s="21"/>
      <c r="EGJ307" s="21"/>
      <c r="EGK307" s="21"/>
      <c r="EGL307" s="21"/>
      <c r="EGM307" s="21"/>
      <c r="EGN307" s="21"/>
      <c r="EGO307" s="21"/>
      <c r="EGP307" s="21"/>
      <c r="EGQ307" s="21"/>
      <c r="EGR307" s="21"/>
      <c r="EGS307" s="21"/>
      <c r="EGT307" s="21"/>
      <c r="EGU307" s="21"/>
      <c r="EGV307" s="21"/>
      <c r="EGW307" s="21"/>
      <c r="EGX307" s="21"/>
      <c r="EGY307" s="21"/>
      <c r="EGZ307" s="21"/>
      <c r="EHA307" s="21"/>
      <c r="EHB307" s="21"/>
      <c r="EHC307" s="21"/>
      <c r="EHD307" s="21"/>
      <c r="EHE307" s="21"/>
      <c r="EHF307" s="21"/>
      <c r="EHG307" s="21"/>
      <c r="EHH307" s="21"/>
      <c r="EHI307" s="21"/>
      <c r="EHJ307" s="21"/>
      <c r="EHK307" s="21"/>
      <c r="EHL307" s="21"/>
      <c r="EHM307" s="21"/>
      <c r="EHN307" s="21"/>
      <c r="EHO307" s="21"/>
      <c r="EHP307" s="21"/>
      <c r="EHQ307" s="21"/>
      <c r="EHR307" s="21"/>
      <c r="EHS307" s="21"/>
      <c r="EHT307" s="21"/>
      <c r="EHU307" s="21"/>
      <c r="EHV307" s="21"/>
      <c r="EHW307" s="21"/>
      <c r="EHX307" s="21"/>
      <c r="EHY307" s="21"/>
      <c r="EHZ307" s="21"/>
      <c r="EIA307" s="21"/>
      <c r="EIB307" s="21"/>
      <c r="EIC307" s="21"/>
      <c r="EID307" s="21"/>
      <c r="EIE307" s="21"/>
      <c r="EIF307" s="21"/>
      <c r="EIG307" s="21"/>
      <c r="EIH307" s="21"/>
      <c r="EII307" s="21"/>
      <c r="EIJ307" s="21"/>
      <c r="EIK307" s="21"/>
      <c r="EIL307" s="21"/>
      <c r="EIM307" s="21"/>
      <c r="EIN307" s="21"/>
      <c r="EIO307" s="21"/>
      <c r="EIP307" s="21"/>
      <c r="EIQ307" s="21"/>
      <c r="EIR307" s="21"/>
      <c r="EIS307" s="21"/>
      <c r="EIT307" s="21"/>
      <c r="EIU307" s="21"/>
      <c r="EIV307" s="21"/>
      <c r="EIW307" s="21"/>
      <c r="EIX307" s="21"/>
      <c r="EIY307" s="21"/>
      <c r="EIZ307" s="21"/>
      <c r="EJA307" s="21"/>
      <c r="EJB307" s="21"/>
      <c r="EJC307" s="21"/>
      <c r="EJD307" s="21"/>
      <c r="EJE307" s="21"/>
      <c r="EJF307" s="21"/>
      <c r="EJG307" s="21"/>
      <c r="EJH307" s="21"/>
      <c r="EJI307" s="21"/>
      <c r="EJJ307" s="21"/>
      <c r="EJK307" s="21"/>
      <c r="EJL307" s="21"/>
      <c r="EJM307" s="21"/>
      <c r="EJN307" s="21"/>
      <c r="EJO307" s="21"/>
      <c r="EJP307" s="21"/>
      <c r="EJQ307" s="21"/>
      <c r="EJR307" s="21"/>
      <c r="EJS307" s="21"/>
      <c r="EJT307" s="21"/>
      <c r="EJU307" s="21"/>
      <c r="EJV307" s="21"/>
      <c r="EJW307" s="21"/>
      <c r="EJX307" s="21"/>
      <c r="EJY307" s="21"/>
      <c r="EJZ307" s="21"/>
      <c r="EKA307" s="21"/>
      <c r="EKB307" s="21"/>
      <c r="EKC307" s="21"/>
      <c r="EKD307" s="21"/>
      <c r="EKE307" s="21"/>
      <c r="EKF307" s="21"/>
      <c r="EKG307" s="21"/>
      <c r="EKH307" s="21"/>
      <c r="EKI307" s="21"/>
      <c r="EKJ307" s="21"/>
      <c r="EKK307" s="21"/>
      <c r="EKL307" s="21"/>
      <c r="EKM307" s="21"/>
      <c r="EKN307" s="21"/>
      <c r="EKO307" s="21"/>
      <c r="EKP307" s="21"/>
      <c r="EKQ307" s="21"/>
      <c r="EKR307" s="21"/>
      <c r="EKS307" s="21"/>
      <c r="EKT307" s="21"/>
      <c r="EKU307" s="21"/>
      <c r="EKV307" s="21"/>
      <c r="EKW307" s="21"/>
      <c r="EKX307" s="21"/>
      <c r="EKY307" s="21"/>
      <c r="EKZ307" s="21"/>
      <c r="ELA307" s="21"/>
      <c r="ELB307" s="21"/>
      <c r="ELC307" s="21"/>
      <c r="ELD307" s="21"/>
      <c r="ELE307" s="21"/>
      <c r="ELF307" s="21"/>
      <c r="ELG307" s="21"/>
      <c r="ELH307" s="21"/>
      <c r="ELI307" s="21"/>
      <c r="ELJ307" s="21"/>
      <c r="ELK307" s="21"/>
      <c r="ELL307" s="21"/>
      <c r="ELM307" s="21"/>
      <c r="ELN307" s="21"/>
      <c r="ELO307" s="21"/>
      <c r="ELP307" s="21"/>
      <c r="ELQ307" s="21"/>
      <c r="ELR307" s="21"/>
      <c r="ELS307" s="21"/>
      <c r="ELT307" s="21"/>
      <c r="ELU307" s="21"/>
      <c r="ELV307" s="21"/>
      <c r="ELW307" s="21"/>
      <c r="ELX307" s="21"/>
      <c r="ELY307" s="21"/>
      <c r="ELZ307" s="21"/>
      <c r="EMA307" s="21"/>
      <c r="EMB307" s="21"/>
      <c r="EMC307" s="21"/>
      <c r="EMD307" s="21"/>
      <c r="EME307" s="21"/>
      <c r="EMF307" s="21"/>
      <c r="EMG307" s="21"/>
      <c r="EMH307" s="21"/>
      <c r="EMI307" s="21"/>
      <c r="EMJ307" s="21"/>
      <c r="EMK307" s="21"/>
      <c r="EML307" s="21"/>
      <c r="EMM307" s="21"/>
      <c r="EMN307" s="21"/>
      <c r="EMO307" s="21"/>
      <c r="EMP307" s="21"/>
      <c r="EMQ307" s="21"/>
      <c r="EMR307" s="21"/>
      <c r="EMS307" s="21"/>
      <c r="EMT307" s="21"/>
      <c r="EMU307" s="21"/>
      <c r="EMV307" s="21"/>
      <c r="EMW307" s="21"/>
      <c r="EMX307" s="21"/>
      <c r="EMY307" s="21"/>
      <c r="EMZ307" s="21"/>
      <c r="ENA307" s="21"/>
      <c r="ENB307" s="21"/>
      <c r="ENC307" s="21"/>
      <c r="END307" s="21"/>
      <c r="ENE307" s="21"/>
      <c r="ENF307" s="21"/>
      <c r="ENG307" s="21"/>
      <c r="ENH307" s="21"/>
      <c r="ENI307" s="21"/>
      <c r="ENJ307" s="21"/>
      <c r="ENK307" s="21"/>
      <c r="ENL307" s="21"/>
      <c r="ENM307" s="21"/>
      <c r="ENN307" s="21"/>
      <c r="ENO307" s="21"/>
      <c r="ENP307" s="21"/>
      <c r="ENQ307" s="21"/>
      <c r="ENR307" s="21"/>
      <c r="ENS307" s="21"/>
      <c r="ENT307" s="21"/>
      <c r="ENU307" s="21"/>
      <c r="ENV307" s="21"/>
      <c r="ENW307" s="21"/>
      <c r="ENX307" s="21"/>
      <c r="ENY307" s="21"/>
      <c r="ENZ307" s="21"/>
      <c r="EOA307" s="21"/>
      <c r="EOB307" s="21"/>
      <c r="EOC307" s="21"/>
      <c r="EOD307" s="21"/>
      <c r="EOE307" s="21"/>
      <c r="EOF307" s="21"/>
      <c r="EOG307" s="21"/>
      <c r="EOH307" s="21"/>
      <c r="EOI307" s="21"/>
      <c r="EOJ307" s="21"/>
      <c r="EOK307" s="21"/>
      <c r="EOL307" s="21"/>
      <c r="EOM307" s="21"/>
      <c r="EON307" s="21"/>
      <c r="EOO307" s="21"/>
      <c r="EOP307" s="21"/>
      <c r="EOQ307" s="21"/>
      <c r="EOR307" s="21"/>
      <c r="EOS307" s="21"/>
      <c r="EOT307" s="21"/>
      <c r="EOU307" s="21"/>
      <c r="EOV307" s="21"/>
      <c r="EOW307" s="21"/>
      <c r="EOX307" s="21"/>
      <c r="EOY307" s="21"/>
      <c r="EOZ307" s="21"/>
      <c r="EPA307" s="21"/>
      <c r="EPB307" s="21"/>
      <c r="EPC307" s="21"/>
      <c r="EPD307" s="21"/>
      <c r="EPE307" s="21"/>
      <c r="EPF307" s="21"/>
      <c r="EPG307" s="21"/>
      <c r="EPH307" s="21"/>
      <c r="EPI307" s="21"/>
      <c r="EPJ307" s="21"/>
      <c r="EPK307" s="21"/>
      <c r="EPL307" s="21"/>
      <c r="EPM307" s="21"/>
      <c r="EPN307" s="21"/>
      <c r="EPO307" s="21"/>
      <c r="EPP307" s="21"/>
      <c r="EPQ307" s="21"/>
      <c r="EPR307" s="21"/>
      <c r="EPS307" s="21"/>
      <c r="EPT307" s="21"/>
      <c r="EPU307" s="21"/>
      <c r="EPV307" s="21"/>
      <c r="EPW307" s="21"/>
      <c r="EPX307" s="21"/>
      <c r="EPY307" s="21"/>
      <c r="EPZ307" s="21"/>
      <c r="EQA307" s="21"/>
      <c r="EQB307" s="21"/>
      <c r="EQC307" s="21"/>
      <c r="EQD307" s="21"/>
      <c r="EQE307" s="21"/>
      <c r="EQF307" s="21"/>
      <c r="EQG307" s="21"/>
      <c r="EQH307" s="21"/>
      <c r="EQI307" s="21"/>
      <c r="EQJ307" s="21"/>
      <c r="EQK307" s="21"/>
      <c r="EQL307" s="21"/>
      <c r="EQM307" s="21"/>
      <c r="EQN307" s="21"/>
      <c r="EQO307" s="21"/>
      <c r="EQP307" s="21"/>
      <c r="EQQ307" s="21"/>
      <c r="EQR307" s="21"/>
      <c r="EQS307" s="21"/>
      <c r="EQT307" s="21"/>
      <c r="EQU307" s="21"/>
      <c r="EQV307" s="21"/>
      <c r="EQW307" s="21"/>
      <c r="EQX307" s="21"/>
      <c r="EQY307" s="21"/>
      <c r="EQZ307" s="21"/>
      <c r="ERA307" s="21"/>
      <c r="ERB307" s="21"/>
      <c r="ERC307" s="21"/>
      <c r="ERD307" s="21"/>
      <c r="ERE307" s="21"/>
      <c r="ERF307" s="21"/>
      <c r="ERG307" s="21"/>
      <c r="ERH307" s="21"/>
      <c r="ERI307" s="21"/>
      <c r="ERJ307" s="21"/>
      <c r="ERK307" s="21"/>
      <c r="ERL307" s="21"/>
      <c r="ERM307" s="21"/>
      <c r="ERN307" s="21"/>
      <c r="ERO307" s="21"/>
      <c r="ERP307" s="21"/>
      <c r="ERQ307" s="21"/>
      <c r="ERR307" s="21"/>
      <c r="ERS307" s="21"/>
      <c r="ERT307" s="21"/>
      <c r="ERU307" s="21"/>
      <c r="ERV307" s="21"/>
      <c r="ERW307" s="21"/>
      <c r="ERX307" s="21"/>
      <c r="ERY307" s="21"/>
      <c r="ERZ307" s="21"/>
      <c r="ESA307" s="21"/>
      <c r="ESB307" s="21"/>
      <c r="ESC307" s="21"/>
      <c r="ESD307" s="21"/>
      <c r="ESE307" s="21"/>
      <c r="ESF307" s="21"/>
      <c r="ESG307" s="21"/>
      <c r="ESH307" s="21"/>
      <c r="ESI307" s="21"/>
      <c r="ESJ307" s="21"/>
      <c r="ESK307" s="21"/>
      <c r="ESL307" s="21"/>
      <c r="ESM307" s="21"/>
      <c r="ESN307" s="21"/>
      <c r="ESO307" s="21"/>
      <c r="ESP307" s="21"/>
      <c r="ESQ307" s="21"/>
      <c r="ESR307" s="21"/>
      <c r="ESS307" s="21"/>
      <c r="EST307" s="21"/>
      <c r="ESU307" s="21"/>
      <c r="ESV307" s="21"/>
      <c r="ESW307" s="21"/>
      <c r="ESX307" s="21"/>
      <c r="ESY307" s="21"/>
      <c r="ESZ307" s="21"/>
      <c r="ETA307" s="21"/>
      <c r="ETB307" s="21"/>
      <c r="ETC307" s="21"/>
      <c r="ETD307" s="21"/>
      <c r="ETE307" s="21"/>
      <c r="ETF307" s="21"/>
      <c r="ETG307" s="21"/>
      <c r="ETH307" s="21"/>
      <c r="ETI307" s="21"/>
      <c r="ETJ307" s="21"/>
      <c r="ETK307" s="21"/>
      <c r="ETL307" s="21"/>
      <c r="ETM307" s="21"/>
      <c r="ETN307" s="21"/>
      <c r="ETO307" s="21"/>
      <c r="ETP307" s="21"/>
      <c r="ETQ307" s="21"/>
      <c r="ETR307" s="21"/>
      <c r="ETS307" s="21"/>
      <c r="ETT307" s="21"/>
      <c r="ETU307" s="21"/>
      <c r="ETV307" s="21"/>
      <c r="ETW307" s="21"/>
      <c r="ETX307" s="21"/>
      <c r="ETY307" s="21"/>
      <c r="ETZ307" s="21"/>
      <c r="EUA307" s="21"/>
      <c r="EUB307" s="21"/>
      <c r="EUC307" s="21"/>
      <c r="EUD307" s="21"/>
      <c r="EUE307" s="21"/>
      <c r="EUF307" s="21"/>
      <c r="EUG307" s="21"/>
      <c r="EUH307" s="21"/>
      <c r="EUI307" s="21"/>
      <c r="EUJ307" s="21"/>
      <c r="EUK307" s="21"/>
      <c r="EUL307" s="21"/>
      <c r="EUM307" s="21"/>
      <c r="EUN307" s="21"/>
      <c r="EUO307" s="21"/>
      <c r="EUP307" s="21"/>
      <c r="EUQ307" s="21"/>
      <c r="EUR307" s="21"/>
      <c r="EUS307" s="21"/>
      <c r="EUT307" s="21"/>
      <c r="EUU307" s="21"/>
      <c r="EUV307" s="21"/>
      <c r="EUW307" s="21"/>
      <c r="EUX307" s="21"/>
      <c r="EUY307" s="21"/>
      <c r="EUZ307" s="21"/>
      <c r="EVA307" s="21"/>
      <c r="EVB307" s="21"/>
      <c r="EVC307" s="21"/>
      <c r="EVD307" s="21"/>
      <c r="EVE307" s="21"/>
      <c r="EVF307" s="21"/>
      <c r="EVG307" s="21"/>
      <c r="EVH307" s="21"/>
      <c r="EVI307" s="21"/>
      <c r="EVJ307" s="21"/>
      <c r="EVK307" s="21"/>
      <c r="EVL307" s="21"/>
      <c r="EVM307" s="21"/>
      <c r="EVN307" s="21"/>
      <c r="EVO307" s="21"/>
      <c r="EVP307" s="21"/>
      <c r="EVQ307" s="21"/>
      <c r="EVR307" s="21"/>
      <c r="EVS307" s="21"/>
      <c r="EVT307" s="21"/>
      <c r="EVU307" s="21"/>
      <c r="EVV307" s="21"/>
      <c r="EVW307" s="21"/>
      <c r="EVX307" s="21"/>
      <c r="EVY307" s="21"/>
      <c r="EVZ307" s="21"/>
      <c r="EWA307" s="21"/>
      <c r="EWB307" s="21"/>
      <c r="EWC307" s="21"/>
      <c r="EWD307" s="21"/>
      <c r="EWE307" s="21"/>
      <c r="EWF307" s="21"/>
      <c r="EWG307" s="21"/>
      <c r="EWH307" s="21"/>
      <c r="EWI307" s="21"/>
      <c r="EWJ307" s="21"/>
      <c r="EWK307" s="21"/>
      <c r="EWL307" s="21"/>
      <c r="EWM307" s="21"/>
      <c r="EWN307" s="21"/>
      <c r="EWO307" s="21"/>
      <c r="EWP307" s="21"/>
      <c r="EWQ307" s="21"/>
      <c r="EWR307" s="21"/>
      <c r="EWS307" s="21"/>
      <c r="EWT307" s="21"/>
      <c r="EWU307" s="21"/>
      <c r="EWV307" s="21"/>
      <c r="EWW307" s="21"/>
      <c r="EWX307" s="21"/>
      <c r="EWY307" s="21"/>
      <c r="EWZ307" s="21"/>
      <c r="EXA307" s="21"/>
      <c r="EXB307" s="21"/>
      <c r="EXC307" s="21"/>
      <c r="EXD307" s="21"/>
      <c r="EXE307" s="21"/>
      <c r="EXF307" s="21"/>
      <c r="EXG307" s="21"/>
      <c r="EXH307" s="21"/>
      <c r="EXI307" s="21"/>
      <c r="EXJ307" s="21"/>
      <c r="EXK307" s="21"/>
      <c r="EXL307" s="21"/>
      <c r="EXM307" s="21"/>
      <c r="EXN307" s="21"/>
      <c r="EXO307" s="21"/>
      <c r="EXP307" s="21"/>
      <c r="EXQ307" s="21"/>
      <c r="EXR307" s="21"/>
      <c r="EXS307" s="21"/>
      <c r="EXT307" s="21"/>
      <c r="EXU307" s="21"/>
      <c r="EXV307" s="21"/>
      <c r="EXW307" s="21"/>
      <c r="EXX307" s="21"/>
      <c r="EXY307" s="21"/>
      <c r="EXZ307" s="21"/>
      <c r="EYA307" s="21"/>
      <c r="EYB307" s="21"/>
      <c r="EYC307" s="21"/>
      <c r="EYD307" s="21"/>
      <c r="EYE307" s="21"/>
      <c r="EYF307" s="21"/>
      <c r="EYG307" s="21"/>
      <c r="EYH307" s="21"/>
      <c r="EYI307" s="21"/>
      <c r="EYJ307" s="21"/>
      <c r="EYK307" s="21"/>
      <c r="EYL307" s="21"/>
      <c r="EYM307" s="21"/>
      <c r="EYN307" s="21"/>
      <c r="EYO307" s="21"/>
      <c r="EYP307" s="21"/>
      <c r="EYQ307" s="21"/>
      <c r="EYR307" s="21"/>
      <c r="EYS307" s="21"/>
      <c r="EYT307" s="21"/>
      <c r="EYU307" s="21"/>
      <c r="EYV307" s="21"/>
      <c r="EYW307" s="21"/>
      <c r="EYX307" s="21"/>
      <c r="EYY307" s="21"/>
      <c r="EYZ307" s="21"/>
      <c r="EZA307" s="21"/>
      <c r="EZB307" s="21"/>
      <c r="EZC307" s="21"/>
      <c r="EZD307" s="21"/>
      <c r="EZE307" s="21"/>
      <c r="EZF307" s="21"/>
      <c r="EZG307" s="21"/>
      <c r="EZH307" s="21"/>
      <c r="EZI307" s="21"/>
      <c r="EZJ307" s="21"/>
      <c r="EZK307" s="21"/>
      <c r="EZL307" s="21"/>
      <c r="EZM307" s="21"/>
      <c r="EZN307" s="21"/>
      <c r="EZO307" s="21"/>
      <c r="EZP307" s="21"/>
      <c r="EZQ307" s="21"/>
      <c r="EZR307" s="21"/>
      <c r="EZS307" s="21"/>
      <c r="EZT307" s="21"/>
      <c r="EZU307" s="21"/>
      <c r="EZV307" s="21"/>
      <c r="EZW307" s="21"/>
      <c r="EZX307" s="21"/>
      <c r="EZY307" s="21"/>
      <c r="EZZ307" s="21"/>
      <c r="FAA307" s="21"/>
      <c r="FAB307" s="21"/>
      <c r="FAC307" s="21"/>
      <c r="FAD307" s="21"/>
      <c r="FAE307" s="21"/>
      <c r="FAF307" s="21"/>
      <c r="FAG307" s="21"/>
      <c r="FAH307" s="21"/>
      <c r="FAI307" s="21"/>
      <c r="FAJ307" s="21"/>
      <c r="FAK307" s="21"/>
      <c r="FAL307" s="21"/>
      <c r="FAM307" s="21"/>
      <c r="FAN307" s="21"/>
      <c r="FAO307" s="21"/>
      <c r="FAP307" s="21"/>
      <c r="FAQ307" s="21"/>
      <c r="FAR307" s="21"/>
      <c r="FAS307" s="21"/>
      <c r="FAT307" s="21"/>
      <c r="FAU307" s="21"/>
      <c r="FAV307" s="21"/>
      <c r="FAW307" s="21"/>
      <c r="FAX307" s="21"/>
      <c r="FAY307" s="21"/>
      <c r="FAZ307" s="21"/>
      <c r="FBA307" s="21"/>
      <c r="FBB307" s="21"/>
      <c r="FBC307" s="21"/>
      <c r="FBD307" s="21"/>
      <c r="FBE307" s="21"/>
      <c r="FBF307" s="21"/>
      <c r="FBG307" s="21"/>
      <c r="FBH307" s="21"/>
      <c r="FBI307" s="21"/>
      <c r="FBJ307" s="21"/>
      <c r="FBK307" s="21"/>
      <c r="FBL307" s="21"/>
      <c r="FBM307" s="21"/>
      <c r="FBN307" s="21"/>
      <c r="FBO307" s="21"/>
      <c r="FBP307" s="21"/>
      <c r="FBQ307" s="21"/>
      <c r="FBR307" s="21"/>
      <c r="FBS307" s="21"/>
      <c r="FBT307" s="21"/>
      <c r="FBU307" s="21"/>
      <c r="FBV307" s="21"/>
      <c r="FBW307" s="21"/>
      <c r="FBX307" s="21"/>
      <c r="FBY307" s="21"/>
      <c r="FBZ307" s="21"/>
      <c r="FCA307" s="21"/>
      <c r="FCB307" s="21"/>
      <c r="FCC307" s="21"/>
      <c r="FCD307" s="21"/>
      <c r="FCE307" s="21"/>
      <c r="FCF307" s="21"/>
      <c r="FCG307" s="21"/>
      <c r="FCH307" s="21"/>
      <c r="FCI307" s="21"/>
      <c r="FCJ307" s="21"/>
      <c r="FCK307" s="21"/>
      <c r="FCL307" s="21"/>
      <c r="FCM307" s="21"/>
      <c r="FCN307" s="21"/>
      <c r="FCO307" s="21"/>
      <c r="FCP307" s="21"/>
      <c r="FCQ307" s="21"/>
      <c r="FCR307" s="21"/>
      <c r="FCS307" s="21"/>
      <c r="FCT307" s="21"/>
      <c r="FCU307" s="21"/>
      <c r="FCV307" s="21"/>
      <c r="FCW307" s="21"/>
      <c r="FCX307" s="21"/>
      <c r="FCY307" s="21"/>
      <c r="FCZ307" s="21"/>
      <c r="FDA307" s="21"/>
      <c r="FDB307" s="21"/>
      <c r="FDC307" s="21"/>
      <c r="FDD307" s="21"/>
      <c r="FDE307" s="21"/>
      <c r="FDF307" s="21"/>
      <c r="FDG307" s="21"/>
      <c r="FDH307" s="21"/>
      <c r="FDI307" s="21"/>
      <c r="FDJ307" s="21"/>
      <c r="FDK307" s="21"/>
      <c r="FDL307" s="21"/>
      <c r="FDM307" s="21"/>
      <c r="FDN307" s="21"/>
      <c r="FDO307" s="21"/>
      <c r="FDP307" s="21"/>
      <c r="FDQ307" s="21"/>
      <c r="FDR307" s="21"/>
      <c r="FDS307" s="21"/>
      <c r="FDT307" s="21"/>
      <c r="FDU307" s="21"/>
      <c r="FDV307" s="21"/>
      <c r="FDW307" s="21"/>
      <c r="FDX307" s="21"/>
      <c r="FDY307" s="21"/>
      <c r="FDZ307" s="21"/>
      <c r="FEA307" s="21"/>
      <c r="FEB307" s="21"/>
      <c r="FEC307" s="21"/>
      <c r="FED307" s="21"/>
      <c r="FEE307" s="21"/>
      <c r="FEF307" s="21"/>
      <c r="FEG307" s="21"/>
      <c r="FEH307" s="21"/>
      <c r="FEI307" s="21"/>
      <c r="FEJ307" s="21"/>
      <c r="FEK307" s="21"/>
      <c r="FEL307" s="21"/>
      <c r="FEM307" s="21"/>
      <c r="FEN307" s="21"/>
      <c r="FEO307" s="21"/>
      <c r="FEP307" s="21"/>
      <c r="FEQ307" s="21"/>
      <c r="FER307" s="21"/>
      <c r="FES307" s="21"/>
      <c r="FET307" s="21"/>
      <c r="FEU307" s="21"/>
      <c r="FEV307" s="21"/>
      <c r="FEW307" s="21"/>
      <c r="FEX307" s="21"/>
      <c r="FEY307" s="21"/>
      <c r="FEZ307" s="21"/>
      <c r="FFA307" s="21"/>
      <c r="FFB307" s="21"/>
      <c r="FFC307" s="21"/>
      <c r="FFD307" s="21"/>
      <c r="FFE307" s="21"/>
      <c r="FFF307" s="21"/>
      <c r="FFG307" s="21"/>
      <c r="FFH307" s="21"/>
      <c r="FFI307" s="21"/>
      <c r="FFJ307" s="21"/>
      <c r="FFK307" s="21"/>
      <c r="FFL307" s="21"/>
      <c r="FFM307" s="21"/>
      <c r="FFN307" s="21"/>
      <c r="FFO307" s="21"/>
      <c r="FFP307" s="21"/>
      <c r="FFQ307" s="21"/>
      <c r="FFR307" s="21"/>
      <c r="FFS307" s="21"/>
      <c r="FFT307" s="21"/>
      <c r="FFU307" s="21"/>
      <c r="FFV307" s="21"/>
      <c r="FFW307" s="21"/>
      <c r="FFX307" s="21"/>
      <c r="FFY307" s="21"/>
      <c r="FFZ307" s="21"/>
      <c r="FGA307" s="21"/>
      <c r="FGB307" s="21"/>
      <c r="FGC307" s="21"/>
      <c r="FGD307" s="21"/>
      <c r="FGE307" s="21"/>
      <c r="FGF307" s="21"/>
      <c r="FGG307" s="21"/>
      <c r="FGH307" s="21"/>
      <c r="FGI307" s="21"/>
      <c r="FGJ307" s="21"/>
      <c r="FGK307" s="21"/>
      <c r="FGL307" s="21"/>
      <c r="FGM307" s="21"/>
      <c r="FGN307" s="21"/>
      <c r="FGO307" s="21"/>
      <c r="FGP307" s="21"/>
      <c r="FGQ307" s="21"/>
      <c r="FGR307" s="21"/>
      <c r="FGS307" s="21"/>
      <c r="FGT307" s="21"/>
      <c r="FGU307" s="21"/>
      <c r="FGV307" s="21"/>
      <c r="FGW307" s="21"/>
      <c r="FGX307" s="21"/>
      <c r="FGY307" s="21"/>
      <c r="FGZ307" s="21"/>
      <c r="FHA307" s="21"/>
      <c r="FHB307" s="21"/>
      <c r="FHC307" s="21"/>
      <c r="FHD307" s="21"/>
      <c r="FHE307" s="21"/>
      <c r="FHF307" s="21"/>
      <c r="FHG307" s="21"/>
      <c r="FHH307" s="21"/>
      <c r="FHI307" s="21"/>
      <c r="FHJ307" s="21"/>
      <c r="FHK307" s="21"/>
      <c r="FHL307" s="21"/>
      <c r="FHM307" s="21"/>
      <c r="FHN307" s="21"/>
      <c r="FHO307" s="21"/>
      <c r="FHP307" s="21"/>
      <c r="FHQ307" s="21"/>
      <c r="FHR307" s="21"/>
      <c r="FHS307" s="21"/>
      <c r="FHT307" s="21"/>
      <c r="FHU307" s="21"/>
      <c r="FHV307" s="21"/>
      <c r="FHW307" s="21"/>
      <c r="FHX307" s="21"/>
      <c r="FHY307" s="21"/>
      <c r="FHZ307" s="21"/>
      <c r="FIA307" s="21"/>
      <c r="FIB307" s="21"/>
      <c r="FIC307" s="21"/>
      <c r="FID307" s="21"/>
      <c r="FIE307" s="21"/>
      <c r="FIF307" s="21"/>
      <c r="FIG307" s="21"/>
      <c r="FIH307" s="21"/>
      <c r="FII307" s="21"/>
      <c r="FIJ307" s="21"/>
      <c r="FIK307" s="21"/>
      <c r="FIL307" s="21"/>
      <c r="FIM307" s="21"/>
      <c r="FIN307" s="21"/>
      <c r="FIO307" s="21"/>
      <c r="FIP307" s="21"/>
      <c r="FIQ307" s="21"/>
      <c r="FIR307" s="21"/>
      <c r="FIS307" s="21"/>
      <c r="FIT307" s="21"/>
      <c r="FIU307" s="21"/>
      <c r="FIV307" s="21"/>
      <c r="FIW307" s="21"/>
      <c r="FIX307" s="21"/>
      <c r="FIY307" s="21"/>
      <c r="FIZ307" s="21"/>
      <c r="FJA307" s="21"/>
      <c r="FJB307" s="21"/>
      <c r="FJC307" s="21"/>
      <c r="FJD307" s="21"/>
      <c r="FJE307" s="21"/>
      <c r="FJF307" s="21"/>
      <c r="FJG307" s="21"/>
      <c r="FJH307" s="21"/>
      <c r="FJI307" s="21"/>
      <c r="FJJ307" s="21"/>
      <c r="FJK307" s="21"/>
      <c r="FJL307" s="21"/>
      <c r="FJM307" s="21"/>
      <c r="FJN307" s="21"/>
      <c r="FJO307" s="21"/>
      <c r="FJP307" s="21"/>
      <c r="FJQ307" s="21"/>
      <c r="FJR307" s="21"/>
      <c r="FJS307" s="21"/>
      <c r="FJT307" s="21"/>
      <c r="FJU307" s="21"/>
      <c r="FJV307" s="21"/>
      <c r="FJW307" s="21"/>
      <c r="FJX307" s="21"/>
      <c r="FJY307" s="21"/>
      <c r="FJZ307" s="21"/>
      <c r="FKA307" s="21"/>
      <c r="FKB307" s="21"/>
      <c r="FKC307" s="21"/>
      <c r="FKD307" s="21"/>
      <c r="FKE307" s="21"/>
      <c r="FKF307" s="21"/>
      <c r="FKG307" s="21"/>
      <c r="FKH307" s="21"/>
      <c r="FKI307" s="21"/>
      <c r="FKJ307" s="21"/>
      <c r="FKK307" s="21"/>
      <c r="FKL307" s="21"/>
      <c r="FKM307" s="21"/>
      <c r="FKN307" s="21"/>
      <c r="FKO307" s="21"/>
      <c r="FKP307" s="21"/>
      <c r="FKQ307" s="21"/>
      <c r="FKR307" s="21"/>
      <c r="FKS307" s="21"/>
      <c r="FKT307" s="21"/>
      <c r="FKU307" s="21"/>
      <c r="FKV307" s="21"/>
      <c r="FKW307" s="21"/>
      <c r="FKX307" s="21"/>
      <c r="FKY307" s="21"/>
      <c r="FKZ307" s="21"/>
      <c r="FLA307" s="21"/>
      <c r="FLB307" s="21"/>
      <c r="FLC307" s="21"/>
      <c r="FLD307" s="21"/>
      <c r="FLE307" s="21"/>
      <c r="FLF307" s="21"/>
      <c r="FLG307" s="21"/>
      <c r="FLH307" s="21"/>
      <c r="FLI307" s="21"/>
      <c r="FLJ307" s="21"/>
      <c r="FLK307" s="21"/>
      <c r="FLL307" s="21"/>
      <c r="FLM307" s="21"/>
      <c r="FLN307" s="21"/>
      <c r="FLO307" s="21"/>
      <c r="FLP307" s="21"/>
      <c r="FLQ307" s="21"/>
      <c r="FLR307" s="21"/>
      <c r="FLS307" s="21"/>
      <c r="FLT307" s="21"/>
      <c r="FLU307" s="21"/>
      <c r="FLV307" s="21"/>
      <c r="FLW307" s="21"/>
      <c r="FLX307" s="21"/>
      <c r="FLY307" s="21"/>
      <c r="FLZ307" s="21"/>
      <c r="FMA307" s="21"/>
      <c r="FMB307" s="21"/>
      <c r="FMC307" s="21"/>
      <c r="FMD307" s="21"/>
      <c r="FME307" s="21"/>
      <c r="FMF307" s="21"/>
      <c r="FMG307" s="21"/>
      <c r="FMH307" s="21"/>
      <c r="FMI307" s="21"/>
      <c r="FMJ307" s="21"/>
      <c r="FMK307" s="21"/>
      <c r="FML307" s="21"/>
      <c r="FMM307" s="21"/>
      <c r="FMN307" s="21"/>
      <c r="FMO307" s="21"/>
      <c r="FMP307" s="21"/>
      <c r="FMQ307" s="21"/>
      <c r="FMR307" s="21"/>
      <c r="FMS307" s="21"/>
      <c r="FMT307" s="21"/>
      <c r="FMU307" s="21"/>
      <c r="FMV307" s="21"/>
      <c r="FMW307" s="21"/>
      <c r="FMX307" s="21"/>
      <c r="FMY307" s="21"/>
      <c r="FMZ307" s="21"/>
      <c r="FNA307" s="21"/>
      <c r="FNB307" s="21"/>
      <c r="FNC307" s="21"/>
      <c r="FND307" s="21"/>
      <c r="FNE307" s="21"/>
      <c r="FNF307" s="21"/>
      <c r="FNG307" s="21"/>
      <c r="FNH307" s="21"/>
      <c r="FNI307" s="21"/>
      <c r="FNJ307" s="21"/>
      <c r="FNK307" s="21"/>
      <c r="FNL307" s="21"/>
      <c r="FNM307" s="21"/>
      <c r="FNN307" s="21"/>
      <c r="FNO307" s="21"/>
      <c r="FNP307" s="21"/>
      <c r="FNQ307" s="21"/>
      <c r="FNR307" s="21"/>
      <c r="FNS307" s="21"/>
      <c r="FNT307" s="21"/>
      <c r="FNU307" s="21"/>
      <c r="FNV307" s="21"/>
      <c r="FNW307" s="21"/>
      <c r="FNX307" s="21"/>
      <c r="FNY307" s="21"/>
      <c r="FNZ307" s="21"/>
      <c r="FOA307" s="21"/>
      <c r="FOB307" s="21"/>
      <c r="FOC307" s="21"/>
      <c r="FOD307" s="21"/>
      <c r="FOE307" s="21"/>
      <c r="FOF307" s="21"/>
      <c r="FOG307" s="21"/>
      <c r="FOH307" s="21"/>
      <c r="FOI307" s="21"/>
      <c r="FOJ307" s="21"/>
      <c r="FOK307" s="21"/>
      <c r="FOL307" s="21"/>
      <c r="FOM307" s="21"/>
      <c r="FON307" s="21"/>
      <c r="FOO307" s="21"/>
      <c r="FOP307" s="21"/>
      <c r="FOQ307" s="21"/>
      <c r="FOR307" s="21"/>
      <c r="FOS307" s="21"/>
      <c r="FOT307" s="21"/>
      <c r="FOU307" s="21"/>
      <c r="FOV307" s="21"/>
      <c r="FOW307" s="21"/>
      <c r="FOX307" s="21"/>
      <c r="FOY307" s="21"/>
      <c r="FOZ307" s="21"/>
      <c r="FPA307" s="21"/>
      <c r="FPB307" s="21"/>
      <c r="FPC307" s="21"/>
      <c r="FPD307" s="21"/>
      <c r="FPE307" s="21"/>
      <c r="FPF307" s="21"/>
      <c r="FPG307" s="21"/>
      <c r="FPH307" s="21"/>
      <c r="FPI307" s="21"/>
      <c r="FPJ307" s="21"/>
      <c r="FPK307" s="21"/>
      <c r="FPL307" s="21"/>
      <c r="FPM307" s="21"/>
      <c r="FPN307" s="21"/>
      <c r="FPO307" s="21"/>
      <c r="FPP307" s="21"/>
      <c r="FPQ307" s="21"/>
      <c r="FPR307" s="21"/>
      <c r="FPS307" s="21"/>
      <c r="FPT307" s="21"/>
      <c r="FPU307" s="21"/>
      <c r="FPV307" s="21"/>
      <c r="FPW307" s="21"/>
      <c r="FPX307" s="21"/>
      <c r="FPY307" s="21"/>
      <c r="FPZ307" s="21"/>
      <c r="FQA307" s="21"/>
      <c r="FQB307" s="21"/>
      <c r="FQC307" s="21"/>
      <c r="FQD307" s="21"/>
      <c r="FQE307" s="21"/>
      <c r="FQF307" s="21"/>
      <c r="FQG307" s="21"/>
      <c r="FQH307" s="21"/>
      <c r="FQI307" s="21"/>
      <c r="FQJ307" s="21"/>
      <c r="FQK307" s="21"/>
      <c r="FQL307" s="21"/>
      <c r="FQM307" s="21"/>
      <c r="FQN307" s="21"/>
      <c r="FQO307" s="21"/>
      <c r="FQP307" s="21"/>
      <c r="FQQ307" s="21"/>
      <c r="FQR307" s="21"/>
      <c r="FQS307" s="21"/>
      <c r="FQT307" s="21"/>
      <c r="FQU307" s="21"/>
      <c r="FQV307" s="21"/>
      <c r="FQW307" s="21"/>
      <c r="FQX307" s="21"/>
      <c r="FQY307" s="21"/>
      <c r="FQZ307" s="21"/>
      <c r="FRA307" s="21"/>
      <c r="FRB307" s="21"/>
      <c r="FRC307" s="21"/>
      <c r="FRD307" s="21"/>
      <c r="FRE307" s="21"/>
      <c r="FRF307" s="21"/>
      <c r="FRG307" s="21"/>
      <c r="FRH307" s="21"/>
      <c r="FRI307" s="21"/>
      <c r="FRJ307" s="21"/>
      <c r="FRK307" s="21"/>
      <c r="FRL307" s="21"/>
      <c r="FRM307" s="21"/>
      <c r="FRN307" s="21"/>
      <c r="FRO307" s="21"/>
      <c r="FRP307" s="21"/>
      <c r="FRQ307" s="21"/>
      <c r="FRR307" s="21"/>
      <c r="FRS307" s="21"/>
      <c r="FRT307" s="21"/>
      <c r="FRU307" s="21"/>
      <c r="FRV307" s="21"/>
      <c r="FRW307" s="21"/>
      <c r="FRX307" s="21"/>
      <c r="FRY307" s="21"/>
      <c r="FRZ307" s="21"/>
      <c r="FSA307" s="21"/>
      <c r="FSB307" s="21"/>
      <c r="FSC307" s="21"/>
      <c r="FSD307" s="21"/>
      <c r="FSE307" s="21"/>
      <c r="FSF307" s="21"/>
      <c r="FSG307" s="21"/>
      <c r="FSH307" s="21"/>
      <c r="FSI307" s="21"/>
      <c r="FSJ307" s="21"/>
      <c r="FSK307" s="21"/>
      <c r="FSL307" s="21"/>
      <c r="FSM307" s="21"/>
      <c r="FSN307" s="21"/>
      <c r="FSO307" s="21"/>
      <c r="FSP307" s="21"/>
      <c r="FSQ307" s="21"/>
      <c r="FSR307" s="21"/>
      <c r="FSS307" s="21"/>
      <c r="FST307" s="21"/>
      <c r="FSU307" s="21"/>
      <c r="FSV307" s="21"/>
      <c r="FSW307" s="21"/>
      <c r="FSX307" s="21"/>
      <c r="FSY307" s="21"/>
      <c r="FSZ307" s="21"/>
      <c r="FTA307" s="21"/>
      <c r="FTB307" s="21"/>
      <c r="FTC307" s="21"/>
      <c r="FTD307" s="21"/>
      <c r="FTE307" s="21"/>
      <c r="FTF307" s="21"/>
      <c r="FTG307" s="21"/>
      <c r="FTH307" s="21"/>
      <c r="FTI307" s="21"/>
      <c r="FTJ307" s="21"/>
      <c r="FTK307" s="21"/>
      <c r="FTL307" s="21"/>
      <c r="FTM307" s="21"/>
      <c r="FTN307" s="21"/>
      <c r="FTO307" s="21"/>
      <c r="FTP307" s="21"/>
      <c r="FTQ307" s="21"/>
      <c r="FTR307" s="21"/>
      <c r="FTS307" s="21"/>
      <c r="FTT307" s="21"/>
      <c r="FTU307" s="21"/>
      <c r="FTV307" s="21"/>
      <c r="FTW307" s="21"/>
      <c r="FTX307" s="21"/>
      <c r="FTY307" s="21"/>
      <c r="FTZ307" s="21"/>
      <c r="FUA307" s="21"/>
      <c r="FUB307" s="21"/>
      <c r="FUC307" s="21"/>
      <c r="FUD307" s="21"/>
      <c r="FUE307" s="21"/>
      <c r="FUF307" s="21"/>
      <c r="FUG307" s="21"/>
      <c r="FUH307" s="21"/>
      <c r="FUI307" s="21"/>
      <c r="FUJ307" s="21"/>
      <c r="FUK307" s="21"/>
      <c r="FUL307" s="21"/>
      <c r="FUM307" s="21"/>
      <c r="FUN307" s="21"/>
      <c r="FUO307" s="21"/>
      <c r="FUP307" s="21"/>
      <c r="FUQ307" s="21"/>
      <c r="FUR307" s="21"/>
      <c r="FUS307" s="21"/>
      <c r="FUT307" s="21"/>
      <c r="FUU307" s="21"/>
      <c r="FUV307" s="21"/>
      <c r="FUW307" s="21"/>
      <c r="FUX307" s="21"/>
      <c r="FUY307" s="21"/>
      <c r="FUZ307" s="21"/>
      <c r="FVA307" s="21"/>
      <c r="FVB307" s="21"/>
      <c r="FVC307" s="21"/>
      <c r="FVD307" s="21"/>
      <c r="FVE307" s="21"/>
      <c r="FVF307" s="21"/>
      <c r="FVG307" s="21"/>
      <c r="FVH307" s="21"/>
      <c r="FVI307" s="21"/>
      <c r="FVJ307" s="21"/>
      <c r="FVK307" s="21"/>
      <c r="FVL307" s="21"/>
      <c r="FVM307" s="21"/>
      <c r="FVN307" s="21"/>
      <c r="FVO307" s="21"/>
      <c r="FVP307" s="21"/>
      <c r="FVQ307" s="21"/>
      <c r="FVR307" s="21"/>
      <c r="FVS307" s="21"/>
      <c r="FVT307" s="21"/>
      <c r="FVU307" s="21"/>
      <c r="FVV307" s="21"/>
      <c r="FVW307" s="21"/>
      <c r="FVX307" s="21"/>
      <c r="FVY307" s="21"/>
      <c r="FVZ307" s="21"/>
      <c r="FWA307" s="21"/>
      <c r="FWB307" s="21"/>
      <c r="FWC307" s="21"/>
      <c r="FWD307" s="21"/>
      <c r="FWE307" s="21"/>
      <c r="FWF307" s="21"/>
      <c r="FWG307" s="21"/>
      <c r="FWH307" s="21"/>
      <c r="FWI307" s="21"/>
      <c r="FWJ307" s="21"/>
      <c r="FWK307" s="21"/>
      <c r="FWL307" s="21"/>
      <c r="FWM307" s="21"/>
      <c r="FWN307" s="21"/>
      <c r="FWO307" s="21"/>
      <c r="FWP307" s="21"/>
      <c r="FWQ307" s="21"/>
      <c r="FWR307" s="21"/>
      <c r="FWS307" s="21"/>
      <c r="FWT307" s="21"/>
      <c r="FWU307" s="21"/>
      <c r="FWV307" s="21"/>
      <c r="FWW307" s="21"/>
      <c r="FWX307" s="21"/>
      <c r="FWY307" s="21"/>
      <c r="FWZ307" s="21"/>
      <c r="FXA307" s="21"/>
      <c r="FXB307" s="21"/>
      <c r="FXC307" s="21"/>
      <c r="FXD307" s="21"/>
      <c r="FXE307" s="21"/>
      <c r="FXF307" s="21"/>
      <c r="FXG307" s="21"/>
      <c r="FXH307" s="21"/>
      <c r="FXI307" s="21"/>
      <c r="FXJ307" s="21"/>
      <c r="FXK307" s="21"/>
      <c r="FXL307" s="21"/>
      <c r="FXM307" s="21"/>
      <c r="FXN307" s="21"/>
      <c r="FXO307" s="21"/>
      <c r="FXP307" s="21"/>
      <c r="FXQ307" s="21"/>
      <c r="FXR307" s="21"/>
      <c r="FXS307" s="21"/>
      <c r="FXT307" s="21"/>
      <c r="FXU307" s="21"/>
      <c r="FXV307" s="21"/>
      <c r="FXW307" s="21"/>
      <c r="FXX307" s="21"/>
      <c r="FXY307" s="21"/>
      <c r="FXZ307" s="21"/>
      <c r="FYA307" s="21"/>
      <c r="FYB307" s="21"/>
      <c r="FYC307" s="21"/>
      <c r="FYD307" s="21"/>
      <c r="FYE307" s="21"/>
      <c r="FYF307" s="21"/>
      <c r="FYG307" s="21"/>
      <c r="FYH307" s="21"/>
      <c r="FYI307" s="21"/>
      <c r="FYJ307" s="21"/>
      <c r="FYK307" s="21"/>
      <c r="FYL307" s="21"/>
      <c r="FYM307" s="21"/>
      <c r="FYN307" s="21"/>
      <c r="FYO307" s="21"/>
      <c r="FYP307" s="21"/>
      <c r="FYQ307" s="21"/>
      <c r="FYR307" s="21"/>
      <c r="FYS307" s="21"/>
      <c r="FYT307" s="21"/>
      <c r="FYU307" s="21"/>
      <c r="FYV307" s="21"/>
      <c r="FYW307" s="21"/>
      <c r="FYX307" s="21"/>
      <c r="FYY307" s="21"/>
      <c r="FYZ307" s="21"/>
      <c r="FZA307" s="21"/>
      <c r="FZB307" s="21"/>
      <c r="FZC307" s="21"/>
      <c r="FZD307" s="21"/>
      <c r="FZE307" s="21"/>
      <c r="FZF307" s="21"/>
      <c r="FZG307" s="21"/>
      <c r="FZH307" s="21"/>
      <c r="FZI307" s="21"/>
      <c r="FZJ307" s="21"/>
      <c r="FZK307" s="21"/>
      <c r="FZL307" s="21"/>
      <c r="FZM307" s="21"/>
      <c r="FZN307" s="21"/>
      <c r="FZO307" s="21"/>
      <c r="FZP307" s="21"/>
      <c r="FZQ307" s="21"/>
      <c r="FZR307" s="21"/>
      <c r="FZS307" s="21"/>
      <c r="FZT307" s="21"/>
      <c r="FZU307" s="21"/>
      <c r="FZV307" s="21"/>
      <c r="FZW307" s="21"/>
      <c r="FZX307" s="21"/>
      <c r="FZY307" s="21"/>
      <c r="FZZ307" s="21"/>
      <c r="GAA307" s="21"/>
      <c r="GAB307" s="21"/>
      <c r="GAC307" s="21"/>
      <c r="GAD307" s="21"/>
      <c r="GAE307" s="21"/>
      <c r="GAF307" s="21"/>
      <c r="GAG307" s="21"/>
      <c r="GAH307" s="21"/>
      <c r="GAI307" s="21"/>
      <c r="GAJ307" s="21"/>
      <c r="GAK307" s="21"/>
      <c r="GAL307" s="21"/>
      <c r="GAM307" s="21"/>
      <c r="GAN307" s="21"/>
      <c r="GAO307" s="21"/>
      <c r="GAP307" s="21"/>
      <c r="GAQ307" s="21"/>
      <c r="GAR307" s="21"/>
      <c r="GAS307" s="21"/>
      <c r="GAT307" s="21"/>
      <c r="GAU307" s="21"/>
      <c r="GAV307" s="21"/>
      <c r="GAW307" s="21"/>
      <c r="GAX307" s="21"/>
      <c r="GAY307" s="21"/>
      <c r="GAZ307" s="21"/>
      <c r="GBA307" s="21"/>
      <c r="GBB307" s="21"/>
      <c r="GBC307" s="21"/>
      <c r="GBD307" s="21"/>
      <c r="GBE307" s="21"/>
      <c r="GBF307" s="21"/>
      <c r="GBG307" s="21"/>
      <c r="GBH307" s="21"/>
      <c r="GBI307" s="21"/>
      <c r="GBJ307" s="21"/>
      <c r="GBK307" s="21"/>
      <c r="GBL307" s="21"/>
      <c r="GBM307" s="21"/>
      <c r="GBN307" s="21"/>
      <c r="GBO307" s="21"/>
      <c r="GBP307" s="21"/>
      <c r="GBQ307" s="21"/>
      <c r="GBR307" s="21"/>
      <c r="GBS307" s="21"/>
      <c r="GBT307" s="21"/>
      <c r="GBU307" s="21"/>
      <c r="GBV307" s="21"/>
      <c r="GBW307" s="21"/>
      <c r="GBX307" s="21"/>
      <c r="GBY307" s="21"/>
      <c r="GBZ307" s="21"/>
      <c r="GCA307" s="21"/>
      <c r="GCB307" s="21"/>
      <c r="GCC307" s="21"/>
      <c r="GCD307" s="21"/>
      <c r="GCE307" s="21"/>
      <c r="GCF307" s="21"/>
      <c r="GCG307" s="21"/>
      <c r="GCH307" s="21"/>
      <c r="GCI307" s="21"/>
      <c r="GCJ307" s="21"/>
      <c r="GCK307" s="21"/>
      <c r="GCL307" s="21"/>
      <c r="GCM307" s="21"/>
      <c r="GCN307" s="21"/>
      <c r="GCO307" s="21"/>
      <c r="GCP307" s="21"/>
      <c r="GCQ307" s="21"/>
      <c r="GCR307" s="21"/>
      <c r="GCS307" s="21"/>
      <c r="GCT307" s="21"/>
      <c r="GCU307" s="21"/>
      <c r="GCV307" s="21"/>
      <c r="GCW307" s="21"/>
      <c r="GCX307" s="21"/>
      <c r="GCY307" s="21"/>
      <c r="GCZ307" s="21"/>
      <c r="GDA307" s="21"/>
      <c r="GDB307" s="21"/>
      <c r="GDC307" s="21"/>
      <c r="GDD307" s="21"/>
      <c r="GDE307" s="21"/>
      <c r="GDF307" s="21"/>
      <c r="GDG307" s="21"/>
      <c r="GDH307" s="21"/>
      <c r="GDI307" s="21"/>
      <c r="GDJ307" s="21"/>
      <c r="GDK307" s="21"/>
      <c r="GDL307" s="21"/>
      <c r="GDM307" s="21"/>
      <c r="GDN307" s="21"/>
      <c r="GDO307" s="21"/>
      <c r="GDP307" s="21"/>
      <c r="GDQ307" s="21"/>
      <c r="GDR307" s="21"/>
      <c r="GDS307" s="21"/>
      <c r="GDT307" s="21"/>
      <c r="GDU307" s="21"/>
      <c r="GDV307" s="21"/>
      <c r="GDW307" s="21"/>
      <c r="GDX307" s="21"/>
      <c r="GDY307" s="21"/>
      <c r="GDZ307" s="21"/>
      <c r="GEA307" s="21"/>
      <c r="GEB307" s="21"/>
      <c r="GEC307" s="21"/>
      <c r="GED307" s="21"/>
      <c r="GEE307" s="21"/>
      <c r="GEF307" s="21"/>
      <c r="GEG307" s="21"/>
      <c r="GEH307" s="21"/>
      <c r="GEI307" s="21"/>
      <c r="GEJ307" s="21"/>
      <c r="GEK307" s="21"/>
      <c r="GEL307" s="21"/>
      <c r="GEM307" s="21"/>
      <c r="GEN307" s="21"/>
      <c r="GEO307" s="21"/>
      <c r="GEP307" s="21"/>
      <c r="GEQ307" s="21"/>
      <c r="GER307" s="21"/>
      <c r="GES307" s="21"/>
      <c r="GET307" s="21"/>
      <c r="GEU307" s="21"/>
      <c r="GEV307" s="21"/>
      <c r="GEW307" s="21"/>
      <c r="GEX307" s="21"/>
      <c r="GEY307" s="21"/>
      <c r="GEZ307" s="21"/>
      <c r="GFA307" s="21"/>
      <c r="GFB307" s="21"/>
      <c r="GFC307" s="21"/>
      <c r="GFD307" s="21"/>
      <c r="GFE307" s="21"/>
      <c r="GFF307" s="21"/>
      <c r="GFG307" s="21"/>
      <c r="GFH307" s="21"/>
      <c r="GFI307" s="21"/>
      <c r="GFJ307" s="21"/>
      <c r="GFK307" s="21"/>
      <c r="GFL307" s="21"/>
      <c r="GFM307" s="21"/>
      <c r="GFN307" s="21"/>
      <c r="GFO307" s="21"/>
      <c r="GFP307" s="21"/>
      <c r="GFQ307" s="21"/>
      <c r="GFR307" s="21"/>
      <c r="GFS307" s="21"/>
      <c r="GFT307" s="21"/>
      <c r="GFU307" s="21"/>
      <c r="GFV307" s="21"/>
      <c r="GFW307" s="21"/>
      <c r="GFX307" s="21"/>
      <c r="GFY307" s="21"/>
      <c r="GFZ307" s="21"/>
      <c r="GGA307" s="21"/>
      <c r="GGB307" s="21"/>
      <c r="GGC307" s="21"/>
      <c r="GGD307" s="21"/>
      <c r="GGE307" s="21"/>
      <c r="GGF307" s="21"/>
      <c r="GGG307" s="21"/>
      <c r="GGH307" s="21"/>
      <c r="GGI307" s="21"/>
      <c r="GGJ307" s="21"/>
      <c r="GGK307" s="21"/>
      <c r="GGL307" s="21"/>
      <c r="GGM307" s="21"/>
      <c r="GGN307" s="21"/>
      <c r="GGO307" s="21"/>
      <c r="GGP307" s="21"/>
      <c r="GGQ307" s="21"/>
      <c r="GGR307" s="21"/>
      <c r="GGS307" s="21"/>
      <c r="GGT307" s="21"/>
      <c r="GGU307" s="21"/>
      <c r="GGV307" s="21"/>
      <c r="GGW307" s="21"/>
      <c r="GGX307" s="21"/>
      <c r="GGY307" s="21"/>
      <c r="GGZ307" s="21"/>
      <c r="GHA307" s="21"/>
      <c r="GHB307" s="21"/>
      <c r="GHC307" s="21"/>
      <c r="GHD307" s="21"/>
      <c r="GHE307" s="21"/>
      <c r="GHF307" s="21"/>
      <c r="GHG307" s="21"/>
      <c r="GHH307" s="21"/>
      <c r="GHI307" s="21"/>
      <c r="GHJ307" s="21"/>
      <c r="GHK307" s="21"/>
      <c r="GHL307" s="21"/>
      <c r="GHM307" s="21"/>
      <c r="GHN307" s="21"/>
      <c r="GHO307" s="21"/>
      <c r="GHP307" s="21"/>
      <c r="GHQ307" s="21"/>
      <c r="GHR307" s="21"/>
      <c r="GHS307" s="21"/>
      <c r="GHT307" s="21"/>
      <c r="GHU307" s="21"/>
      <c r="GHV307" s="21"/>
      <c r="GHW307" s="21"/>
      <c r="GHX307" s="21"/>
      <c r="GHY307" s="21"/>
      <c r="GHZ307" s="21"/>
      <c r="GIA307" s="21"/>
      <c r="GIB307" s="21"/>
      <c r="GIC307" s="21"/>
      <c r="GID307" s="21"/>
      <c r="GIE307" s="21"/>
      <c r="GIF307" s="21"/>
      <c r="GIG307" s="21"/>
      <c r="GIH307" s="21"/>
      <c r="GII307" s="21"/>
      <c r="GIJ307" s="21"/>
      <c r="GIK307" s="21"/>
      <c r="GIL307" s="21"/>
      <c r="GIM307" s="21"/>
      <c r="GIN307" s="21"/>
      <c r="GIO307" s="21"/>
      <c r="GIP307" s="21"/>
      <c r="GIQ307" s="21"/>
      <c r="GIR307" s="21"/>
      <c r="GIS307" s="21"/>
      <c r="GIT307" s="21"/>
      <c r="GIU307" s="21"/>
      <c r="GIV307" s="21"/>
      <c r="GIW307" s="21"/>
      <c r="GIX307" s="21"/>
      <c r="GIY307" s="21"/>
      <c r="GIZ307" s="21"/>
      <c r="GJA307" s="21"/>
      <c r="GJB307" s="21"/>
      <c r="GJC307" s="21"/>
      <c r="GJD307" s="21"/>
      <c r="GJE307" s="21"/>
      <c r="GJF307" s="21"/>
      <c r="GJG307" s="21"/>
      <c r="GJH307" s="21"/>
      <c r="GJI307" s="21"/>
      <c r="GJJ307" s="21"/>
      <c r="GJK307" s="21"/>
      <c r="GJL307" s="21"/>
      <c r="GJM307" s="21"/>
      <c r="GJN307" s="21"/>
      <c r="GJO307" s="21"/>
      <c r="GJP307" s="21"/>
      <c r="GJQ307" s="21"/>
      <c r="GJR307" s="21"/>
      <c r="GJS307" s="21"/>
      <c r="GJT307" s="21"/>
      <c r="GJU307" s="21"/>
      <c r="GJV307" s="21"/>
      <c r="GJW307" s="21"/>
      <c r="GJX307" s="21"/>
      <c r="GJY307" s="21"/>
      <c r="GJZ307" s="21"/>
      <c r="GKA307" s="21"/>
      <c r="GKB307" s="21"/>
      <c r="GKC307" s="21"/>
      <c r="GKD307" s="21"/>
      <c r="GKE307" s="21"/>
      <c r="GKF307" s="21"/>
      <c r="GKG307" s="21"/>
      <c r="GKH307" s="21"/>
      <c r="GKI307" s="21"/>
      <c r="GKJ307" s="21"/>
      <c r="GKK307" s="21"/>
      <c r="GKL307" s="21"/>
      <c r="GKM307" s="21"/>
      <c r="GKN307" s="21"/>
      <c r="GKO307" s="21"/>
      <c r="GKP307" s="21"/>
      <c r="GKQ307" s="21"/>
      <c r="GKR307" s="21"/>
      <c r="GKS307" s="21"/>
      <c r="GKT307" s="21"/>
      <c r="GKU307" s="21"/>
      <c r="GKV307" s="21"/>
      <c r="GKW307" s="21"/>
      <c r="GKX307" s="21"/>
      <c r="GKY307" s="21"/>
      <c r="GKZ307" s="21"/>
      <c r="GLA307" s="21"/>
      <c r="GLB307" s="21"/>
      <c r="GLC307" s="21"/>
      <c r="GLD307" s="21"/>
      <c r="GLE307" s="21"/>
      <c r="GLF307" s="21"/>
      <c r="GLG307" s="21"/>
      <c r="GLH307" s="21"/>
      <c r="GLI307" s="21"/>
      <c r="GLJ307" s="21"/>
      <c r="GLK307" s="21"/>
      <c r="GLL307" s="21"/>
      <c r="GLM307" s="21"/>
      <c r="GLN307" s="21"/>
      <c r="GLO307" s="21"/>
      <c r="GLP307" s="21"/>
      <c r="GLQ307" s="21"/>
      <c r="GLR307" s="21"/>
      <c r="GLS307" s="21"/>
      <c r="GLT307" s="21"/>
      <c r="GLU307" s="21"/>
      <c r="GLV307" s="21"/>
      <c r="GLW307" s="21"/>
      <c r="GLX307" s="21"/>
      <c r="GLY307" s="21"/>
      <c r="GLZ307" s="21"/>
      <c r="GMA307" s="21"/>
      <c r="GMB307" s="21"/>
      <c r="GMC307" s="21"/>
      <c r="GMD307" s="21"/>
      <c r="GME307" s="21"/>
      <c r="GMF307" s="21"/>
      <c r="GMG307" s="21"/>
      <c r="GMH307" s="21"/>
      <c r="GMI307" s="21"/>
      <c r="GMJ307" s="21"/>
      <c r="GMK307" s="21"/>
      <c r="GML307" s="21"/>
      <c r="GMM307" s="21"/>
      <c r="GMN307" s="21"/>
      <c r="GMO307" s="21"/>
      <c r="GMP307" s="21"/>
      <c r="GMQ307" s="21"/>
      <c r="GMR307" s="21"/>
      <c r="GMS307" s="21"/>
      <c r="GMT307" s="21"/>
      <c r="GMU307" s="21"/>
      <c r="GMV307" s="21"/>
      <c r="GMW307" s="21"/>
      <c r="GMX307" s="21"/>
      <c r="GMY307" s="21"/>
      <c r="GMZ307" s="21"/>
      <c r="GNA307" s="21"/>
      <c r="GNB307" s="21"/>
      <c r="GNC307" s="21"/>
      <c r="GND307" s="21"/>
      <c r="GNE307" s="21"/>
      <c r="GNF307" s="21"/>
      <c r="GNG307" s="21"/>
      <c r="GNH307" s="21"/>
      <c r="GNI307" s="21"/>
      <c r="GNJ307" s="21"/>
      <c r="GNK307" s="21"/>
      <c r="GNL307" s="21"/>
      <c r="GNM307" s="21"/>
      <c r="GNN307" s="21"/>
      <c r="GNO307" s="21"/>
      <c r="GNP307" s="21"/>
      <c r="GNQ307" s="21"/>
      <c r="GNR307" s="21"/>
      <c r="GNS307" s="21"/>
      <c r="GNT307" s="21"/>
      <c r="GNU307" s="21"/>
      <c r="GNV307" s="21"/>
      <c r="GNW307" s="21"/>
      <c r="GNX307" s="21"/>
      <c r="GNY307" s="21"/>
      <c r="GNZ307" s="21"/>
      <c r="GOA307" s="21"/>
      <c r="GOB307" s="21"/>
      <c r="GOC307" s="21"/>
      <c r="GOD307" s="21"/>
      <c r="GOE307" s="21"/>
      <c r="GOF307" s="21"/>
      <c r="GOG307" s="21"/>
      <c r="GOH307" s="21"/>
      <c r="GOI307" s="21"/>
      <c r="GOJ307" s="21"/>
      <c r="GOK307" s="21"/>
      <c r="GOL307" s="21"/>
      <c r="GOM307" s="21"/>
      <c r="GON307" s="21"/>
      <c r="GOO307" s="21"/>
      <c r="GOP307" s="21"/>
      <c r="GOQ307" s="21"/>
      <c r="GOR307" s="21"/>
      <c r="GOS307" s="21"/>
      <c r="GOT307" s="21"/>
      <c r="GOU307" s="21"/>
      <c r="GOV307" s="21"/>
      <c r="GOW307" s="21"/>
      <c r="GOX307" s="21"/>
      <c r="GOY307" s="21"/>
      <c r="GOZ307" s="21"/>
      <c r="GPA307" s="21"/>
      <c r="GPB307" s="21"/>
      <c r="GPC307" s="21"/>
      <c r="GPD307" s="21"/>
      <c r="GPE307" s="21"/>
      <c r="GPF307" s="21"/>
      <c r="GPG307" s="21"/>
      <c r="GPH307" s="21"/>
      <c r="GPI307" s="21"/>
      <c r="GPJ307" s="21"/>
      <c r="GPK307" s="21"/>
      <c r="GPL307" s="21"/>
      <c r="GPM307" s="21"/>
      <c r="GPN307" s="21"/>
      <c r="GPO307" s="21"/>
      <c r="GPP307" s="21"/>
      <c r="GPQ307" s="21"/>
      <c r="GPR307" s="21"/>
      <c r="GPS307" s="21"/>
      <c r="GPT307" s="21"/>
      <c r="GPU307" s="21"/>
      <c r="GPV307" s="21"/>
      <c r="GPW307" s="21"/>
      <c r="GPX307" s="21"/>
      <c r="GPY307" s="21"/>
      <c r="GPZ307" s="21"/>
      <c r="GQA307" s="21"/>
      <c r="GQB307" s="21"/>
      <c r="GQC307" s="21"/>
      <c r="GQD307" s="21"/>
      <c r="GQE307" s="21"/>
      <c r="GQF307" s="21"/>
      <c r="GQG307" s="21"/>
      <c r="GQH307" s="21"/>
      <c r="GQI307" s="21"/>
      <c r="GQJ307" s="21"/>
      <c r="GQK307" s="21"/>
      <c r="GQL307" s="21"/>
      <c r="GQM307" s="21"/>
      <c r="GQN307" s="21"/>
      <c r="GQO307" s="21"/>
      <c r="GQP307" s="21"/>
      <c r="GQQ307" s="21"/>
      <c r="GQR307" s="21"/>
      <c r="GQS307" s="21"/>
      <c r="GQT307" s="21"/>
      <c r="GQU307" s="21"/>
      <c r="GQV307" s="21"/>
      <c r="GQW307" s="21"/>
      <c r="GQX307" s="21"/>
      <c r="GQY307" s="21"/>
      <c r="GQZ307" s="21"/>
      <c r="GRA307" s="21"/>
      <c r="GRB307" s="21"/>
      <c r="GRC307" s="21"/>
      <c r="GRD307" s="21"/>
      <c r="GRE307" s="21"/>
      <c r="GRF307" s="21"/>
      <c r="GRG307" s="21"/>
      <c r="GRH307" s="21"/>
      <c r="GRI307" s="21"/>
      <c r="GRJ307" s="21"/>
      <c r="GRK307" s="21"/>
      <c r="GRL307" s="21"/>
      <c r="GRM307" s="21"/>
      <c r="GRN307" s="21"/>
      <c r="GRO307" s="21"/>
      <c r="GRP307" s="21"/>
      <c r="GRQ307" s="21"/>
      <c r="GRR307" s="21"/>
      <c r="GRS307" s="21"/>
      <c r="GRT307" s="21"/>
      <c r="GRU307" s="21"/>
      <c r="GRV307" s="21"/>
      <c r="GRW307" s="21"/>
      <c r="GRX307" s="21"/>
      <c r="GRY307" s="21"/>
      <c r="GRZ307" s="21"/>
      <c r="GSA307" s="21"/>
      <c r="GSB307" s="21"/>
      <c r="GSC307" s="21"/>
      <c r="GSD307" s="21"/>
      <c r="GSE307" s="21"/>
      <c r="GSF307" s="21"/>
      <c r="GSG307" s="21"/>
      <c r="GSH307" s="21"/>
      <c r="GSI307" s="21"/>
      <c r="GSJ307" s="21"/>
      <c r="GSK307" s="21"/>
      <c r="GSL307" s="21"/>
      <c r="GSM307" s="21"/>
      <c r="GSN307" s="21"/>
      <c r="GSO307" s="21"/>
      <c r="GSP307" s="21"/>
      <c r="GSQ307" s="21"/>
      <c r="GSR307" s="21"/>
      <c r="GSS307" s="21"/>
      <c r="GST307" s="21"/>
      <c r="GSU307" s="21"/>
      <c r="GSV307" s="21"/>
      <c r="GSW307" s="21"/>
      <c r="GSX307" s="21"/>
      <c r="GSY307" s="21"/>
      <c r="GSZ307" s="21"/>
      <c r="GTA307" s="21"/>
      <c r="GTB307" s="21"/>
      <c r="GTC307" s="21"/>
      <c r="GTD307" s="21"/>
      <c r="GTE307" s="21"/>
      <c r="GTF307" s="21"/>
      <c r="GTG307" s="21"/>
      <c r="GTH307" s="21"/>
      <c r="GTI307" s="21"/>
      <c r="GTJ307" s="21"/>
      <c r="GTK307" s="21"/>
      <c r="GTL307" s="21"/>
      <c r="GTM307" s="21"/>
      <c r="GTN307" s="21"/>
      <c r="GTO307" s="21"/>
      <c r="GTP307" s="21"/>
      <c r="GTQ307" s="21"/>
      <c r="GTR307" s="21"/>
      <c r="GTS307" s="21"/>
      <c r="GTT307" s="21"/>
      <c r="GTU307" s="21"/>
      <c r="GTV307" s="21"/>
      <c r="GTW307" s="21"/>
      <c r="GTX307" s="21"/>
      <c r="GTY307" s="21"/>
      <c r="GTZ307" s="21"/>
      <c r="GUA307" s="21"/>
      <c r="GUB307" s="21"/>
      <c r="GUC307" s="21"/>
      <c r="GUD307" s="21"/>
      <c r="GUE307" s="21"/>
      <c r="GUF307" s="21"/>
      <c r="GUG307" s="21"/>
      <c r="GUH307" s="21"/>
      <c r="GUI307" s="21"/>
      <c r="GUJ307" s="21"/>
      <c r="GUK307" s="21"/>
      <c r="GUL307" s="21"/>
      <c r="GUM307" s="21"/>
      <c r="GUN307" s="21"/>
      <c r="GUO307" s="21"/>
      <c r="GUP307" s="21"/>
      <c r="GUQ307" s="21"/>
      <c r="GUR307" s="21"/>
      <c r="GUS307" s="21"/>
      <c r="GUT307" s="21"/>
      <c r="GUU307" s="21"/>
      <c r="GUV307" s="21"/>
      <c r="GUW307" s="21"/>
      <c r="GUX307" s="21"/>
      <c r="GUY307" s="21"/>
      <c r="GUZ307" s="21"/>
      <c r="GVA307" s="21"/>
      <c r="GVB307" s="21"/>
      <c r="GVC307" s="21"/>
      <c r="GVD307" s="21"/>
      <c r="GVE307" s="21"/>
      <c r="GVF307" s="21"/>
      <c r="GVG307" s="21"/>
      <c r="GVH307" s="21"/>
      <c r="GVI307" s="21"/>
      <c r="GVJ307" s="21"/>
      <c r="GVK307" s="21"/>
      <c r="GVL307" s="21"/>
      <c r="GVM307" s="21"/>
      <c r="GVN307" s="21"/>
      <c r="GVO307" s="21"/>
      <c r="GVP307" s="21"/>
      <c r="GVQ307" s="21"/>
      <c r="GVR307" s="21"/>
      <c r="GVS307" s="21"/>
      <c r="GVT307" s="21"/>
      <c r="GVU307" s="21"/>
      <c r="GVV307" s="21"/>
      <c r="GVW307" s="21"/>
      <c r="GVX307" s="21"/>
      <c r="GVY307" s="21"/>
      <c r="GVZ307" s="21"/>
      <c r="GWA307" s="21"/>
      <c r="GWB307" s="21"/>
      <c r="GWC307" s="21"/>
      <c r="GWD307" s="21"/>
      <c r="GWE307" s="21"/>
      <c r="GWF307" s="21"/>
      <c r="GWG307" s="21"/>
      <c r="GWH307" s="21"/>
      <c r="GWI307" s="21"/>
      <c r="GWJ307" s="21"/>
      <c r="GWK307" s="21"/>
      <c r="GWL307" s="21"/>
      <c r="GWM307" s="21"/>
      <c r="GWN307" s="21"/>
      <c r="GWO307" s="21"/>
      <c r="GWP307" s="21"/>
      <c r="GWQ307" s="21"/>
      <c r="GWR307" s="21"/>
      <c r="GWS307" s="21"/>
      <c r="GWT307" s="21"/>
      <c r="GWU307" s="21"/>
      <c r="GWV307" s="21"/>
      <c r="GWW307" s="21"/>
      <c r="GWX307" s="21"/>
      <c r="GWY307" s="21"/>
      <c r="GWZ307" s="21"/>
      <c r="GXA307" s="21"/>
      <c r="GXB307" s="21"/>
      <c r="GXC307" s="21"/>
      <c r="GXD307" s="21"/>
      <c r="GXE307" s="21"/>
      <c r="GXF307" s="21"/>
      <c r="GXG307" s="21"/>
      <c r="GXH307" s="21"/>
      <c r="GXI307" s="21"/>
      <c r="GXJ307" s="21"/>
      <c r="GXK307" s="21"/>
      <c r="GXL307" s="21"/>
      <c r="GXM307" s="21"/>
      <c r="GXN307" s="21"/>
      <c r="GXO307" s="21"/>
      <c r="GXP307" s="21"/>
      <c r="GXQ307" s="21"/>
      <c r="GXR307" s="21"/>
      <c r="GXS307" s="21"/>
      <c r="GXT307" s="21"/>
      <c r="GXU307" s="21"/>
      <c r="GXV307" s="21"/>
      <c r="GXW307" s="21"/>
      <c r="GXX307" s="21"/>
      <c r="GXY307" s="21"/>
      <c r="GXZ307" s="21"/>
      <c r="GYA307" s="21"/>
      <c r="GYB307" s="21"/>
      <c r="GYC307" s="21"/>
      <c r="GYD307" s="21"/>
      <c r="GYE307" s="21"/>
      <c r="GYF307" s="21"/>
      <c r="GYG307" s="21"/>
      <c r="GYH307" s="21"/>
      <c r="GYI307" s="21"/>
      <c r="GYJ307" s="21"/>
      <c r="GYK307" s="21"/>
      <c r="GYL307" s="21"/>
      <c r="GYM307" s="21"/>
      <c r="GYN307" s="21"/>
      <c r="GYO307" s="21"/>
      <c r="GYP307" s="21"/>
      <c r="GYQ307" s="21"/>
      <c r="GYR307" s="21"/>
      <c r="GYS307" s="21"/>
      <c r="GYT307" s="21"/>
      <c r="GYU307" s="21"/>
      <c r="GYV307" s="21"/>
      <c r="GYW307" s="21"/>
      <c r="GYX307" s="21"/>
      <c r="GYY307" s="21"/>
      <c r="GYZ307" s="21"/>
      <c r="GZA307" s="21"/>
      <c r="GZB307" s="21"/>
      <c r="GZC307" s="21"/>
      <c r="GZD307" s="21"/>
      <c r="GZE307" s="21"/>
      <c r="GZF307" s="21"/>
      <c r="GZG307" s="21"/>
      <c r="GZH307" s="21"/>
      <c r="GZI307" s="21"/>
      <c r="GZJ307" s="21"/>
      <c r="GZK307" s="21"/>
      <c r="GZL307" s="21"/>
      <c r="GZM307" s="21"/>
      <c r="GZN307" s="21"/>
      <c r="GZO307" s="21"/>
      <c r="GZP307" s="21"/>
      <c r="GZQ307" s="21"/>
      <c r="GZR307" s="21"/>
      <c r="GZS307" s="21"/>
      <c r="GZT307" s="21"/>
      <c r="GZU307" s="21"/>
      <c r="GZV307" s="21"/>
      <c r="GZW307" s="21"/>
      <c r="GZX307" s="21"/>
      <c r="GZY307" s="21"/>
      <c r="GZZ307" s="21"/>
      <c r="HAA307" s="21"/>
      <c r="HAB307" s="21"/>
      <c r="HAC307" s="21"/>
      <c r="HAD307" s="21"/>
      <c r="HAE307" s="21"/>
      <c r="HAF307" s="21"/>
      <c r="HAG307" s="21"/>
      <c r="HAH307" s="21"/>
      <c r="HAI307" s="21"/>
      <c r="HAJ307" s="21"/>
      <c r="HAK307" s="21"/>
      <c r="HAL307" s="21"/>
      <c r="HAM307" s="21"/>
      <c r="HAN307" s="21"/>
      <c r="HAO307" s="21"/>
      <c r="HAP307" s="21"/>
      <c r="HAQ307" s="21"/>
      <c r="HAR307" s="21"/>
      <c r="HAS307" s="21"/>
      <c r="HAT307" s="21"/>
      <c r="HAU307" s="21"/>
      <c r="HAV307" s="21"/>
      <c r="HAW307" s="21"/>
      <c r="HAX307" s="21"/>
      <c r="HAY307" s="21"/>
      <c r="HAZ307" s="21"/>
      <c r="HBA307" s="21"/>
      <c r="HBB307" s="21"/>
      <c r="HBC307" s="21"/>
      <c r="HBD307" s="21"/>
      <c r="HBE307" s="21"/>
      <c r="HBF307" s="21"/>
      <c r="HBG307" s="21"/>
      <c r="HBH307" s="21"/>
      <c r="HBI307" s="21"/>
      <c r="HBJ307" s="21"/>
      <c r="HBK307" s="21"/>
      <c r="HBL307" s="21"/>
      <c r="HBM307" s="21"/>
      <c r="HBN307" s="21"/>
      <c r="HBO307" s="21"/>
      <c r="HBP307" s="21"/>
      <c r="HBQ307" s="21"/>
      <c r="HBR307" s="21"/>
      <c r="HBS307" s="21"/>
      <c r="HBT307" s="21"/>
      <c r="HBU307" s="21"/>
      <c r="HBV307" s="21"/>
      <c r="HBW307" s="21"/>
      <c r="HBX307" s="21"/>
      <c r="HBY307" s="21"/>
      <c r="HBZ307" s="21"/>
      <c r="HCA307" s="21"/>
      <c r="HCB307" s="21"/>
      <c r="HCC307" s="21"/>
      <c r="HCD307" s="21"/>
      <c r="HCE307" s="21"/>
      <c r="HCF307" s="21"/>
      <c r="HCG307" s="21"/>
      <c r="HCH307" s="21"/>
      <c r="HCI307" s="21"/>
      <c r="HCJ307" s="21"/>
      <c r="HCK307" s="21"/>
      <c r="HCL307" s="21"/>
      <c r="HCM307" s="21"/>
      <c r="HCN307" s="21"/>
      <c r="HCO307" s="21"/>
      <c r="HCP307" s="21"/>
      <c r="HCQ307" s="21"/>
      <c r="HCR307" s="21"/>
      <c r="HCS307" s="21"/>
      <c r="HCT307" s="21"/>
      <c r="HCU307" s="21"/>
      <c r="HCV307" s="21"/>
      <c r="HCW307" s="21"/>
      <c r="HCX307" s="21"/>
      <c r="HCY307" s="21"/>
      <c r="HCZ307" s="21"/>
      <c r="HDA307" s="21"/>
      <c r="HDB307" s="21"/>
      <c r="HDC307" s="21"/>
      <c r="HDD307" s="21"/>
      <c r="HDE307" s="21"/>
      <c r="HDF307" s="21"/>
      <c r="HDG307" s="21"/>
      <c r="HDH307" s="21"/>
      <c r="HDI307" s="21"/>
      <c r="HDJ307" s="21"/>
      <c r="HDK307" s="21"/>
      <c r="HDL307" s="21"/>
      <c r="HDM307" s="21"/>
      <c r="HDN307" s="21"/>
      <c r="HDO307" s="21"/>
      <c r="HDP307" s="21"/>
      <c r="HDQ307" s="21"/>
      <c r="HDR307" s="21"/>
      <c r="HDS307" s="21"/>
      <c r="HDT307" s="21"/>
      <c r="HDU307" s="21"/>
      <c r="HDV307" s="21"/>
      <c r="HDW307" s="21"/>
      <c r="HDX307" s="21"/>
      <c r="HDY307" s="21"/>
      <c r="HDZ307" s="21"/>
      <c r="HEA307" s="21"/>
      <c r="HEB307" s="21"/>
      <c r="HEC307" s="21"/>
      <c r="HED307" s="21"/>
      <c r="HEE307" s="21"/>
      <c r="HEF307" s="21"/>
      <c r="HEG307" s="21"/>
      <c r="HEH307" s="21"/>
      <c r="HEI307" s="21"/>
      <c r="HEJ307" s="21"/>
      <c r="HEK307" s="21"/>
      <c r="HEL307" s="21"/>
      <c r="HEM307" s="21"/>
      <c r="HEN307" s="21"/>
      <c r="HEO307" s="21"/>
      <c r="HEP307" s="21"/>
      <c r="HEQ307" s="21"/>
      <c r="HER307" s="21"/>
      <c r="HES307" s="21"/>
      <c r="HET307" s="21"/>
      <c r="HEU307" s="21"/>
      <c r="HEV307" s="21"/>
      <c r="HEW307" s="21"/>
      <c r="HEX307" s="21"/>
      <c r="HEY307" s="21"/>
      <c r="HEZ307" s="21"/>
      <c r="HFA307" s="21"/>
      <c r="HFB307" s="21"/>
      <c r="HFC307" s="21"/>
      <c r="HFD307" s="21"/>
      <c r="HFE307" s="21"/>
      <c r="HFF307" s="21"/>
      <c r="HFG307" s="21"/>
      <c r="HFH307" s="21"/>
      <c r="HFI307" s="21"/>
      <c r="HFJ307" s="21"/>
      <c r="HFK307" s="21"/>
      <c r="HFL307" s="21"/>
      <c r="HFM307" s="21"/>
      <c r="HFN307" s="21"/>
      <c r="HFO307" s="21"/>
      <c r="HFP307" s="21"/>
      <c r="HFQ307" s="21"/>
      <c r="HFR307" s="21"/>
      <c r="HFS307" s="21"/>
      <c r="HFT307" s="21"/>
      <c r="HFU307" s="21"/>
      <c r="HFV307" s="21"/>
      <c r="HFW307" s="21"/>
      <c r="HFX307" s="21"/>
      <c r="HFY307" s="21"/>
      <c r="HFZ307" s="21"/>
      <c r="HGA307" s="21"/>
      <c r="HGB307" s="21"/>
      <c r="HGC307" s="21"/>
      <c r="HGD307" s="21"/>
      <c r="HGE307" s="21"/>
      <c r="HGF307" s="21"/>
      <c r="HGG307" s="21"/>
      <c r="HGH307" s="21"/>
      <c r="HGI307" s="21"/>
      <c r="HGJ307" s="21"/>
      <c r="HGK307" s="21"/>
      <c r="HGL307" s="21"/>
      <c r="HGM307" s="21"/>
      <c r="HGN307" s="21"/>
      <c r="HGO307" s="21"/>
      <c r="HGP307" s="21"/>
      <c r="HGQ307" s="21"/>
      <c r="HGR307" s="21"/>
      <c r="HGS307" s="21"/>
      <c r="HGT307" s="21"/>
      <c r="HGU307" s="21"/>
      <c r="HGV307" s="21"/>
      <c r="HGW307" s="21"/>
      <c r="HGX307" s="21"/>
      <c r="HGY307" s="21"/>
      <c r="HGZ307" s="21"/>
      <c r="HHA307" s="21"/>
      <c r="HHB307" s="21"/>
      <c r="HHC307" s="21"/>
      <c r="HHD307" s="21"/>
      <c r="HHE307" s="21"/>
      <c r="HHF307" s="21"/>
      <c r="HHG307" s="21"/>
      <c r="HHH307" s="21"/>
      <c r="HHI307" s="21"/>
      <c r="HHJ307" s="21"/>
      <c r="HHK307" s="21"/>
      <c r="HHL307" s="21"/>
      <c r="HHM307" s="21"/>
      <c r="HHN307" s="21"/>
      <c r="HHO307" s="21"/>
      <c r="HHP307" s="21"/>
      <c r="HHQ307" s="21"/>
      <c r="HHR307" s="21"/>
      <c r="HHS307" s="21"/>
      <c r="HHT307" s="21"/>
      <c r="HHU307" s="21"/>
      <c r="HHV307" s="21"/>
      <c r="HHW307" s="21"/>
      <c r="HHX307" s="21"/>
      <c r="HHY307" s="21"/>
      <c r="HHZ307" s="21"/>
      <c r="HIA307" s="21"/>
      <c r="HIB307" s="21"/>
      <c r="HIC307" s="21"/>
      <c r="HID307" s="21"/>
      <c r="HIE307" s="21"/>
      <c r="HIF307" s="21"/>
      <c r="HIG307" s="21"/>
      <c r="HIH307" s="21"/>
      <c r="HII307" s="21"/>
      <c r="HIJ307" s="21"/>
      <c r="HIK307" s="21"/>
      <c r="HIL307" s="21"/>
      <c r="HIM307" s="21"/>
      <c r="HIN307" s="21"/>
      <c r="HIO307" s="21"/>
      <c r="HIP307" s="21"/>
      <c r="HIQ307" s="21"/>
      <c r="HIR307" s="21"/>
      <c r="HIS307" s="21"/>
      <c r="HIT307" s="21"/>
      <c r="HIU307" s="21"/>
      <c r="HIV307" s="21"/>
      <c r="HIW307" s="21"/>
      <c r="HIX307" s="21"/>
      <c r="HIY307" s="21"/>
      <c r="HIZ307" s="21"/>
      <c r="HJA307" s="21"/>
      <c r="HJB307" s="21"/>
      <c r="HJC307" s="21"/>
      <c r="HJD307" s="21"/>
      <c r="HJE307" s="21"/>
      <c r="HJF307" s="21"/>
      <c r="HJG307" s="21"/>
      <c r="HJH307" s="21"/>
      <c r="HJI307" s="21"/>
      <c r="HJJ307" s="21"/>
      <c r="HJK307" s="21"/>
      <c r="HJL307" s="21"/>
      <c r="HJM307" s="21"/>
      <c r="HJN307" s="21"/>
      <c r="HJO307" s="21"/>
      <c r="HJP307" s="21"/>
      <c r="HJQ307" s="21"/>
      <c r="HJR307" s="21"/>
      <c r="HJS307" s="21"/>
      <c r="HJT307" s="21"/>
      <c r="HJU307" s="21"/>
      <c r="HJV307" s="21"/>
      <c r="HJW307" s="21"/>
      <c r="HJX307" s="21"/>
      <c r="HJY307" s="21"/>
      <c r="HJZ307" s="21"/>
      <c r="HKA307" s="21"/>
      <c r="HKB307" s="21"/>
      <c r="HKC307" s="21"/>
      <c r="HKD307" s="21"/>
      <c r="HKE307" s="21"/>
      <c r="HKF307" s="21"/>
      <c r="HKG307" s="21"/>
      <c r="HKH307" s="21"/>
      <c r="HKI307" s="21"/>
      <c r="HKJ307" s="21"/>
      <c r="HKK307" s="21"/>
      <c r="HKL307" s="21"/>
      <c r="HKM307" s="21"/>
      <c r="HKN307" s="21"/>
      <c r="HKO307" s="21"/>
      <c r="HKP307" s="21"/>
      <c r="HKQ307" s="21"/>
      <c r="HKR307" s="21"/>
      <c r="HKS307" s="21"/>
      <c r="HKT307" s="21"/>
      <c r="HKU307" s="21"/>
      <c r="HKV307" s="21"/>
      <c r="HKW307" s="21"/>
      <c r="HKX307" s="21"/>
      <c r="HKY307" s="21"/>
      <c r="HKZ307" s="21"/>
      <c r="HLA307" s="21"/>
      <c r="HLB307" s="21"/>
      <c r="HLC307" s="21"/>
      <c r="HLD307" s="21"/>
      <c r="HLE307" s="21"/>
      <c r="HLF307" s="21"/>
      <c r="HLG307" s="21"/>
      <c r="HLH307" s="21"/>
      <c r="HLI307" s="21"/>
      <c r="HLJ307" s="21"/>
      <c r="HLK307" s="21"/>
      <c r="HLL307" s="21"/>
      <c r="HLM307" s="21"/>
      <c r="HLN307" s="21"/>
      <c r="HLO307" s="21"/>
      <c r="HLP307" s="21"/>
      <c r="HLQ307" s="21"/>
      <c r="HLR307" s="21"/>
      <c r="HLS307" s="21"/>
      <c r="HLT307" s="21"/>
      <c r="HLU307" s="21"/>
      <c r="HLV307" s="21"/>
      <c r="HLW307" s="21"/>
      <c r="HLX307" s="21"/>
      <c r="HLY307" s="21"/>
      <c r="HLZ307" s="21"/>
      <c r="HMA307" s="21"/>
      <c r="HMB307" s="21"/>
      <c r="HMC307" s="21"/>
      <c r="HMD307" s="21"/>
      <c r="HME307" s="21"/>
      <c r="HMF307" s="21"/>
      <c r="HMG307" s="21"/>
      <c r="HMH307" s="21"/>
      <c r="HMI307" s="21"/>
      <c r="HMJ307" s="21"/>
      <c r="HMK307" s="21"/>
      <c r="HML307" s="21"/>
      <c r="HMM307" s="21"/>
      <c r="HMN307" s="21"/>
      <c r="HMO307" s="21"/>
      <c r="HMP307" s="21"/>
      <c r="HMQ307" s="21"/>
      <c r="HMR307" s="21"/>
      <c r="HMS307" s="21"/>
      <c r="HMT307" s="21"/>
      <c r="HMU307" s="21"/>
      <c r="HMV307" s="21"/>
      <c r="HMW307" s="21"/>
      <c r="HMX307" s="21"/>
      <c r="HMY307" s="21"/>
      <c r="HMZ307" s="21"/>
      <c r="HNA307" s="21"/>
      <c r="HNB307" s="21"/>
      <c r="HNC307" s="21"/>
      <c r="HND307" s="21"/>
      <c r="HNE307" s="21"/>
      <c r="HNF307" s="21"/>
      <c r="HNG307" s="21"/>
      <c r="HNH307" s="21"/>
      <c r="HNI307" s="21"/>
      <c r="HNJ307" s="21"/>
      <c r="HNK307" s="21"/>
      <c r="HNL307" s="21"/>
      <c r="HNM307" s="21"/>
      <c r="HNN307" s="21"/>
      <c r="HNO307" s="21"/>
      <c r="HNP307" s="21"/>
      <c r="HNQ307" s="21"/>
      <c r="HNR307" s="21"/>
      <c r="HNS307" s="21"/>
      <c r="HNT307" s="21"/>
      <c r="HNU307" s="21"/>
      <c r="HNV307" s="21"/>
      <c r="HNW307" s="21"/>
      <c r="HNX307" s="21"/>
      <c r="HNY307" s="21"/>
      <c r="HNZ307" s="21"/>
      <c r="HOA307" s="21"/>
      <c r="HOB307" s="21"/>
      <c r="HOC307" s="21"/>
      <c r="HOD307" s="21"/>
      <c r="HOE307" s="21"/>
      <c r="HOF307" s="21"/>
      <c r="HOG307" s="21"/>
      <c r="HOH307" s="21"/>
      <c r="HOI307" s="21"/>
      <c r="HOJ307" s="21"/>
      <c r="HOK307" s="21"/>
      <c r="HOL307" s="21"/>
      <c r="HOM307" s="21"/>
      <c r="HON307" s="21"/>
      <c r="HOO307" s="21"/>
      <c r="HOP307" s="21"/>
      <c r="HOQ307" s="21"/>
      <c r="HOR307" s="21"/>
      <c r="HOS307" s="21"/>
      <c r="HOT307" s="21"/>
      <c r="HOU307" s="21"/>
      <c r="HOV307" s="21"/>
      <c r="HOW307" s="21"/>
      <c r="HOX307" s="21"/>
      <c r="HOY307" s="21"/>
      <c r="HOZ307" s="21"/>
      <c r="HPA307" s="21"/>
      <c r="HPB307" s="21"/>
      <c r="HPC307" s="21"/>
      <c r="HPD307" s="21"/>
      <c r="HPE307" s="21"/>
      <c r="HPF307" s="21"/>
      <c r="HPG307" s="21"/>
      <c r="HPH307" s="21"/>
      <c r="HPI307" s="21"/>
      <c r="HPJ307" s="21"/>
      <c r="HPK307" s="21"/>
      <c r="HPL307" s="21"/>
      <c r="HPM307" s="21"/>
      <c r="HPN307" s="21"/>
      <c r="HPO307" s="21"/>
      <c r="HPP307" s="21"/>
      <c r="HPQ307" s="21"/>
      <c r="HPR307" s="21"/>
      <c r="HPS307" s="21"/>
      <c r="HPT307" s="21"/>
      <c r="HPU307" s="21"/>
      <c r="HPV307" s="21"/>
      <c r="HPW307" s="21"/>
      <c r="HPX307" s="21"/>
      <c r="HPY307" s="21"/>
      <c r="HPZ307" s="21"/>
      <c r="HQA307" s="21"/>
      <c r="HQB307" s="21"/>
      <c r="HQC307" s="21"/>
      <c r="HQD307" s="21"/>
      <c r="HQE307" s="21"/>
      <c r="HQF307" s="21"/>
      <c r="HQG307" s="21"/>
      <c r="HQH307" s="21"/>
      <c r="HQI307" s="21"/>
      <c r="HQJ307" s="21"/>
      <c r="HQK307" s="21"/>
      <c r="HQL307" s="21"/>
      <c r="HQM307" s="21"/>
      <c r="HQN307" s="21"/>
      <c r="HQO307" s="21"/>
      <c r="HQP307" s="21"/>
      <c r="HQQ307" s="21"/>
      <c r="HQR307" s="21"/>
      <c r="HQS307" s="21"/>
      <c r="HQT307" s="21"/>
      <c r="HQU307" s="21"/>
      <c r="HQV307" s="21"/>
      <c r="HQW307" s="21"/>
      <c r="HQX307" s="21"/>
      <c r="HQY307" s="21"/>
      <c r="HQZ307" s="21"/>
      <c r="HRA307" s="21"/>
      <c r="HRB307" s="21"/>
      <c r="HRC307" s="21"/>
      <c r="HRD307" s="21"/>
      <c r="HRE307" s="21"/>
      <c r="HRF307" s="21"/>
      <c r="HRG307" s="21"/>
      <c r="HRH307" s="21"/>
      <c r="HRI307" s="21"/>
      <c r="HRJ307" s="21"/>
      <c r="HRK307" s="21"/>
      <c r="HRL307" s="21"/>
      <c r="HRM307" s="21"/>
      <c r="HRN307" s="21"/>
      <c r="HRO307" s="21"/>
      <c r="HRP307" s="21"/>
      <c r="HRQ307" s="21"/>
      <c r="HRR307" s="21"/>
      <c r="HRS307" s="21"/>
      <c r="HRT307" s="21"/>
      <c r="HRU307" s="21"/>
      <c r="HRV307" s="21"/>
      <c r="HRW307" s="21"/>
      <c r="HRX307" s="21"/>
      <c r="HRY307" s="21"/>
      <c r="HRZ307" s="21"/>
      <c r="HSA307" s="21"/>
      <c r="HSB307" s="21"/>
      <c r="HSC307" s="21"/>
      <c r="HSD307" s="21"/>
      <c r="HSE307" s="21"/>
      <c r="HSF307" s="21"/>
      <c r="HSG307" s="21"/>
      <c r="HSH307" s="21"/>
      <c r="HSI307" s="21"/>
      <c r="HSJ307" s="21"/>
      <c r="HSK307" s="21"/>
      <c r="HSL307" s="21"/>
      <c r="HSM307" s="21"/>
      <c r="HSN307" s="21"/>
      <c r="HSO307" s="21"/>
      <c r="HSP307" s="21"/>
      <c r="HSQ307" s="21"/>
      <c r="HSR307" s="21"/>
      <c r="HSS307" s="21"/>
      <c r="HST307" s="21"/>
      <c r="HSU307" s="21"/>
      <c r="HSV307" s="21"/>
      <c r="HSW307" s="21"/>
      <c r="HSX307" s="21"/>
      <c r="HSY307" s="21"/>
      <c r="HSZ307" s="21"/>
      <c r="HTA307" s="21"/>
      <c r="HTB307" s="21"/>
      <c r="HTC307" s="21"/>
      <c r="HTD307" s="21"/>
      <c r="HTE307" s="21"/>
      <c r="HTF307" s="21"/>
      <c r="HTG307" s="21"/>
      <c r="HTH307" s="21"/>
      <c r="HTI307" s="21"/>
      <c r="HTJ307" s="21"/>
      <c r="HTK307" s="21"/>
      <c r="HTL307" s="21"/>
      <c r="HTM307" s="21"/>
      <c r="HTN307" s="21"/>
      <c r="HTO307" s="21"/>
      <c r="HTP307" s="21"/>
      <c r="HTQ307" s="21"/>
      <c r="HTR307" s="21"/>
      <c r="HTS307" s="21"/>
      <c r="HTT307" s="21"/>
      <c r="HTU307" s="21"/>
      <c r="HTV307" s="21"/>
      <c r="HTW307" s="21"/>
      <c r="HTX307" s="21"/>
      <c r="HTY307" s="21"/>
      <c r="HTZ307" s="21"/>
      <c r="HUA307" s="21"/>
      <c r="HUB307" s="21"/>
      <c r="HUC307" s="21"/>
      <c r="HUD307" s="21"/>
      <c r="HUE307" s="21"/>
      <c r="HUF307" s="21"/>
      <c r="HUG307" s="21"/>
      <c r="HUH307" s="21"/>
      <c r="HUI307" s="21"/>
      <c r="HUJ307" s="21"/>
      <c r="HUK307" s="21"/>
      <c r="HUL307" s="21"/>
      <c r="HUM307" s="21"/>
      <c r="HUN307" s="21"/>
      <c r="HUO307" s="21"/>
      <c r="HUP307" s="21"/>
      <c r="HUQ307" s="21"/>
      <c r="HUR307" s="21"/>
      <c r="HUS307" s="21"/>
      <c r="HUT307" s="21"/>
      <c r="HUU307" s="21"/>
      <c r="HUV307" s="21"/>
      <c r="HUW307" s="21"/>
      <c r="HUX307" s="21"/>
      <c r="HUY307" s="21"/>
      <c r="HUZ307" s="21"/>
      <c r="HVA307" s="21"/>
      <c r="HVB307" s="21"/>
      <c r="HVC307" s="21"/>
      <c r="HVD307" s="21"/>
      <c r="HVE307" s="21"/>
      <c r="HVF307" s="21"/>
      <c r="HVG307" s="21"/>
      <c r="HVH307" s="21"/>
      <c r="HVI307" s="21"/>
      <c r="HVJ307" s="21"/>
      <c r="HVK307" s="21"/>
      <c r="HVL307" s="21"/>
      <c r="HVM307" s="21"/>
      <c r="HVN307" s="21"/>
      <c r="HVO307" s="21"/>
      <c r="HVP307" s="21"/>
      <c r="HVQ307" s="21"/>
      <c r="HVR307" s="21"/>
      <c r="HVS307" s="21"/>
      <c r="HVT307" s="21"/>
      <c r="HVU307" s="21"/>
      <c r="HVV307" s="21"/>
      <c r="HVW307" s="21"/>
      <c r="HVX307" s="21"/>
      <c r="HVY307" s="21"/>
      <c r="HVZ307" s="21"/>
      <c r="HWA307" s="21"/>
      <c r="HWB307" s="21"/>
      <c r="HWC307" s="21"/>
      <c r="HWD307" s="21"/>
      <c r="HWE307" s="21"/>
      <c r="HWF307" s="21"/>
      <c r="HWG307" s="21"/>
      <c r="HWH307" s="21"/>
      <c r="HWI307" s="21"/>
      <c r="HWJ307" s="21"/>
      <c r="HWK307" s="21"/>
      <c r="HWL307" s="21"/>
      <c r="HWM307" s="21"/>
      <c r="HWN307" s="21"/>
      <c r="HWO307" s="21"/>
      <c r="HWP307" s="21"/>
      <c r="HWQ307" s="21"/>
      <c r="HWR307" s="21"/>
      <c r="HWS307" s="21"/>
      <c r="HWT307" s="21"/>
      <c r="HWU307" s="21"/>
      <c r="HWV307" s="21"/>
      <c r="HWW307" s="21"/>
      <c r="HWX307" s="21"/>
      <c r="HWY307" s="21"/>
      <c r="HWZ307" s="21"/>
      <c r="HXA307" s="21"/>
      <c r="HXB307" s="21"/>
      <c r="HXC307" s="21"/>
      <c r="HXD307" s="21"/>
      <c r="HXE307" s="21"/>
      <c r="HXF307" s="21"/>
      <c r="HXG307" s="21"/>
      <c r="HXH307" s="21"/>
      <c r="HXI307" s="21"/>
      <c r="HXJ307" s="21"/>
      <c r="HXK307" s="21"/>
      <c r="HXL307" s="21"/>
      <c r="HXM307" s="21"/>
      <c r="HXN307" s="21"/>
      <c r="HXO307" s="21"/>
      <c r="HXP307" s="21"/>
      <c r="HXQ307" s="21"/>
      <c r="HXR307" s="21"/>
      <c r="HXS307" s="21"/>
      <c r="HXT307" s="21"/>
      <c r="HXU307" s="21"/>
      <c r="HXV307" s="21"/>
      <c r="HXW307" s="21"/>
      <c r="HXX307" s="21"/>
      <c r="HXY307" s="21"/>
      <c r="HXZ307" s="21"/>
      <c r="HYA307" s="21"/>
      <c r="HYB307" s="21"/>
      <c r="HYC307" s="21"/>
      <c r="HYD307" s="21"/>
      <c r="HYE307" s="21"/>
      <c r="HYF307" s="21"/>
      <c r="HYG307" s="21"/>
      <c r="HYH307" s="21"/>
      <c r="HYI307" s="21"/>
      <c r="HYJ307" s="21"/>
      <c r="HYK307" s="21"/>
      <c r="HYL307" s="21"/>
      <c r="HYM307" s="21"/>
      <c r="HYN307" s="21"/>
      <c r="HYO307" s="21"/>
      <c r="HYP307" s="21"/>
      <c r="HYQ307" s="21"/>
      <c r="HYR307" s="21"/>
      <c r="HYS307" s="21"/>
      <c r="HYT307" s="21"/>
      <c r="HYU307" s="21"/>
      <c r="HYV307" s="21"/>
      <c r="HYW307" s="21"/>
      <c r="HYX307" s="21"/>
      <c r="HYY307" s="21"/>
      <c r="HYZ307" s="21"/>
      <c r="HZA307" s="21"/>
      <c r="HZB307" s="21"/>
      <c r="HZC307" s="21"/>
      <c r="HZD307" s="21"/>
      <c r="HZE307" s="21"/>
      <c r="HZF307" s="21"/>
      <c r="HZG307" s="21"/>
      <c r="HZH307" s="21"/>
      <c r="HZI307" s="21"/>
      <c r="HZJ307" s="21"/>
      <c r="HZK307" s="21"/>
      <c r="HZL307" s="21"/>
      <c r="HZM307" s="21"/>
      <c r="HZN307" s="21"/>
      <c r="HZO307" s="21"/>
      <c r="HZP307" s="21"/>
      <c r="HZQ307" s="21"/>
      <c r="HZR307" s="21"/>
      <c r="HZS307" s="21"/>
      <c r="HZT307" s="21"/>
      <c r="HZU307" s="21"/>
      <c r="HZV307" s="21"/>
      <c r="HZW307" s="21"/>
      <c r="HZX307" s="21"/>
      <c r="HZY307" s="21"/>
      <c r="HZZ307" s="21"/>
      <c r="IAA307" s="21"/>
      <c r="IAB307" s="21"/>
      <c r="IAC307" s="21"/>
      <c r="IAD307" s="21"/>
      <c r="IAE307" s="21"/>
      <c r="IAF307" s="21"/>
      <c r="IAG307" s="21"/>
      <c r="IAH307" s="21"/>
      <c r="IAI307" s="21"/>
      <c r="IAJ307" s="21"/>
      <c r="IAK307" s="21"/>
      <c r="IAL307" s="21"/>
      <c r="IAM307" s="21"/>
      <c r="IAN307" s="21"/>
      <c r="IAO307" s="21"/>
      <c r="IAP307" s="21"/>
      <c r="IAQ307" s="21"/>
      <c r="IAR307" s="21"/>
      <c r="IAS307" s="21"/>
      <c r="IAT307" s="21"/>
      <c r="IAU307" s="21"/>
      <c r="IAV307" s="21"/>
      <c r="IAW307" s="21"/>
      <c r="IAX307" s="21"/>
      <c r="IAY307" s="21"/>
      <c r="IAZ307" s="21"/>
      <c r="IBA307" s="21"/>
      <c r="IBB307" s="21"/>
      <c r="IBC307" s="21"/>
      <c r="IBD307" s="21"/>
      <c r="IBE307" s="21"/>
      <c r="IBF307" s="21"/>
      <c r="IBG307" s="21"/>
      <c r="IBH307" s="21"/>
      <c r="IBI307" s="21"/>
      <c r="IBJ307" s="21"/>
      <c r="IBK307" s="21"/>
      <c r="IBL307" s="21"/>
      <c r="IBM307" s="21"/>
      <c r="IBN307" s="21"/>
      <c r="IBO307" s="21"/>
      <c r="IBP307" s="21"/>
      <c r="IBQ307" s="21"/>
      <c r="IBR307" s="21"/>
      <c r="IBS307" s="21"/>
      <c r="IBT307" s="21"/>
      <c r="IBU307" s="21"/>
      <c r="IBV307" s="21"/>
      <c r="IBW307" s="21"/>
      <c r="IBX307" s="21"/>
      <c r="IBY307" s="21"/>
      <c r="IBZ307" s="21"/>
      <c r="ICA307" s="21"/>
      <c r="ICB307" s="21"/>
      <c r="ICC307" s="21"/>
      <c r="ICD307" s="21"/>
      <c r="ICE307" s="21"/>
      <c r="ICF307" s="21"/>
      <c r="ICG307" s="21"/>
      <c r="ICH307" s="21"/>
      <c r="ICI307" s="21"/>
      <c r="ICJ307" s="21"/>
      <c r="ICK307" s="21"/>
      <c r="ICL307" s="21"/>
      <c r="ICM307" s="21"/>
      <c r="ICN307" s="21"/>
      <c r="ICO307" s="21"/>
      <c r="ICP307" s="21"/>
      <c r="ICQ307" s="21"/>
      <c r="ICR307" s="21"/>
      <c r="ICS307" s="21"/>
      <c r="ICT307" s="21"/>
      <c r="ICU307" s="21"/>
      <c r="ICV307" s="21"/>
      <c r="ICW307" s="21"/>
      <c r="ICX307" s="21"/>
      <c r="ICY307" s="21"/>
      <c r="ICZ307" s="21"/>
      <c r="IDA307" s="21"/>
      <c r="IDB307" s="21"/>
      <c r="IDC307" s="21"/>
      <c r="IDD307" s="21"/>
      <c r="IDE307" s="21"/>
      <c r="IDF307" s="21"/>
      <c r="IDG307" s="21"/>
      <c r="IDH307" s="21"/>
      <c r="IDI307" s="21"/>
      <c r="IDJ307" s="21"/>
      <c r="IDK307" s="21"/>
      <c r="IDL307" s="21"/>
      <c r="IDM307" s="21"/>
      <c r="IDN307" s="21"/>
      <c r="IDO307" s="21"/>
      <c r="IDP307" s="21"/>
      <c r="IDQ307" s="21"/>
      <c r="IDR307" s="21"/>
      <c r="IDS307" s="21"/>
      <c r="IDT307" s="21"/>
      <c r="IDU307" s="21"/>
      <c r="IDV307" s="21"/>
      <c r="IDW307" s="21"/>
      <c r="IDX307" s="21"/>
      <c r="IDY307" s="21"/>
      <c r="IDZ307" s="21"/>
      <c r="IEA307" s="21"/>
      <c r="IEB307" s="21"/>
      <c r="IEC307" s="21"/>
      <c r="IED307" s="21"/>
      <c r="IEE307" s="21"/>
      <c r="IEF307" s="21"/>
      <c r="IEG307" s="21"/>
      <c r="IEH307" s="21"/>
      <c r="IEI307" s="21"/>
      <c r="IEJ307" s="21"/>
      <c r="IEK307" s="21"/>
      <c r="IEL307" s="21"/>
      <c r="IEM307" s="21"/>
      <c r="IEN307" s="21"/>
      <c r="IEO307" s="21"/>
      <c r="IEP307" s="21"/>
      <c r="IEQ307" s="21"/>
      <c r="IER307" s="21"/>
      <c r="IES307" s="21"/>
      <c r="IET307" s="21"/>
      <c r="IEU307" s="21"/>
      <c r="IEV307" s="21"/>
      <c r="IEW307" s="21"/>
      <c r="IEX307" s="21"/>
      <c r="IEY307" s="21"/>
      <c r="IEZ307" s="21"/>
      <c r="IFA307" s="21"/>
      <c r="IFB307" s="21"/>
      <c r="IFC307" s="21"/>
      <c r="IFD307" s="21"/>
      <c r="IFE307" s="21"/>
      <c r="IFF307" s="21"/>
      <c r="IFG307" s="21"/>
      <c r="IFH307" s="21"/>
      <c r="IFI307" s="21"/>
      <c r="IFJ307" s="21"/>
      <c r="IFK307" s="21"/>
      <c r="IFL307" s="21"/>
      <c r="IFM307" s="21"/>
      <c r="IFN307" s="21"/>
      <c r="IFO307" s="21"/>
      <c r="IFP307" s="21"/>
      <c r="IFQ307" s="21"/>
      <c r="IFR307" s="21"/>
      <c r="IFS307" s="21"/>
      <c r="IFT307" s="21"/>
      <c r="IFU307" s="21"/>
      <c r="IFV307" s="21"/>
      <c r="IFW307" s="21"/>
      <c r="IFX307" s="21"/>
      <c r="IFY307" s="21"/>
      <c r="IFZ307" s="21"/>
      <c r="IGA307" s="21"/>
      <c r="IGB307" s="21"/>
      <c r="IGC307" s="21"/>
      <c r="IGD307" s="21"/>
      <c r="IGE307" s="21"/>
      <c r="IGF307" s="21"/>
      <c r="IGG307" s="21"/>
      <c r="IGH307" s="21"/>
      <c r="IGI307" s="21"/>
      <c r="IGJ307" s="21"/>
      <c r="IGK307" s="21"/>
      <c r="IGL307" s="21"/>
      <c r="IGM307" s="21"/>
      <c r="IGN307" s="21"/>
      <c r="IGO307" s="21"/>
      <c r="IGP307" s="21"/>
      <c r="IGQ307" s="21"/>
      <c r="IGR307" s="21"/>
      <c r="IGS307" s="21"/>
      <c r="IGT307" s="21"/>
      <c r="IGU307" s="21"/>
      <c r="IGV307" s="21"/>
      <c r="IGW307" s="21"/>
      <c r="IGX307" s="21"/>
      <c r="IGY307" s="21"/>
      <c r="IGZ307" s="21"/>
      <c r="IHA307" s="21"/>
      <c r="IHB307" s="21"/>
      <c r="IHC307" s="21"/>
      <c r="IHD307" s="21"/>
      <c r="IHE307" s="21"/>
      <c r="IHF307" s="21"/>
      <c r="IHG307" s="21"/>
      <c r="IHH307" s="21"/>
      <c r="IHI307" s="21"/>
      <c r="IHJ307" s="21"/>
      <c r="IHK307" s="21"/>
      <c r="IHL307" s="21"/>
      <c r="IHM307" s="21"/>
      <c r="IHN307" s="21"/>
      <c r="IHO307" s="21"/>
      <c r="IHP307" s="21"/>
      <c r="IHQ307" s="21"/>
      <c r="IHR307" s="21"/>
      <c r="IHS307" s="21"/>
      <c r="IHT307" s="21"/>
      <c r="IHU307" s="21"/>
      <c r="IHV307" s="21"/>
      <c r="IHW307" s="21"/>
      <c r="IHX307" s="21"/>
      <c r="IHY307" s="21"/>
      <c r="IHZ307" s="21"/>
      <c r="IIA307" s="21"/>
      <c r="IIB307" s="21"/>
      <c r="IIC307" s="21"/>
      <c r="IID307" s="21"/>
      <c r="IIE307" s="21"/>
      <c r="IIF307" s="21"/>
      <c r="IIG307" s="21"/>
      <c r="IIH307" s="21"/>
      <c r="III307" s="21"/>
      <c r="IIJ307" s="21"/>
      <c r="IIK307" s="21"/>
      <c r="IIL307" s="21"/>
      <c r="IIM307" s="21"/>
      <c r="IIN307" s="21"/>
      <c r="IIO307" s="21"/>
      <c r="IIP307" s="21"/>
      <c r="IIQ307" s="21"/>
      <c r="IIR307" s="21"/>
      <c r="IIS307" s="21"/>
      <c r="IIT307" s="21"/>
      <c r="IIU307" s="21"/>
      <c r="IIV307" s="21"/>
      <c r="IIW307" s="21"/>
      <c r="IIX307" s="21"/>
      <c r="IIY307" s="21"/>
      <c r="IIZ307" s="21"/>
      <c r="IJA307" s="21"/>
      <c r="IJB307" s="21"/>
      <c r="IJC307" s="21"/>
      <c r="IJD307" s="21"/>
      <c r="IJE307" s="21"/>
      <c r="IJF307" s="21"/>
      <c r="IJG307" s="21"/>
      <c r="IJH307" s="21"/>
      <c r="IJI307" s="21"/>
      <c r="IJJ307" s="21"/>
      <c r="IJK307" s="21"/>
      <c r="IJL307" s="21"/>
      <c r="IJM307" s="21"/>
      <c r="IJN307" s="21"/>
      <c r="IJO307" s="21"/>
      <c r="IJP307" s="21"/>
      <c r="IJQ307" s="21"/>
      <c r="IJR307" s="21"/>
      <c r="IJS307" s="21"/>
      <c r="IJT307" s="21"/>
      <c r="IJU307" s="21"/>
      <c r="IJV307" s="21"/>
      <c r="IJW307" s="21"/>
      <c r="IJX307" s="21"/>
      <c r="IJY307" s="21"/>
      <c r="IJZ307" s="21"/>
      <c r="IKA307" s="21"/>
      <c r="IKB307" s="21"/>
      <c r="IKC307" s="21"/>
      <c r="IKD307" s="21"/>
      <c r="IKE307" s="21"/>
      <c r="IKF307" s="21"/>
      <c r="IKG307" s="21"/>
      <c r="IKH307" s="21"/>
      <c r="IKI307" s="21"/>
      <c r="IKJ307" s="21"/>
      <c r="IKK307" s="21"/>
      <c r="IKL307" s="21"/>
      <c r="IKM307" s="21"/>
      <c r="IKN307" s="21"/>
      <c r="IKO307" s="21"/>
      <c r="IKP307" s="21"/>
      <c r="IKQ307" s="21"/>
      <c r="IKR307" s="21"/>
      <c r="IKS307" s="21"/>
      <c r="IKT307" s="21"/>
      <c r="IKU307" s="21"/>
      <c r="IKV307" s="21"/>
      <c r="IKW307" s="21"/>
      <c r="IKX307" s="21"/>
      <c r="IKY307" s="21"/>
      <c r="IKZ307" s="21"/>
      <c r="ILA307" s="21"/>
      <c r="ILB307" s="21"/>
      <c r="ILC307" s="21"/>
      <c r="ILD307" s="21"/>
      <c r="ILE307" s="21"/>
      <c r="ILF307" s="21"/>
      <c r="ILG307" s="21"/>
      <c r="ILH307" s="21"/>
      <c r="ILI307" s="21"/>
      <c r="ILJ307" s="21"/>
      <c r="ILK307" s="21"/>
      <c r="ILL307" s="21"/>
      <c r="ILM307" s="21"/>
      <c r="ILN307" s="21"/>
      <c r="ILO307" s="21"/>
      <c r="ILP307" s="21"/>
      <c r="ILQ307" s="21"/>
      <c r="ILR307" s="21"/>
      <c r="ILS307" s="21"/>
      <c r="ILT307" s="21"/>
      <c r="ILU307" s="21"/>
      <c r="ILV307" s="21"/>
      <c r="ILW307" s="21"/>
      <c r="ILX307" s="21"/>
      <c r="ILY307" s="21"/>
      <c r="ILZ307" s="21"/>
      <c r="IMA307" s="21"/>
      <c r="IMB307" s="21"/>
      <c r="IMC307" s="21"/>
      <c r="IMD307" s="21"/>
      <c r="IME307" s="21"/>
      <c r="IMF307" s="21"/>
      <c r="IMG307" s="21"/>
      <c r="IMH307" s="21"/>
      <c r="IMI307" s="21"/>
      <c r="IMJ307" s="21"/>
      <c r="IMK307" s="21"/>
      <c r="IML307" s="21"/>
      <c r="IMM307" s="21"/>
      <c r="IMN307" s="21"/>
      <c r="IMO307" s="21"/>
      <c r="IMP307" s="21"/>
      <c r="IMQ307" s="21"/>
      <c r="IMR307" s="21"/>
      <c r="IMS307" s="21"/>
      <c r="IMT307" s="21"/>
      <c r="IMU307" s="21"/>
      <c r="IMV307" s="21"/>
      <c r="IMW307" s="21"/>
      <c r="IMX307" s="21"/>
      <c r="IMY307" s="21"/>
      <c r="IMZ307" s="21"/>
      <c r="INA307" s="21"/>
      <c r="INB307" s="21"/>
      <c r="INC307" s="21"/>
      <c r="IND307" s="21"/>
      <c r="INE307" s="21"/>
      <c r="INF307" s="21"/>
      <c r="ING307" s="21"/>
      <c r="INH307" s="21"/>
      <c r="INI307" s="21"/>
      <c r="INJ307" s="21"/>
      <c r="INK307" s="21"/>
      <c r="INL307" s="21"/>
      <c r="INM307" s="21"/>
      <c r="INN307" s="21"/>
      <c r="INO307" s="21"/>
      <c r="INP307" s="21"/>
      <c r="INQ307" s="21"/>
      <c r="INR307" s="21"/>
      <c r="INS307" s="21"/>
      <c r="INT307" s="21"/>
      <c r="INU307" s="21"/>
      <c r="INV307" s="21"/>
      <c r="INW307" s="21"/>
      <c r="INX307" s="21"/>
      <c r="INY307" s="21"/>
      <c r="INZ307" s="21"/>
      <c r="IOA307" s="21"/>
      <c r="IOB307" s="21"/>
      <c r="IOC307" s="21"/>
      <c r="IOD307" s="21"/>
      <c r="IOE307" s="21"/>
      <c r="IOF307" s="21"/>
      <c r="IOG307" s="21"/>
      <c r="IOH307" s="21"/>
      <c r="IOI307" s="21"/>
      <c r="IOJ307" s="21"/>
      <c r="IOK307" s="21"/>
      <c r="IOL307" s="21"/>
      <c r="IOM307" s="21"/>
      <c r="ION307" s="21"/>
      <c r="IOO307" s="21"/>
      <c r="IOP307" s="21"/>
      <c r="IOQ307" s="21"/>
      <c r="IOR307" s="21"/>
      <c r="IOS307" s="21"/>
      <c r="IOT307" s="21"/>
      <c r="IOU307" s="21"/>
      <c r="IOV307" s="21"/>
      <c r="IOW307" s="21"/>
      <c r="IOX307" s="21"/>
      <c r="IOY307" s="21"/>
      <c r="IOZ307" s="21"/>
      <c r="IPA307" s="21"/>
      <c r="IPB307" s="21"/>
      <c r="IPC307" s="21"/>
      <c r="IPD307" s="21"/>
      <c r="IPE307" s="21"/>
      <c r="IPF307" s="21"/>
      <c r="IPG307" s="21"/>
      <c r="IPH307" s="21"/>
      <c r="IPI307" s="21"/>
      <c r="IPJ307" s="21"/>
      <c r="IPK307" s="21"/>
      <c r="IPL307" s="21"/>
      <c r="IPM307" s="21"/>
      <c r="IPN307" s="21"/>
      <c r="IPO307" s="21"/>
      <c r="IPP307" s="21"/>
      <c r="IPQ307" s="21"/>
      <c r="IPR307" s="21"/>
      <c r="IPS307" s="21"/>
      <c r="IPT307" s="21"/>
      <c r="IPU307" s="21"/>
      <c r="IPV307" s="21"/>
      <c r="IPW307" s="21"/>
      <c r="IPX307" s="21"/>
      <c r="IPY307" s="21"/>
      <c r="IPZ307" s="21"/>
      <c r="IQA307" s="21"/>
      <c r="IQB307" s="21"/>
      <c r="IQC307" s="21"/>
      <c r="IQD307" s="21"/>
      <c r="IQE307" s="21"/>
      <c r="IQF307" s="21"/>
      <c r="IQG307" s="21"/>
      <c r="IQH307" s="21"/>
      <c r="IQI307" s="21"/>
      <c r="IQJ307" s="21"/>
      <c r="IQK307" s="21"/>
      <c r="IQL307" s="21"/>
      <c r="IQM307" s="21"/>
      <c r="IQN307" s="21"/>
      <c r="IQO307" s="21"/>
      <c r="IQP307" s="21"/>
      <c r="IQQ307" s="21"/>
      <c r="IQR307" s="21"/>
      <c r="IQS307" s="21"/>
      <c r="IQT307" s="21"/>
      <c r="IQU307" s="21"/>
      <c r="IQV307" s="21"/>
      <c r="IQW307" s="21"/>
      <c r="IQX307" s="21"/>
      <c r="IQY307" s="21"/>
      <c r="IQZ307" s="21"/>
      <c r="IRA307" s="21"/>
      <c r="IRB307" s="21"/>
      <c r="IRC307" s="21"/>
      <c r="IRD307" s="21"/>
      <c r="IRE307" s="21"/>
      <c r="IRF307" s="21"/>
      <c r="IRG307" s="21"/>
      <c r="IRH307" s="21"/>
      <c r="IRI307" s="21"/>
      <c r="IRJ307" s="21"/>
      <c r="IRK307" s="21"/>
      <c r="IRL307" s="21"/>
      <c r="IRM307" s="21"/>
      <c r="IRN307" s="21"/>
      <c r="IRO307" s="21"/>
      <c r="IRP307" s="21"/>
      <c r="IRQ307" s="21"/>
      <c r="IRR307" s="21"/>
      <c r="IRS307" s="21"/>
      <c r="IRT307" s="21"/>
      <c r="IRU307" s="21"/>
      <c r="IRV307" s="21"/>
      <c r="IRW307" s="21"/>
      <c r="IRX307" s="21"/>
      <c r="IRY307" s="21"/>
      <c r="IRZ307" s="21"/>
      <c r="ISA307" s="21"/>
      <c r="ISB307" s="21"/>
      <c r="ISC307" s="21"/>
      <c r="ISD307" s="21"/>
      <c r="ISE307" s="21"/>
      <c r="ISF307" s="21"/>
      <c r="ISG307" s="21"/>
      <c r="ISH307" s="21"/>
      <c r="ISI307" s="21"/>
      <c r="ISJ307" s="21"/>
      <c r="ISK307" s="21"/>
      <c r="ISL307" s="21"/>
      <c r="ISM307" s="21"/>
      <c r="ISN307" s="21"/>
      <c r="ISO307" s="21"/>
      <c r="ISP307" s="21"/>
      <c r="ISQ307" s="21"/>
      <c r="ISR307" s="21"/>
      <c r="ISS307" s="21"/>
      <c r="IST307" s="21"/>
      <c r="ISU307" s="21"/>
      <c r="ISV307" s="21"/>
      <c r="ISW307" s="21"/>
      <c r="ISX307" s="21"/>
      <c r="ISY307" s="21"/>
      <c r="ISZ307" s="21"/>
      <c r="ITA307" s="21"/>
      <c r="ITB307" s="21"/>
      <c r="ITC307" s="21"/>
      <c r="ITD307" s="21"/>
      <c r="ITE307" s="21"/>
      <c r="ITF307" s="21"/>
      <c r="ITG307" s="21"/>
      <c r="ITH307" s="21"/>
      <c r="ITI307" s="21"/>
      <c r="ITJ307" s="21"/>
      <c r="ITK307" s="21"/>
      <c r="ITL307" s="21"/>
      <c r="ITM307" s="21"/>
      <c r="ITN307" s="21"/>
      <c r="ITO307" s="21"/>
      <c r="ITP307" s="21"/>
      <c r="ITQ307" s="21"/>
      <c r="ITR307" s="21"/>
      <c r="ITS307" s="21"/>
      <c r="ITT307" s="21"/>
      <c r="ITU307" s="21"/>
      <c r="ITV307" s="21"/>
      <c r="ITW307" s="21"/>
      <c r="ITX307" s="21"/>
      <c r="ITY307" s="21"/>
      <c r="ITZ307" s="21"/>
      <c r="IUA307" s="21"/>
      <c r="IUB307" s="21"/>
      <c r="IUC307" s="21"/>
      <c r="IUD307" s="21"/>
      <c r="IUE307" s="21"/>
      <c r="IUF307" s="21"/>
      <c r="IUG307" s="21"/>
      <c r="IUH307" s="21"/>
      <c r="IUI307" s="21"/>
      <c r="IUJ307" s="21"/>
      <c r="IUK307" s="21"/>
      <c r="IUL307" s="21"/>
      <c r="IUM307" s="21"/>
      <c r="IUN307" s="21"/>
      <c r="IUO307" s="21"/>
      <c r="IUP307" s="21"/>
      <c r="IUQ307" s="21"/>
      <c r="IUR307" s="21"/>
      <c r="IUS307" s="21"/>
      <c r="IUT307" s="21"/>
      <c r="IUU307" s="21"/>
      <c r="IUV307" s="21"/>
      <c r="IUW307" s="21"/>
      <c r="IUX307" s="21"/>
      <c r="IUY307" s="21"/>
      <c r="IUZ307" s="21"/>
      <c r="IVA307" s="21"/>
      <c r="IVB307" s="21"/>
      <c r="IVC307" s="21"/>
      <c r="IVD307" s="21"/>
      <c r="IVE307" s="21"/>
      <c r="IVF307" s="21"/>
      <c r="IVG307" s="21"/>
      <c r="IVH307" s="21"/>
      <c r="IVI307" s="21"/>
      <c r="IVJ307" s="21"/>
      <c r="IVK307" s="21"/>
      <c r="IVL307" s="21"/>
      <c r="IVM307" s="21"/>
      <c r="IVN307" s="21"/>
      <c r="IVO307" s="21"/>
      <c r="IVP307" s="21"/>
      <c r="IVQ307" s="21"/>
      <c r="IVR307" s="21"/>
      <c r="IVS307" s="21"/>
      <c r="IVT307" s="21"/>
      <c r="IVU307" s="21"/>
      <c r="IVV307" s="21"/>
      <c r="IVW307" s="21"/>
      <c r="IVX307" s="21"/>
      <c r="IVY307" s="21"/>
      <c r="IVZ307" s="21"/>
      <c r="IWA307" s="21"/>
      <c r="IWB307" s="21"/>
      <c r="IWC307" s="21"/>
      <c r="IWD307" s="21"/>
      <c r="IWE307" s="21"/>
      <c r="IWF307" s="21"/>
      <c r="IWG307" s="21"/>
      <c r="IWH307" s="21"/>
      <c r="IWI307" s="21"/>
      <c r="IWJ307" s="21"/>
      <c r="IWK307" s="21"/>
      <c r="IWL307" s="21"/>
      <c r="IWM307" s="21"/>
      <c r="IWN307" s="21"/>
      <c r="IWO307" s="21"/>
      <c r="IWP307" s="21"/>
      <c r="IWQ307" s="21"/>
      <c r="IWR307" s="21"/>
      <c r="IWS307" s="21"/>
      <c r="IWT307" s="21"/>
      <c r="IWU307" s="21"/>
      <c r="IWV307" s="21"/>
      <c r="IWW307" s="21"/>
      <c r="IWX307" s="21"/>
      <c r="IWY307" s="21"/>
      <c r="IWZ307" s="21"/>
      <c r="IXA307" s="21"/>
      <c r="IXB307" s="21"/>
      <c r="IXC307" s="21"/>
      <c r="IXD307" s="21"/>
      <c r="IXE307" s="21"/>
      <c r="IXF307" s="21"/>
      <c r="IXG307" s="21"/>
      <c r="IXH307" s="21"/>
      <c r="IXI307" s="21"/>
      <c r="IXJ307" s="21"/>
      <c r="IXK307" s="21"/>
      <c r="IXL307" s="21"/>
      <c r="IXM307" s="21"/>
      <c r="IXN307" s="21"/>
      <c r="IXO307" s="21"/>
      <c r="IXP307" s="21"/>
      <c r="IXQ307" s="21"/>
      <c r="IXR307" s="21"/>
      <c r="IXS307" s="21"/>
      <c r="IXT307" s="21"/>
      <c r="IXU307" s="21"/>
      <c r="IXV307" s="21"/>
      <c r="IXW307" s="21"/>
      <c r="IXX307" s="21"/>
      <c r="IXY307" s="21"/>
      <c r="IXZ307" s="21"/>
      <c r="IYA307" s="21"/>
      <c r="IYB307" s="21"/>
      <c r="IYC307" s="21"/>
      <c r="IYD307" s="21"/>
      <c r="IYE307" s="21"/>
      <c r="IYF307" s="21"/>
      <c r="IYG307" s="21"/>
      <c r="IYH307" s="21"/>
      <c r="IYI307" s="21"/>
      <c r="IYJ307" s="21"/>
      <c r="IYK307" s="21"/>
      <c r="IYL307" s="21"/>
      <c r="IYM307" s="21"/>
      <c r="IYN307" s="21"/>
      <c r="IYO307" s="21"/>
      <c r="IYP307" s="21"/>
      <c r="IYQ307" s="21"/>
      <c r="IYR307" s="21"/>
      <c r="IYS307" s="21"/>
      <c r="IYT307" s="21"/>
      <c r="IYU307" s="21"/>
      <c r="IYV307" s="21"/>
      <c r="IYW307" s="21"/>
      <c r="IYX307" s="21"/>
      <c r="IYY307" s="21"/>
      <c r="IYZ307" s="21"/>
      <c r="IZA307" s="21"/>
      <c r="IZB307" s="21"/>
      <c r="IZC307" s="21"/>
      <c r="IZD307" s="21"/>
      <c r="IZE307" s="21"/>
      <c r="IZF307" s="21"/>
      <c r="IZG307" s="21"/>
      <c r="IZH307" s="21"/>
      <c r="IZI307" s="21"/>
      <c r="IZJ307" s="21"/>
      <c r="IZK307" s="21"/>
      <c r="IZL307" s="21"/>
      <c r="IZM307" s="21"/>
      <c r="IZN307" s="21"/>
      <c r="IZO307" s="21"/>
      <c r="IZP307" s="21"/>
      <c r="IZQ307" s="21"/>
      <c r="IZR307" s="21"/>
      <c r="IZS307" s="21"/>
      <c r="IZT307" s="21"/>
      <c r="IZU307" s="21"/>
      <c r="IZV307" s="21"/>
      <c r="IZW307" s="21"/>
      <c r="IZX307" s="21"/>
      <c r="IZY307" s="21"/>
      <c r="IZZ307" s="21"/>
      <c r="JAA307" s="21"/>
      <c r="JAB307" s="21"/>
      <c r="JAC307" s="21"/>
      <c r="JAD307" s="21"/>
      <c r="JAE307" s="21"/>
      <c r="JAF307" s="21"/>
      <c r="JAG307" s="21"/>
      <c r="JAH307" s="21"/>
      <c r="JAI307" s="21"/>
      <c r="JAJ307" s="21"/>
      <c r="JAK307" s="21"/>
      <c r="JAL307" s="21"/>
      <c r="JAM307" s="21"/>
      <c r="JAN307" s="21"/>
      <c r="JAO307" s="21"/>
      <c r="JAP307" s="21"/>
      <c r="JAQ307" s="21"/>
      <c r="JAR307" s="21"/>
      <c r="JAS307" s="21"/>
      <c r="JAT307" s="21"/>
      <c r="JAU307" s="21"/>
      <c r="JAV307" s="21"/>
      <c r="JAW307" s="21"/>
      <c r="JAX307" s="21"/>
      <c r="JAY307" s="21"/>
      <c r="JAZ307" s="21"/>
      <c r="JBA307" s="21"/>
      <c r="JBB307" s="21"/>
      <c r="JBC307" s="21"/>
      <c r="JBD307" s="21"/>
      <c r="JBE307" s="21"/>
      <c r="JBF307" s="21"/>
      <c r="JBG307" s="21"/>
      <c r="JBH307" s="21"/>
      <c r="JBI307" s="21"/>
      <c r="JBJ307" s="21"/>
      <c r="JBK307" s="21"/>
      <c r="JBL307" s="21"/>
      <c r="JBM307" s="21"/>
      <c r="JBN307" s="21"/>
      <c r="JBO307" s="21"/>
      <c r="JBP307" s="21"/>
      <c r="JBQ307" s="21"/>
      <c r="JBR307" s="21"/>
      <c r="JBS307" s="21"/>
      <c r="JBT307" s="21"/>
      <c r="JBU307" s="21"/>
      <c r="JBV307" s="21"/>
      <c r="JBW307" s="21"/>
      <c r="JBX307" s="21"/>
      <c r="JBY307" s="21"/>
      <c r="JBZ307" s="21"/>
      <c r="JCA307" s="21"/>
      <c r="JCB307" s="21"/>
      <c r="JCC307" s="21"/>
      <c r="JCD307" s="21"/>
      <c r="JCE307" s="21"/>
      <c r="JCF307" s="21"/>
      <c r="JCG307" s="21"/>
      <c r="JCH307" s="21"/>
      <c r="JCI307" s="21"/>
      <c r="JCJ307" s="21"/>
      <c r="JCK307" s="21"/>
      <c r="JCL307" s="21"/>
      <c r="JCM307" s="21"/>
      <c r="JCN307" s="21"/>
      <c r="JCO307" s="21"/>
      <c r="JCP307" s="21"/>
      <c r="JCQ307" s="21"/>
      <c r="JCR307" s="21"/>
      <c r="JCS307" s="21"/>
      <c r="JCT307" s="21"/>
      <c r="JCU307" s="21"/>
      <c r="JCV307" s="21"/>
      <c r="JCW307" s="21"/>
      <c r="JCX307" s="21"/>
      <c r="JCY307" s="21"/>
      <c r="JCZ307" s="21"/>
      <c r="JDA307" s="21"/>
      <c r="JDB307" s="21"/>
      <c r="JDC307" s="21"/>
      <c r="JDD307" s="21"/>
      <c r="JDE307" s="21"/>
      <c r="JDF307" s="21"/>
      <c r="JDG307" s="21"/>
      <c r="JDH307" s="21"/>
      <c r="JDI307" s="21"/>
      <c r="JDJ307" s="21"/>
      <c r="JDK307" s="21"/>
      <c r="JDL307" s="21"/>
      <c r="JDM307" s="21"/>
      <c r="JDN307" s="21"/>
      <c r="JDO307" s="21"/>
      <c r="JDP307" s="21"/>
      <c r="JDQ307" s="21"/>
      <c r="JDR307" s="21"/>
      <c r="JDS307" s="21"/>
      <c r="JDT307" s="21"/>
      <c r="JDU307" s="21"/>
      <c r="JDV307" s="21"/>
      <c r="JDW307" s="21"/>
      <c r="JDX307" s="21"/>
      <c r="JDY307" s="21"/>
      <c r="JDZ307" s="21"/>
      <c r="JEA307" s="21"/>
      <c r="JEB307" s="21"/>
      <c r="JEC307" s="21"/>
      <c r="JED307" s="21"/>
      <c r="JEE307" s="21"/>
      <c r="JEF307" s="21"/>
      <c r="JEG307" s="21"/>
      <c r="JEH307" s="21"/>
      <c r="JEI307" s="21"/>
      <c r="JEJ307" s="21"/>
      <c r="JEK307" s="21"/>
      <c r="JEL307" s="21"/>
      <c r="JEM307" s="21"/>
      <c r="JEN307" s="21"/>
      <c r="JEO307" s="21"/>
      <c r="JEP307" s="21"/>
      <c r="JEQ307" s="21"/>
      <c r="JER307" s="21"/>
      <c r="JES307" s="21"/>
      <c r="JET307" s="21"/>
      <c r="JEU307" s="21"/>
      <c r="JEV307" s="21"/>
      <c r="JEW307" s="21"/>
      <c r="JEX307" s="21"/>
      <c r="JEY307" s="21"/>
      <c r="JEZ307" s="21"/>
      <c r="JFA307" s="21"/>
      <c r="JFB307" s="21"/>
      <c r="JFC307" s="21"/>
      <c r="JFD307" s="21"/>
      <c r="JFE307" s="21"/>
      <c r="JFF307" s="21"/>
      <c r="JFG307" s="21"/>
      <c r="JFH307" s="21"/>
      <c r="JFI307" s="21"/>
      <c r="JFJ307" s="21"/>
      <c r="JFK307" s="21"/>
      <c r="JFL307" s="21"/>
      <c r="JFM307" s="21"/>
      <c r="JFN307" s="21"/>
      <c r="JFO307" s="21"/>
      <c r="JFP307" s="21"/>
      <c r="JFQ307" s="21"/>
      <c r="JFR307" s="21"/>
      <c r="JFS307" s="21"/>
      <c r="JFT307" s="21"/>
      <c r="JFU307" s="21"/>
      <c r="JFV307" s="21"/>
      <c r="JFW307" s="21"/>
      <c r="JFX307" s="21"/>
      <c r="JFY307" s="21"/>
      <c r="JFZ307" s="21"/>
      <c r="JGA307" s="21"/>
      <c r="JGB307" s="21"/>
      <c r="JGC307" s="21"/>
      <c r="JGD307" s="21"/>
      <c r="JGE307" s="21"/>
      <c r="JGF307" s="21"/>
      <c r="JGG307" s="21"/>
      <c r="JGH307" s="21"/>
      <c r="JGI307" s="21"/>
      <c r="JGJ307" s="21"/>
      <c r="JGK307" s="21"/>
      <c r="JGL307" s="21"/>
      <c r="JGM307" s="21"/>
      <c r="JGN307" s="21"/>
      <c r="JGO307" s="21"/>
      <c r="JGP307" s="21"/>
      <c r="JGQ307" s="21"/>
      <c r="JGR307" s="21"/>
      <c r="JGS307" s="21"/>
      <c r="JGT307" s="21"/>
      <c r="JGU307" s="21"/>
      <c r="JGV307" s="21"/>
      <c r="JGW307" s="21"/>
      <c r="JGX307" s="21"/>
      <c r="JGY307" s="21"/>
      <c r="JGZ307" s="21"/>
      <c r="JHA307" s="21"/>
      <c r="JHB307" s="21"/>
      <c r="JHC307" s="21"/>
      <c r="JHD307" s="21"/>
      <c r="JHE307" s="21"/>
      <c r="JHF307" s="21"/>
      <c r="JHG307" s="21"/>
      <c r="JHH307" s="21"/>
      <c r="JHI307" s="21"/>
      <c r="JHJ307" s="21"/>
      <c r="JHK307" s="21"/>
      <c r="JHL307" s="21"/>
      <c r="JHM307" s="21"/>
      <c r="JHN307" s="21"/>
      <c r="JHO307" s="21"/>
      <c r="JHP307" s="21"/>
      <c r="JHQ307" s="21"/>
      <c r="JHR307" s="21"/>
      <c r="JHS307" s="21"/>
      <c r="JHT307" s="21"/>
      <c r="JHU307" s="21"/>
      <c r="JHV307" s="21"/>
      <c r="JHW307" s="21"/>
      <c r="JHX307" s="21"/>
      <c r="JHY307" s="21"/>
      <c r="JHZ307" s="21"/>
      <c r="JIA307" s="21"/>
      <c r="JIB307" s="21"/>
      <c r="JIC307" s="21"/>
      <c r="JID307" s="21"/>
      <c r="JIE307" s="21"/>
      <c r="JIF307" s="21"/>
      <c r="JIG307" s="21"/>
      <c r="JIH307" s="21"/>
      <c r="JII307" s="21"/>
      <c r="JIJ307" s="21"/>
      <c r="JIK307" s="21"/>
      <c r="JIL307" s="21"/>
      <c r="JIM307" s="21"/>
      <c r="JIN307" s="21"/>
      <c r="JIO307" s="21"/>
      <c r="JIP307" s="21"/>
      <c r="JIQ307" s="21"/>
      <c r="JIR307" s="21"/>
      <c r="JIS307" s="21"/>
      <c r="JIT307" s="21"/>
      <c r="JIU307" s="21"/>
      <c r="JIV307" s="21"/>
      <c r="JIW307" s="21"/>
      <c r="JIX307" s="21"/>
      <c r="JIY307" s="21"/>
      <c r="JIZ307" s="21"/>
      <c r="JJA307" s="21"/>
      <c r="JJB307" s="21"/>
      <c r="JJC307" s="21"/>
      <c r="JJD307" s="21"/>
      <c r="JJE307" s="21"/>
      <c r="JJF307" s="21"/>
      <c r="JJG307" s="21"/>
      <c r="JJH307" s="21"/>
      <c r="JJI307" s="21"/>
      <c r="JJJ307" s="21"/>
      <c r="JJK307" s="21"/>
      <c r="JJL307" s="21"/>
      <c r="JJM307" s="21"/>
      <c r="JJN307" s="21"/>
      <c r="JJO307" s="21"/>
      <c r="JJP307" s="21"/>
      <c r="JJQ307" s="21"/>
      <c r="JJR307" s="21"/>
      <c r="JJS307" s="21"/>
      <c r="JJT307" s="21"/>
      <c r="JJU307" s="21"/>
      <c r="JJV307" s="21"/>
      <c r="JJW307" s="21"/>
      <c r="JJX307" s="21"/>
      <c r="JJY307" s="21"/>
      <c r="JJZ307" s="21"/>
      <c r="JKA307" s="21"/>
      <c r="JKB307" s="21"/>
      <c r="JKC307" s="21"/>
      <c r="JKD307" s="21"/>
      <c r="JKE307" s="21"/>
      <c r="JKF307" s="21"/>
      <c r="JKG307" s="21"/>
      <c r="JKH307" s="21"/>
      <c r="JKI307" s="21"/>
      <c r="JKJ307" s="21"/>
      <c r="JKK307" s="21"/>
      <c r="JKL307" s="21"/>
      <c r="JKM307" s="21"/>
      <c r="JKN307" s="21"/>
      <c r="JKO307" s="21"/>
      <c r="JKP307" s="21"/>
      <c r="JKQ307" s="21"/>
      <c r="JKR307" s="21"/>
      <c r="JKS307" s="21"/>
      <c r="JKT307" s="21"/>
      <c r="JKU307" s="21"/>
      <c r="JKV307" s="21"/>
      <c r="JKW307" s="21"/>
      <c r="JKX307" s="21"/>
      <c r="JKY307" s="21"/>
      <c r="JKZ307" s="21"/>
      <c r="JLA307" s="21"/>
      <c r="JLB307" s="21"/>
      <c r="JLC307" s="21"/>
      <c r="JLD307" s="21"/>
      <c r="JLE307" s="21"/>
      <c r="JLF307" s="21"/>
      <c r="JLG307" s="21"/>
      <c r="JLH307" s="21"/>
      <c r="JLI307" s="21"/>
      <c r="JLJ307" s="21"/>
      <c r="JLK307" s="21"/>
      <c r="JLL307" s="21"/>
      <c r="JLM307" s="21"/>
      <c r="JLN307" s="21"/>
      <c r="JLO307" s="21"/>
      <c r="JLP307" s="21"/>
      <c r="JLQ307" s="21"/>
      <c r="JLR307" s="21"/>
      <c r="JLS307" s="21"/>
      <c r="JLT307" s="21"/>
      <c r="JLU307" s="21"/>
      <c r="JLV307" s="21"/>
      <c r="JLW307" s="21"/>
      <c r="JLX307" s="21"/>
      <c r="JLY307" s="21"/>
      <c r="JLZ307" s="21"/>
      <c r="JMA307" s="21"/>
      <c r="JMB307" s="21"/>
      <c r="JMC307" s="21"/>
      <c r="JMD307" s="21"/>
      <c r="JME307" s="21"/>
      <c r="JMF307" s="21"/>
      <c r="JMG307" s="21"/>
      <c r="JMH307" s="21"/>
      <c r="JMI307" s="21"/>
      <c r="JMJ307" s="21"/>
      <c r="JMK307" s="21"/>
      <c r="JML307" s="21"/>
      <c r="JMM307" s="21"/>
      <c r="JMN307" s="21"/>
      <c r="JMO307" s="21"/>
      <c r="JMP307" s="21"/>
      <c r="JMQ307" s="21"/>
      <c r="JMR307" s="21"/>
      <c r="JMS307" s="21"/>
      <c r="JMT307" s="21"/>
      <c r="JMU307" s="21"/>
      <c r="JMV307" s="21"/>
      <c r="JMW307" s="21"/>
      <c r="JMX307" s="21"/>
      <c r="JMY307" s="21"/>
      <c r="JMZ307" s="21"/>
      <c r="JNA307" s="21"/>
      <c r="JNB307" s="21"/>
      <c r="JNC307" s="21"/>
      <c r="JND307" s="21"/>
      <c r="JNE307" s="21"/>
      <c r="JNF307" s="21"/>
      <c r="JNG307" s="21"/>
      <c r="JNH307" s="21"/>
      <c r="JNI307" s="21"/>
      <c r="JNJ307" s="21"/>
      <c r="JNK307" s="21"/>
      <c r="JNL307" s="21"/>
      <c r="JNM307" s="21"/>
      <c r="JNN307" s="21"/>
      <c r="JNO307" s="21"/>
      <c r="JNP307" s="21"/>
      <c r="JNQ307" s="21"/>
      <c r="JNR307" s="21"/>
      <c r="JNS307" s="21"/>
      <c r="JNT307" s="21"/>
      <c r="JNU307" s="21"/>
      <c r="JNV307" s="21"/>
      <c r="JNW307" s="21"/>
      <c r="JNX307" s="21"/>
      <c r="JNY307" s="21"/>
      <c r="JNZ307" s="21"/>
      <c r="JOA307" s="21"/>
      <c r="JOB307" s="21"/>
      <c r="JOC307" s="21"/>
      <c r="JOD307" s="21"/>
      <c r="JOE307" s="21"/>
      <c r="JOF307" s="21"/>
      <c r="JOG307" s="21"/>
      <c r="JOH307" s="21"/>
      <c r="JOI307" s="21"/>
      <c r="JOJ307" s="21"/>
      <c r="JOK307" s="21"/>
      <c r="JOL307" s="21"/>
      <c r="JOM307" s="21"/>
      <c r="JON307" s="21"/>
      <c r="JOO307" s="21"/>
      <c r="JOP307" s="21"/>
      <c r="JOQ307" s="21"/>
      <c r="JOR307" s="21"/>
      <c r="JOS307" s="21"/>
      <c r="JOT307" s="21"/>
      <c r="JOU307" s="21"/>
      <c r="JOV307" s="21"/>
      <c r="JOW307" s="21"/>
      <c r="JOX307" s="21"/>
      <c r="JOY307" s="21"/>
      <c r="JOZ307" s="21"/>
      <c r="JPA307" s="21"/>
      <c r="JPB307" s="21"/>
      <c r="JPC307" s="21"/>
      <c r="JPD307" s="21"/>
      <c r="JPE307" s="21"/>
      <c r="JPF307" s="21"/>
      <c r="JPG307" s="21"/>
      <c r="JPH307" s="21"/>
      <c r="JPI307" s="21"/>
      <c r="JPJ307" s="21"/>
      <c r="JPK307" s="21"/>
      <c r="JPL307" s="21"/>
      <c r="JPM307" s="21"/>
      <c r="JPN307" s="21"/>
      <c r="JPO307" s="21"/>
      <c r="JPP307" s="21"/>
      <c r="JPQ307" s="21"/>
      <c r="JPR307" s="21"/>
      <c r="JPS307" s="21"/>
      <c r="JPT307" s="21"/>
      <c r="JPU307" s="21"/>
      <c r="JPV307" s="21"/>
      <c r="JPW307" s="21"/>
      <c r="JPX307" s="21"/>
      <c r="JPY307" s="21"/>
      <c r="JPZ307" s="21"/>
      <c r="JQA307" s="21"/>
      <c r="JQB307" s="21"/>
      <c r="JQC307" s="21"/>
      <c r="JQD307" s="21"/>
      <c r="JQE307" s="21"/>
      <c r="JQF307" s="21"/>
      <c r="JQG307" s="21"/>
      <c r="JQH307" s="21"/>
      <c r="JQI307" s="21"/>
      <c r="JQJ307" s="21"/>
      <c r="JQK307" s="21"/>
      <c r="JQL307" s="21"/>
      <c r="JQM307" s="21"/>
      <c r="JQN307" s="21"/>
      <c r="JQO307" s="21"/>
      <c r="JQP307" s="21"/>
      <c r="JQQ307" s="21"/>
      <c r="JQR307" s="21"/>
      <c r="JQS307" s="21"/>
      <c r="JQT307" s="21"/>
      <c r="JQU307" s="21"/>
      <c r="JQV307" s="21"/>
      <c r="JQW307" s="21"/>
      <c r="JQX307" s="21"/>
      <c r="JQY307" s="21"/>
      <c r="JQZ307" s="21"/>
      <c r="JRA307" s="21"/>
      <c r="JRB307" s="21"/>
      <c r="JRC307" s="21"/>
      <c r="JRD307" s="21"/>
      <c r="JRE307" s="21"/>
      <c r="JRF307" s="21"/>
      <c r="JRG307" s="21"/>
      <c r="JRH307" s="21"/>
      <c r="JRI307" s="21"/>
      <c r="JRJ307" s="21"/>
      <c r="JRK307" s="21"/>
      <c r="JRL307" s="21"/>
      <c r="JRM307" s="21"/>
      <c r="JRN307" s="21"/>
      <c r="JRO307" s="21"/>
      <c r="JRP307" s="21"/>
      <c r="JRQ307" s="21"/>
      <c r="JRR307" s="21"/>
      <c r="JRS307" s="21"/>
      <c r="JRT307" s="21"/>
      <c r="JRU307" s="21"/>
      <c r="JRV307" s="21"/>
      <c r="JRW307" s="21"/>
      <c r="JRX307" s="21"/>
      <c r="JRY307" s="21"/>
      <c r="JRZ307" s="21"/>
      <c r="JSA307" s="21"/>
      <c r="JSB307" s="21"/>
      <c r="JSC307" s="21"/>
      <c r="JSD307" s="21"/>
      <c r="JSE307" s="21"/>
      <c r="JSF307" s="21"/>
      <c r="JSG307" s="21"/>
      <c r="JSH307" s="21"/>
      <c r="JSI307" s="21"/>
      <c r="JSJ307" s="21"/>
      <c r="JSK307" s="21"/>
      <c r="JSL307" s="21"/>
      <c r="JSM307" s="21"/>
      <c r="JSN307" s="21"/>
      <c r="JSO307" s="21"/>
      <c r="JSP307" s="21"/>
      <c r="JSQ307" s="21"/>
      <c r="JSR307" s="21"/>
      <c r="JSS307" s="21"/>
      <c r="JST307" s="21"/>
      <c r="JSU307" s="21"/>
      <c r="JSV307" s="21"/>
      <c r="JSW307" s="21"/>
      <c r="JSX307" s="21"/>
      <c r="JSY307" s="21"/>
      <c r="JSZ307" s="21"/>
      <c r="JTA307" s="21"/>
      <c r="JTB307" s="21"/>
      <c r="JTC307" s="21"/>
      <c r="JTD307" s="21"/>
      <c r="JTE307" s="21"/>
      <c r="JTF307" s="21"/>
      <c r="JTG307" s="21"/>
      <c r="JTH307" s="21"/>
      <c r="JTI307" s="21"/>
      <c r="JTJ307" s="21"/>
      <c r="JTK307" s="21"/>
      <c r="JTL307" s="21"/>
      <c r="JTM307" s="21"/>
      <c r="JTN307" s="21"/>
      <c r="JTO307" s="21"/>
      <c r="JTP307" s="21"/>
      <c r="JTQ307" s="21"/>
      <c r="JTR307" s="21"/>
      <c r="JTS307" s="21"/>
      <c r="JTT307" s="21"/>
      <c r="JTU307" s="21"/>
      <c r="JTV307" s="21"/>
      <c r="JTW307" s="21"/>
      <c r="JTX307" s="21"/>
      <c r="JTY307" s="21"/>
      <c r="JTZ307" s="21"/>
      <c r="JUA307" s="21"/>
      <c r="JUB307" s="21"/>
      <c r="JUC307" s="21"/>
      <c r="JUD307" s="21"/>
      <c r="JUE307" s="21"/>
      <c r="JUF307" s="21"/>
      <c r="JUG307" s="21"/>
      <c r="JUH307" s="21"/>
      <c r="JUI307" s="21"/>
      <c r="JUJ307" s="21"/>
      <c r="JUK307" s="21"/>
      <c r="JUL307" s="21"/>
      <c r="JUM307" s="21"/>
      <c r="JUN307" s="21"/>
      <c r="JUO307" s="21"/>
      <c r="JUP307" s="21"/>
      <c r="JUQ307" s="21"/>
      <c r="JUR307" s="21"/>
      <c r="JUS307" s="21"/>
      <c r="JUT307" s="21"/>
      <c r="JUU307" s="21"/>
      <c r="JUV307" s="21"/>
      <c r="JUW307" s="21"/>
      <c r="JUX307" s="21"/>
      <c r="JUY307" s="21"/>
      <c r="JUZ307" s="21"/>
      <c r="JVA307" s="21"/>
      <c r="JVB307" s="21"/>
      <c r="JVC307" s="21"/>
      <c r="JVD307" s="21"/>
      <c r="JVE307" s="21"/>
      <c r="JVF307" s="21"/>
      <c r="JVG307" s="21"/>
      <c r="JVH307" s="21"/>
      <c r="JVI307" s="21"/>
      <c r="JVJ307" s="21"/>
      <c r="JVK307" s="21"/>
      <c r="JVL307" s="21"/>
      <c r="JVM307" s="21"/>
      <c r="JVN307" s="21"/>
      <c r="JVO307" s="21"/>
      <c r="JVP307" s="21"/>
      <c r="JVQ307" s="21"/>
      <c r="JVR307" s="21"/>
      <c r="JVS307" s="21"/>
      <c r="JVT307" s="21"/>
      <c r="JVU307" s="21"/>
      <c r="JVV307" s="21"/>
      <c r="JVW307" s="21"/>
      <c r="JVX307" s="21"/>
      <c r="JVY307" s="21"/>
      <c r="JVZ307" s="21"/>
      <c r="JWA307" s="21"/>
      <c r="JWB307" s="21"/>
      <c r="JWC307" s="21"/>
      <c r="JWD307" s="21"/>
      <c r="JWE307" s="21"/>
      <c r="JWF307" s="21"/>
      <c r="JWG307" s="21"/>
      <c r="JWH307" s="21"/>
      <c r="JWI307" s="21"/>
      <c r="JWJ307" s="21"/>
      <c r="JWK307" s="21"/>
      <c r="JWL307" s="21"/>
      <c r="JWM307" s="21"/>
      <c r="JWN307" s="21"/>
      <c r="JWO307" s="21"/>
      <c r="JWP307" s="21"/>
      <c r="JWQ307" s="21"/>
      <c r="JWR307" s="21"/>
      <c r="JWS307" s="21"/>
      <c r="JWT307" s="21"/>
      <c r="JWU307" s="21"/>
      <c r="JWV307" s="21"/>
      <c r="JWW307" s="21"/>
      <c r="JWX307" s="21"/>
      <c r="JWY307" s="21"/>
      <c r="JWZ307" s="21"/>
      <c r="JXA307" s="21"/>
      <c r="JXB307" s="21"/>
      <c r="JXC307" s="21"/>
      <c r="JXD307" s="21"/>
      <c r="JXE307" s="21"/>
      <c r="JXF307" s="21"/>
      <c r="JXG307" s="21"/>
      <c r="JXH307" s="21"/>
      <c r="JXI307" s="21"/>
      <c r="JXJ307" s="21"/>
      <c r="JXK307" s="21"/>
      <c r="JXL307" s="21"/>
      <c r="JXM307" s="21"/>
      <c r="JXN307" s="21"/>
      <c r="JXO307" s="21"/>
      <c r="JXP307" s="21"/>
      <c r="JXQ307" s="21"/>
      <c r="JXR307" s="21"/>
      <c r="JXS307" s="21"/>
      <c r="JXT307" s="21"/>
      <c r="JXU307" s="21"/>
      <c r="JXV307" s="21"/>
      <c r="JXW307" s="21"/>
      <c r="JXX307" s="21"/>
      <c r="JXY307" s="21"/>
      <c r="JXZ307" s="21"/>
      <c r="JYA307" s="21"/>
      <c r="JYB307" s="21"/>
      <c r="JYC307" s="21"/>
      <c r="JYD307" s="21"/>
      <c r="JYE307" s="21"/>
      <c r="JYF307" s="21"/>
      <c r="JYG307" s="21"/>
      <c r="JYH307" s="21"/>
      <c r="JYI307" s="21"/>
      <c r="JYJ307" s="21"/>
      <c r="JYK307" s="21"/>
      <c r="JYL307" s="21"/>
      <c r="JYM307" s="21"/>
      <c r="JYN307" s="21"/>
      <c r="JYO307" s="21"/>
      <c r="JYP307" s="21"/>
      <c r="JYQ307" s="21"/>
      <c r="JYR307" s="21"/>
      <c r="JYS307" s="21"/>
      <c r="JYT307" s="21"/>
      <c r="JYU307" s="21"/>
      <c r="JYV307" s="21"/>
      <c r="JYW307" s="21"/>
      <c r="JYX307" s="21"/>
      <c r="JYY307" s="21"/>
      <c r="JYZ307" s="21"/>
      <c r="JZA307" s="21"/>
      <c r="JZB307" s="21"/>
      <c r="JZC307" s="21"/>
      <c r="JZD307" s="21"/>
      <c r="JZE307" s="21"/>
      <c r="JZF307" s="21"/>
      <c r="JZG307" s="21"/>
      <c r="JZH307" s="21"/>
      <c r="JZI307" s="21"/>
      <c r="JZJ307" s="21"/>
      <c r="JZK307" s="21"/>
      <c r="JZL307" s="21"/>
      <c r="JZM307" s="21"/>
      <c r="JZN307" s="21"/>
      <c r="JZO307" s="21"/>
      <c r="JZP307" s="21"/>
      <c r="JZQ307" s="21"/>
      <c r="JZR307" s="21"/>
      <c r="JZS307" s="21"/>
      <c r="JZT307" s="21"/>
      <c r="JZU307" s="21"/>
      <c r="JZV307" s="21"/>
      <c r="JZW307" s="21"/>
      <c r="JZX307" s="21"/>
      <c r="JZY307" s="21"/>
      <c r="JZZ307" s="21"/>
      <c r="KAA307" s="21"/>
      <c r="KAB307" s="21"/>
      <c r="KAC307" s="21"/>
      <c r="KAD307" s="21"/>
      <c r="KAE307" s="21"/>
      <c r="KAF307" s="21"/>
      <c r="KAG307" s="21"/>
      <c r="KAH307" s="21"/>
      <c r="KAI307" s="21"/>
      <c r="KAJ307" s="21"/>
      <c r="KAK307" s="21"/>
      <c r="KAL307" s="21"/>
      <c r="KAM307" s="21"/>
      <c r="KAN307" s="21"/>
      <c r="KAO307" s="21"/>
      <c r="KAP307" s="21"/>
      <c r="KAQ307" s="21"/>
      <c r="KAR307" s="21"/>
      <c r="KAS307" s="21"/>
      <c r="KAT307" s="21"/>
      <c r="KAU307" s="21"/>
      <c r="KAV307" s="21"/>
      <c r="KAW307" s="21"/>
      <c r="KAX307" s="21"/>
      <c r="KAY307" s="21"/>
      <c r="KAZ307" s="21"/>
      <c r="KBA307" s="21"/>
      <c r="KBB307" s="21"/>
      <c r="KBC307" s="21"/>
      <c r="KBD307" s="21"/>
      <c r="KBE307" s="21"/>
      <c r="KBF307" s="21"/>
      <c r="KBG307" s="21"/>
      <c r="KBH307" s="21"/>
      <c r="KBI307" s="21"/>
      <c r="KBJ307" s="21"/>
      <c r="KBK307" s="21"/>
      <c r="KBL307" s="21"/>
      <c r="KBM307" s="21"/>
      <c r="KBN307" s="21"/>
      <c r="KBO307" s="21"/>
      <c r="KBP307" s="21"/>
      <c r="KBQ307" s="21"/>
      <c r="KBR307" s="21"/>
      <c r="KBS307" s="21"/>
      <c r="KBT307" s="21"/>
      <c r="KBU307" s="21"/>
      <c r="KBV307" s="21"/>
      <c r="KBW307" s="21"/>
      <c r="KBX307" s="21"/>
      <c r="KBY307" s="21"/>
      <c r="KBZ307" s="21"/>
      <c r="KCA307" s="21"/>
      <c r="KCB307" s="21"/>
      <c r="KCC307" s="21"/>
      <c r="KCD307" s="21"/>
      <c r="KCE307" s="21"/>
      <c r="KCF307" s="21"/>
      <c r="KCG307" s="21"/>
      <c r="KCH307" s="21"/>
      <c r="KCI307" s="21"/>
      <c r="KCJ307" s="21"/>
      <c r="KCK307" s="21"/>
      <c r="KCL307" s="21"/>
      <c r="KCM307" s="21"/>
      <c r="KCN307" s="21"/>
      <c r="KCO307" s="21"/>
      <c r="KCP307" s="21"/>
      <c r="KCQ307" s="21"/>
      <c r="KCR307" s="21"/>
      <c r="KCS307" s="21"/>
      <c r="KCT307" s="21"/>
      <c r="KCU307" s="21"/>
      <c r="KCV307" s="21"/>
      <c r="KCW307" s="21"/>
      <c r="KCX307" s="21"/>
      <c r="KCY307" s="21"/>
      <c r="KCZ307" s="21"/>
      <c r="KDA307" s="21"/>
      <c r="KDB307" s="21"/>
      <c r="KDC307" s="21"/>
      <c r="KDD307" s="21"/>
      <c r="KDE307" s="21"/>
      <c r="KDF307" s="21"/>
      <c r="KDG307" s="21"/>
      <c r="KDH307" s="21"/>
      <c r="KDI307" s="21"/>
      <c r="KDJ307" s="21"/>
      <c r="KDK307" s="21"/>
      <c r="KDL307" s="21"/>
      <c r="KDM307" s="21"/>
      <c r="KDN307" s="21"/>
      <c r="KDO307" s="21"/>
      <c r="KDP307" s="21"/>
      <c r="KDQ307" s="21"/>
      <c r="KDR307" s="21"/>
      <c r="KDS307" s="21"/>
      <c r="KDT307" s="21"/>
      <c r="KDU307" s="21"/>
      <c r="KDV307" s="21"/>
      <c r="KDW307" s="21"/>
      <c r="KDX307" s="21"/>
      <c r="KDY307" s="21"/>
      <c r="KDZ307" s="21"/>
      <c r="KEA307" s="21"/>
      <c r="KEB307" s="21"/>
      <c r="KEC307" s="21"/>
      <c r="KED307" s="21"/>
      <c r="KEE307" s="21"/>
      <c r="KEF307" s="21"/>
      <c r="KEG307" s="21"/>
      <c r="KEH307" s="21"/>
      <c r="KEI307" s="21"/>
      <c r="KEJ307" s="21"/>
      <c r="KEK307" s="21"/>
      <c r="KEL307" s="21"/>
      <c r="KEM307" s="21"/>
      <c r="KEN307" s="21"/>
      <c r="KEO307" s="21"/>
      <c r="KEP307" s="21"/>
      <c r="KEQ307" s="21"/>
      <c r="KER307" s="21"/>
      <c r="KES307" s="21"/>
      <c r="KET307" s="21"/>
      <c r="KEU307" s="21"/>
      <c r="KEV307" s="21"/>
      <c r="KEW307" s="21"/>
      <c r="KEX307" s="21"/>
      <c r="KEY307" s="21"/>
      <c r="KEZ307" s="21"/>
      <c r="KFA307" s="21"/>
      <c r="KFB307" s="21"/>
      <c r="KFC307" s="21"/>
      <c r="KFD307" s="21"/>
      <c r="KFE307" s="21"/>
      <c r="KFF307" s="21"/>
      <c r="KFG307" s="21"/>
      <c r="KFH307" s="21"/>
      <c r="KFI307" s="21"/>
      <c r="KFJ307" s="21"/>
      <c r="KFK307" s="21"/>
      <c r="KFL307" s="21"/>
      <c r="KFM307" s="21"/>
      <c r="KFN307" s="21"/>
      <c r="KFO307" s="21"/>
      <c r="KFP307" s="21"/>
      <c r="KFQ307" s="21"/>
      <c r="KFR307" s="21"/>
      <c r="KFS307" s="21"/>
      <c r="KFT307" s="21"/>
      <c r="KFU307" s="21"/>
      <c r="KFV307" s="21"/>
      <c r="KFW307" s="21"/>
      <c r="KFX307" s="21"/>
      <c r="KFY307" s="21"/>
      <c r="KFZ307" s="21"/>
      <c r="KGA307" s="21"/>
      <c r="KGB307" s="21"/>
      <c r="KGC307" s="21"/>
      <c r="KGD307" s="21"/>
      <c r="KGE307" s="21"/>
      <c r="KGF307" s="21"/>
      <c r="KGG307" s="21"/>
      <c r="KGH307" s="21"/>
      <c r="KGI307" s="21"/>
      <c r="KGJ307" s="21"/>
      <c r="KGK307" s="21"/>
      <c r="KGL307" s="21"/>
      <c r="KGM307" s="21"/>
      <c r="KGN307" s="21"/>
      <c r="KGO307" s="21"/>
      <c r="KGP307" s="21"/>
      <c r="KGQ307" s="21"/>
      <c r="KGR307" s="21"/>
      <c r="KGS307" s="21"/>
      <c r="KGT307" s="21"/>
      <c r="KGU307" s="21"/>
      <c r="KGV307" s="21"/>
      <c r="KGW307" s="21"/>
      <c r="KGX307" s="21"/>
      <c r="KGY307" s="21"/>
      <c r="KGZ307" s="21"/>
      <c r="KHA307" s="21"/>
      <c r="KHB307" s="21"/>
      <c r="KHC307" s="21"/>
      <c r="KHD307" s="21"/>
      <c r="KHE307" s="21"/>
      <c r="KHF307" s="21"/>
      <c r="KHG307" s="21"/>
      <c r="KHH307" s="21"/>
      <c r="KHI307" s="21"/>
      <c r="KHJ307" s="21"/>
      <c r="KHK307" s="21"/>
      <c r="KHL307" s="21"/>
      <c r="KHM307" s="21"/>
      <c r="KHN307" s="21"/>
      <c r="KHO307" s="21"/>
      <c r="KHP307" s="21"/>
      <c r="KHQ307" s="21"/>
      <c r="KHR307" s="21"/>
      <c r="KHS307" s="21"/>
      <c r="KHT307" s="21"/>
      <c r="KHU307" s="21"/>
      <c r="KHV307" s="21"/>
      <c r="KHW307" s="21"/>
      <c r="KHX307" s="21"/>
      <c r="KHY307" s="21"/>
      <c r="KHZ307" s="21"/>
      <c r="KIA307" s="21"/>
      <c r="KIB307" s="21"/>
      <c r="KIC307" s="21"/>
      <c r="KID307" s="21"/>
      <c r="KIE307" s="21"/>
      <c r="KIF307" s="21"/>
      <c r="KIG307" s="21"/>
      <c r="KIH307" s="21"/>
      <c r="KII307" s="21"/>
      <c r="KIJ307" s="21"/>
      <c r="KIK307" s="21"/>
      <c r="KIL307" s="21"/>
      <c r="KIM307" s="21"/>
      <c r="KIN307" s="21"/>
      <c r="KIO307" s="21"/>
      <c r="KIP307" s="21"/>
      <c r="KIQ307" s="21"/>
      <c r="KIR307" s="21"/>
      <c r="KIS307" s="21"/>
      <c r="KIT307" s="21"/>
      <c r="KIU307" s="21"/>
      <c r="KIV307" s="21"/>
      <c r="KIW307" s="21"/>
      <c r="KIX307" s="21"/>
      <c r="KIY307" s="21"/>
      <c r="KIZ307" s="21"/>
      <c r="KJA307" s="21"/>
      <c r="KJB307" s="21"/>
      <c r="KJC307" s="21"/>
      <c r="KJD307" s="21"/>
      <c r="KJE307" s="21"/>
      <c r="KJF307" s="21"/>
      <c r="KJG307" s="21"/>
      <c r="KJH307" s="21"/>
      <c r="KJI307" s="21"/>
      <c r="KJJ307" s="21"/>
      <c r="KJK307" s="21"/>
      <c r="KJL307" s="21"/>
      <c r="KJM307" s="21"/>
      <c r="KJN307" s="21"/>
      <c r="KJO307" s="21"/>
      <c r="KJP307" s="21"/>
      <c r="KJQ307" s="21"/>
      <c r="KJR307" s="21"/>
      <c r="KJS307" s="21"/>
      <c r="KJT307" s="21"/>
      <c r="KJU307" s="21"/>
      <c r="KJV307" s="21"/>
      <c r="KJW307" s="21"/>
      <c r="KJX307" s="21"/>
      <c r="KJY307" s="21"/>
      <c r="KJZ307" s="21"/>
      <c r="KKA307" s="21"/>
      <c r="KKB307" s="21"/>
      <c r="KKC307" s="21"/>
      <c r="KKD307" s="21"/>
      <c r="KKE307" s="21"/>
      <c r="KKF307" s="21"/>
      <c r="KKG307" s="21"/>
      <c r="KKH307" s="21"/>
      <c r="KKI307" s="21"/>
      <c r="KKJ307" s="21"/>
      <c r="KKK307" s="21"/>
      <c r="KKL307" s="21"/>
      <c r="KKM307" s="21"/>
      <c r="KKN307" s="21"/>
      <c r="KKO307" s="21"/>
      <c r="KKP307" s="21"/>
      <c r="KKQ307" s="21"/>
      <c r="KKR307" s="21"/>
      <c r="KKS307" s="21"/>
      <c r="KKT307" s="21"/>
      <c r="KKU307" s="21"/>
      <c r="KKV307" s="21"/>
      <c r="KKW307" s="21"/>
      <c r="KKX307" s="21"/>
      <c r="KKY307" s="21"/>
      <c r="KKZ307" s="21"/>
      <c r="KLA307" s="21"/>
      <c r="KLB307" s="21"/>
      <c r="KLC307" s="21"/>
      <c r="KLD307" s="21"/>
      <c r="KLE307" s="21"/>
      <c r="KLF307" s="21"/>
      <c r="KLG307" s="21"/>
      <c r="KLH307" s="21"/>
      <c r="KLI307" s="21"/>
      <c r="KLJ307" s="21"/>
      <c r="KLK307" s="21"/>
      <c r="KLL307" s="21"/>
      <c r="KLM307" s="21"/>
      <c r="KLN307" s="21"/>
      <c r="KLO307" s="21"/>
      <c r="KLP307" s="21"/>
      <c r="KLQ307" s="21"/>
      <c r="KLR307" s="21"/>
      <c r="KLS307" s="21"/>
      <c r="KLT307" s="21"/>
      <c r="KLU307" s="21"/>
      <c r="KLV307" s="21"/>
      <c r="KLW307" s="21"/>
      <c r="KLX307" s="21"/>
      <c r="KLY307" s="21"/>
      <c r="KLZ307" s="21"/>
      <c r="KMA307" s="21"/>
      <c r="KMB307" s="21"/>
      <c r="KMC307" s="21"/>
      <c r="KMD307" s="21"/>
      <c r="KME307" s="21"/>
      <c r="KMF307" s="21"/>
      <c r="KMG307" s="21"/>
      <c r="KMH307" s="21"/>
      <c r="KMI307" s="21"/>
      <c r="KMJ307" s="21"/>
      <c r="KMK307" s="21"/>
      <c r="KML307" s="21"/>
      <c r="KMM307" s="21"/>
      <c r="KMN307" s="21"/>
      <c r="KMO307" s="21"/>
      <c r="KMP307" s="21"/>
      <c r="KMQ307" s="21"/>
      <c r="KMR307" s="21"/>
      <c r="KMS307" s="21"/>
      <c r="KMT307" s="21"/>
      <c r="KMU307" s="21"/>
      <c r="KMV307" s="21"/>
      <c r="KMW307" s="21"/>
      <c r="KMX307" s="21"/>
      <c r="KMY307" s="21"/>
      <c r="KMZ307" s="21"/>
      <c r="KNA307" s="21"/>
      <c r="KNB307" s="21"/>
      <c r="KNC307" s="21"/>
      <c r="KND307" s="21"/>
      <c r="KNE307" s="21"/>
      <c r="KNF307" s="21"/>
      <c r="KNG307" s="21"/>
      <c r="KNH307" s="21"/>
      <c r="KNI307" s="21"/>
      <c r="KNJ307" s="21"/>
      <c r="KNK307" s="21"/>
      <c r="KNL307" s="21"/>
      <c r="KNM307" s="21"/>
      <c r="KNN307" s="21"/>
      <c r="KNO307" s="21"/>
      <c r="KNP307" s="21"/>
      <c r="KNQ307" s="21"/>
      <c r="KNR307" s="21"/>
      <c r="KNS307" s="21"/>
      <c r="KNT307" s="21"/>
      <c r="KNU307" s="21"/>
      <c r="KNV307" s="21"/>
      <c r="KNW307" s="21"/>
      <c r="KNX307" s="21"/>
      <c r="KNY307" s="21"/>
      <c r="KNZ307" s="21"/>
      <c r="KOA307" s="21"/>
      <c r="KOB307" s="21"/>
      <c r="KOC307" s="21"/>
      <c r="KOD307" s="21"/>
      <c r="KOE307" s="21"/>
      <c r="KOF307" s="21"/>
      <c r="KOG307" s="21"/>
      <c r="KOH307" s="21"/>
      <c r="KOI307" s="21"/>
      <c r="KOJ307" s="21"/>
      <c r="KOK307" s="21"/>
      <c r="KOL307" s="21"/>
      <c r="KOM307" s="21"/>
      <c r="KON307" s="21"/>
      <c r="KOO307" s="21"/>
      <c r="KOP307" s="21"/>
      <c r="KOQ307" s="21"/>
      <c r="KOR307" s="21"/>
      <c r="KOS307" s="21"/>
      <c r="KOT307" s="21"/>
      <c r="KOU307" s="21"/>
      <c r="KOV307" s="21"/>
      <c r="KOW307" s="21"/>
      <c r="KOX307" s="21"/>
      <c r="KOY307" s="21"/>
      <c r="KOZ307" s="21"/>
      <c r="KPA307" s="21"/>
      <c r="KPB307" s="21"/>
      <c r="KPC307" s="21"/>
      <c r="KPD307" s="21"/>
      <c r="KPE307" s="21"/>
      <c r="KPF307" s="21"/>
      <c r="KPG307" s="21"/>
      <c r="KPH307" s="21"/>
      <c r="KPI307" s="21"/>
      <c r="KPJ307" s="21"/>
      <c r="KPK307" s="21"/>
      <c r="KPL307" s="21"/>
      <c r="KPM307" s="21"/>
      <c r="KPN307" s="21"/>
      <c r="KPO307" s="21"/>
      <c r="KPP307" s="21"/>
      <c r="KPQ307" s="21"/>
      <c r="KPR307" s="21"/>
      <c r="KPS307" s="21"/>
      <c r="KPT307" s="21"/>
      <c r="KPU307" s="21"/>
      <c r="KPV307" s="21"/>
      <c r="KPW307" s="21"/>
      <c r="KPX307" s="21"/>
      <c r="KPY307" s="21"/>
      <c r="KPZ307" s="21"/>
      <c r="KQA307" s="21"/>
      <c r="KQB307" s="21"/>
      <c r="KQC307" s="21"/>
      <c r="KQD307" s="21"/>
      <c r="KQE307" s="21"/>
      <c r="KQF307" s="21"/>
      <c r="KQG307" s="21"/>
      <c r="KQH307" s="21"/>
      <c r="KQI307" s="21"/>
      <c r="KQJ307" s="21"/>
      <c r="KQK307" s="21"/>
      <c r="KQL307" s="21"/>
      <c r="KQM307" s="21"/>
      <c r="KQN307" s="21"/>
      <c r="KQO307" s="21"/>
      <c r="KQP307" s="21"/>
      <c r="KQQ307" s="21"/>
      <c r="KQR307" s="21"/>
      <c r="KQS307" s="21"/>
      <c r="KQT307" s="21"/>
      <c r="KQU307" s="21"/>
      <c r="KQV307" s="21"/>
      <c r="KQW307" s="21"/>
      <c r="KQX307" s="21"/>
      <c r="KQY307" s="21"/>
      <c r="KQZ307" s="21"/>
      <c r="KRA307" s="21"/>
      <c r="KRB307" s="21"/>
      <c r="KRC307" s="21"/>
      <c r="KRD307" s="21"/>
      <c r="KRE307" s="21"/>
      <c r="KRF307" s="21"/>
      <c r="KRG307" s="21"/>
      <c r="KRH307" s="21"/>
      <c r="KRI307" s="21"/>
      <c r="KRJ307" s="21"/>
      <c r="KRK307" s="21"/>
      <c r="KRL307" s="21"/>
      <c r="KRM307" s="21"/>
      <c r="KRN307" s="21"/>
      <c r="KRO307" s="21"/>
      <c r="KRP307" s="21"/>
      <c r="KRQ307" s="21"/>
      <c r="KRR307" s="21"/>
      <c r="KRS307" s="21"/>
      <c r="KRT307" s="21"/>
      <c r="KRU307" s="21"/>
      <c r="KRV307" s="21"/>
      <c r="KRW307" s="21"/>
      <c r="KRX307" s="21"/>
      <c r="KRY307" s="21"/>
      <c r="KRZ307" s="21"/>
      <c r="KSA307" s="21"/>
      <c r="KSB307" s="21"/>
      <c r="KSC307" s="21"/>
      <c r="KSD307" s="21"/>
      <c r="KSE307" s="21"/>
      <c r="KSF307" s="21"/>
      <c r="KSG307" s="21"/>
      <c r="KSH307" s="21"/>
      <c r="KSI307" s="21"/>
      <c r="KSJ307" s="21"/>
      <c r="KSK307" s="21"/>
      <c r="KSL307" s="21"/>
      <c r="KSM307" s="21"/>
      <c r="KSN307" s="21"/>
      <c r="KSO307" s="21"/>
      <c r="KSP307" s="21"/>
      <c r="KSQ307" s="21"/>
      <c r="KSR307" s="21"/>
      <c r="KSS307" s="21"/>
      <c r="KST307" s="21"/>
      <c r="KSU307" s="21"/>
      <c r="KSV307" s="21"/>
      <c r="KSW307" s="21"/>
      <c r="KSX307" s="21"/>
      <c r="KSY307" s="21"/>
      <c r="KSZ307" s="21"/>
      <c r="KTA307" s="21"/>
      <c r="KTB307" s="21"/>
      <c r="KTC307" s="21"/>
      <c r="KTD307" s="21"/>
      <c r="KTE307" s="21"/>
      <c r="KTF307" s="21"/>
      <c r="KTG307" s="21"/>
      <c r="KTH307" s="21"/>
      <c r="KTI307" s="21"/>
      <c r="KTJ307" s="21"/>
      <c r="KTK307" s="21"/>
      <c r="KTL307" s="21"/>
      <c r="KTM307" s="21"/>
      <c r="KTN307" s="21"/>
      <c r="KTO307" s="21"/>
      <c r="KTP307" s="21"/>
      <c r="KTQ307" s="21"/>
      <c r="KTR307" s="21"/>
      <c r="KTS307" s="21"/>
      <c r="KTT307" s="21"/>
      <c r="KTU307" s="21"/>
      <c r="KTV307" s="21"/>
      <c r="KTW307" s="21"/>
      <c r="KTX307" s="21"/>
      <c r="KTY307" s="21"/>
      <c r="KTZ307" s="21"/>
      <c r="KUA307" s="21"/>
      <c r="KUB307" s="21"/>
      <c r="KUC307" s="21"/>
      <c r="KUD307" s="21"/>
      <c r="KUE307" s="21"/>
      <c r="KUF307" s="21"/>
      <c r="KUG307" s="21"/>
      <c r="KUH307" s="21"/>
      <c r="KUI307" s="21"/>
      <c r="KUJ307" s="21"/>
      <c r="KUK307" s="21"/>
      <c r="KUL307" s="21"/>
      <c r="KUM307" s="21"/>
      <c r="KUN307" s="21"/>
      <c r="KUO307" s="21"/>
      <c r="KUP307" s="21"/>
      <c r="KUQ307" s="21"/>
      <c r="KUR307" s="21"/>
      <c r="KUS307" s="21"/>
      <c r="KUT307" s="21"/>
      <c r="KUU307" s="21"/>
      <c r="KUV307" s="21"/>
      <c r="KUW307" s="21"/>
      <c r="KUX307" s="21"/>
      <c r="KUY307" s="21"/>
      <c r="KUZ307" s="21"/>
      <c r="KVA307" s="21"/>
      <c r="KVB307" s="21"/>
      <c r="KVC307" s="21"/>
      <c r="KVD307" s="21"/>
      <c r="KVE307" s="21"/>
      <c r="KVF307" s="21"/>
      <c r="KVG307" s="21"/>
      <c r="KVH307" s="21"/>
      <c r="KVI307" s="21"/>
      <c r="KVJ307" s="21"/>
      <c r="KVK307" s="21"/>
      <c r="KVL307" s="21"/>
      <c r="KVM307" s="21"/>
      <c r="KVN307" s="21"/>
      <c r="KVO307" s="21"/>
      <c r="KVP307" s="21"/>
      <c r="KVQ307" s="21"/>
      <c r="KVR307" s="21"/>
      <c r="KVS307" s="21"/>
      <c r="KVT307" s="21"/>
      <c r="KVU307" s="21"/>
      <c r="KVV307" s="21"/>
      <c r="KVW307" s="21"/>
      <c r="KVX307" s="21"/>
      <c r="KVY307" s="21"/>
      <c r="KVZ307" s="21"/>
      <c r="KWA307" s="21"/>
      <c r="KWB307" s="21"/>
      <c r="KWC307" s="21"/>
      <c r="KWD307" s="21"/>
      <c r="KWE307" s="21"/>
      <c r="KWF307" s="21"/>
      <c r="KWG307" s="21"/>
      <c r="KWH307" s="21"/>
      <c r="KWI307" s="21"/>
      <c r="KWJ307" s="21"/>
      <c r="KWK307" s="21"/>
      <c r="KWL307" s="21"/>
      <c r="KWM307" s="21"/>
      <c r="KWN307" s="21"/>
      <c r="KWO307" s="21"/>
      <c r="KWP307" s="21"/>
      <c r="KWQ307" s="21"/>
      <c r="KWR307" s="21"/>
      <c r="KWS307" s="21"/>
      <c r="KWT307" s="21"/>
      <c r="KWU307" s="21"/>
      <c r="KWV307" s="21"/>
      <c r="KWW307" s="21"/>
      <c r="KWX307" s="21"/>
      <c r="KWY307" s="21"/>
      <c r="KWZ307" s="21"/>
      <c r="KXA307" s="21"/>
      <c r="KXB307" s="21"/>
      <c r="KXC307" s="21"/>
      <c r="KXD307" s="21"/>
      <c r="KXE307" s="21"/>
      <c r="KXF307" s="21"/>
      <c r="KXG307" s="21"/>
      <c r="KXH307" s="21"/>
      <c r="KXI307" s="21"/>
      <c r="KXJ307" s="21"/>
      <c r="KXK307" s="21"/>
      <c r="KXL307" s="21"/>
      <c r="KXM307" s="21"/>
      <c r="KXN307" s="21"/>
      <c r="KXO307" s="21"/>
      <c r="KXP307" s="21"/>
      <c r="KXQ307" s="21"/>
      <c r="KXR307" s="21"/>
      <c r="KXS307" s="21"/>
      <c r="KXT307" s="21"/>
      <c r="KXU307" s="21"/>
      <c r="KXV307" s="21"/>
      <c r="KXW307" s="21"/>
      <c r="KXX307" s="21"/>
      <c r="KXY307" s="21"/>
      <c r="KXZ307" s="21"/>
      <c r="KYA307" s="21"/>
      <c r="KYB307" s="21"/>
      <c r="KYC307" s="21"/>
      <c r="KYD307" s="21"/>
      <c r="KYE307" s="21"/>
      <c r="KYF307" s="21"/>
      <c r="KYG307" s="21"/>
      <c r="KYH307" s="21"/>
      <c r="KYI307" s="21"/>
      <c r="KYJ307" s="21"/>
      <c r="KYK307" s="21"/>
      <c r="KYL307" s="21"/>
      <c r="KYM307" s="21"/>
      <c r="KYN307" s="21"/>
      <c r="KYO307" s="21"/>
      <c r="KYP307" s="21"/>
      <c r="KYQ307" s="21"/>
      <c r="KYR307" s="21"/>
      <c r="KYS307" s="21"/>
      <c r="KYT307" s="21"/>
      <c r="KYU307" s="21"/>
      <c r="KYV307" s="21"/>
      <c r="KYW307" s="21"/>
      <c r="KYX307" s="21"/>
      <c r="KYY307" s="21"/>
      <c r="KYZ307" s="21"/>
      <c r="KZA307" s="21"/>
      <c r="KZB307" s="21"/>
      <c r="KZC307" s="21"/>
      <c r="KZD307" s="21"/>
      <c r="KZE307" s="21"/>
      <c r="KZF307" s="21"/>
      <c r="KZG307" s="21"/>
      <c r="KZH307" s="21"/>
      <c r="KZI307" s="21"/>
      <c r="KZJ307" s="21"/>
      <c r="KZK307" s="21"/>
      <c r="KZL307" s="21"/>
      <c r="KZM307" s="21"/>
      <c r="KZN307" s="21"/>
      <c r="KZO307" s="21"/>
      <c r="KZP307" s="21"/>
      <c r="KZQ307" s="21"/>
      <c r="KZR307" s="21"/>
      <c r="KZS307" s="21"/>
      <c r="KZT307" s="21"/>
      <c r="KZU307" s="21"/>
      <c r="KZV307" s="21"/>
      <c r="KZW307" s="21"/>
      <c r="KZX307" s="21"/>
      <c r="KZY307" s="21"/>
      <c r="KZZ307" s="21"/>
      <c r="LAA307" s="21"/>
      <c r="LAB307" s="21"/>
      <c r="LAC307" s="21"/>
      <c r="LAD307" s="21"/>
      <c r="LAE307" s="21"/>
      <c r="LAF307" s="21"/>
      <c r="LAG307" s="21"/>
      <c r="LAH307" s="21"/>
      <c r="LAI307" s="21"/>
      <c r="LAJ307" s="21"/>
      <c r="LAK307" s="21"/>
      <c r="LAL307" s="21"/>
      <c r="LAM307" s="21"/>
      <c r="LAN307" s="21"/>
      <c r="LAO307" s="21"/>
      <c r="LAP307" s="21"/>
      <c r="LAQ307" s="21"/>
      <c r="LAR307" s="21"/>
      <c r="LAS307" s="21"/>
      <c r="LAT307" s="21"/>
      <c r="LAU307" s="21"/>
      <c r="LAV307" s="21"/>
      <c r="LAW307" s="21"/>
      <c r="LAX307" s="21"/>
      <c r="LAY307" s="21"/>
      <c r="LAZ307" s="21"/>
      <c r="LBA307" s="21"/>
      <c r="LBB307" s="21"/>
      <c r="LBC307" s="21"/>
      <c r="LBD307" s="21"/>
      <c r="LBE307" s="21"/>
      <c r="LBF307" s="21"/>
      <c r="LBG307" s="21"/>
      <c r="LBH307" s="21"/>
      <c r="LBI307" s="21"/>
      <c r="LBJ307" s="21"/>
      <c r="LBK307" s="21"/>
      <c r="LBL307" s="21"/>
      <c r="LBM307" s="21"/>
      <c r="LBN307" s="21"/>
      <c r="LBO307" s="21"/>
      <c r="LBP307" s="21"/>
      <c r="LBQ307" s="21"/>
      <c r="LBR307" s="21"/>
      <c r="LBS307" s="21"/>
      <c r="LBT307" s="21"/>
      <c r="LBU307" s="21"/>
      <c r="LBV307" s="21"/>
      <c r="LBW307" s="21"/>
      <c r="LBX307" s="21"/>
      <c r="LBY307" s="21"/>
      <c r="LBZ307" s="21"/>
      <c r="LCA307" s="21"/>
      <c r="LCB307" s="21"/>
      <c r="LCC307" s="21"/>
      <c r="LCD307" s="21"/>
      <c r="LCE307" s="21"/>
      <c r="LCF307" s="21"/>
      <c r="LCG307" s="21"/>
      <c r="LCH307" s="21"/>
      <c r="LCI307" s="21"/>
      <c r="LCJ307" s="21"/>
      <c r="LCK307" s="21"/>
      <c r="LCL307" s="21"/>
      <c r="LCM307" s="21"/>
      <c r="LCN307" s="21"/>
      <c r="LCO307" s="21"/>
      <c r="LCP307" s="21"/>
      <c r="LCQ307" s="21"/>
      <c r="LCR307" s="21"/>
      <c r="LCS307" s="21"/>
      <c r="LCT307" s="21"/>
      <c r="LCU307" s="21"/>
      <c r="LCV307" s="21"/>
      <c r="LCW307" s="21"/>
      <c r="LCX307" s="21"/>
      <c r="LCY307" s="21"/>
      <c r="LCZ307" s="21"/>
      <c r="LDA307" s="21"/>
      <c r="LDB307" s="21"/>
      <c r="LDC307" s="21"/>
      <c r="LDD307" s="21"/>
      <c r="LDE307" s="21"/>
      <c r="LDF307" s="21"/>
      <c r="LDG307" s="21"/>
      <c r="LDH307" s="21"/>
      <c r="LDI307" s="21"/>
      <c r="LDJ307" s="21"/>
      <c r="LDK307" s="21"/>
      <c r="LDL307" s="21"/>
      <c r="LDM307" s="21"/>
      <c r="LDN307" s="21"/>
      <c r="LDO307" s="21"/>
      <c r="LDP307" s="21"/>
      <c r="LDQ307" s="21"/>
      <c r="LDR307" s="21"/>
      <c r="LDS307" s="21"/>
      <c r="LDT307" s="21"/>
      <c r="LDU307" s="21"/>
      <c r="LDV307" s="21"/>
      <c r="LDW307" s="21"/>
      <c r="LDX307" s="21"/>
      <c r="LDY307" s="21"/>
      <c r="LDZ307" s="21"/>
      <c r="LEA307" s="21"/>
      <c r="LEB307" s="21"/>
      <c r="LEC307" s="21"/>
      <c r="LED307" s="21"/>
      <c r="LEE307" s="21"/>
      <c r="LEF307" s="21"/>
      <c r="LEG307" s="21"/>
      <c r="LEH307" s="21"/>
      <c r="LEI307" s="21"/>
      <c r="LEJ307" s="21"/>
      <c r="LEK307" s="21"/>
      <c r="LEL307" s="21"/>
      <c r="LEM307" s="21"/>
      <c r="LEN307" s="21"/>
      <c r="LEO307" s="21"/>
      <c r="LEP307" s="21"/>
      <c r="LEQ307" s="21"/>
      <c r="LER307" s="21"/>
      <c r="LES307" s="21"/>
      <c r="LET307" s="21"/>
      <c r="LEU307" s="21"/>
      <c r="LEV307" s="21"/>
      <c r="LEW307" s="21"/>
      <c r="LEX307" s="21"/>
      <c r="LEY307" s="21"/>
      <c r="LEZ307" s="21"/>
      <c r="LFA307" s="21"/>
      <c r="LFB307" s="21"/>
      <c r="LFC307" s="21"/>
      <c r="LFD307" s="21"/>
      <c r="LFE307" s="21"/>
      <c r="LFF307" s="21"/>
      <c r="LFG307" s="21"/>
      <c r="LFH307" s="21"/>
      <c r="LFI307" s="21"/>
      <c r="LFJ307" s="21"/>
      <c r="LFK307" s="21"/>
      <c r="LFL307" s="21"/>
      <c r="LFM307" s="21"/>
      <c r="LFN307" s="21"/>
      <c r="LFO307" s="21"/>
      <c r="LFP307" s="21"/>
      <c r="LFQ307" s="21"/>
      <c r="LFR307" s="21"/>
      <c r="LFS307" s="21"/>
      <c r="LFT307" s="21"/>
      <c r="LFU307" s="21"/>
      <c r="LFV307" s="21"/>
      <c r="LFW307" s="21"/>
      <c r="LFX307" s="21"/>
      <c r="LFY307" s="21"/>
      <c r="LFZ307" s="21"/>
      <c r="LGA307" s="21"/>
      <c r="LGB307" s="21"/>
      <c r="LGC307" s="21"/>
      <c r="LGD307" s="21"/>
      <c r="LGE307" s="21"/>
      <c r="LGF307" s="21"/>
      <c r="LGG307" s="21"/>
      <c r="LGH307" s="21"/>
      <c r="LGI307" s="21"/>
      <c r="LGJ307" s="21"/>
      <c r="LGK307" s="21"/>
      <c r="LGL307" s="21"/>
      <c r="LGM307" s="21"/>
      <c r="LGN307" s="21"/>
      <c r="LGO307" s="21"/>
      <c r="LGP307" s="21"/>
      <c r="LGQ307" s="21"/>
      <c r="LGR307" s="21"/>
      <c r="LGS307" s="21"/>
      <c r="LGT307" s="21"/>
      <c r="LGU307" s="21"/>
      <c r="LGV307" s="21"/>
      <c r="LGW307" s="21"/>
      <c r="LGX307" s="21"/>
      <c r="LGY307" s="21"/>
      <c r="LGZ307" s="21"/>
      <c r="LHA307" s="21"/>
      <c r="LHB307" s="21"/>
      <c r="LHC307" s="21"/>
      <c r="LHD307" s="21"/>
      <c r="LHE307" s="21"/>
      <c r="LHF307" s="21"/>
      <c r="LHG307" s="21"/>
      <c r="LHH307" s="21"/>
      <c r="LHI307" s="21"/>
      <c r="LHJ307" s="21"/>
      <c r="LHK307" s="21"/>
      <c r="LHL307" s="21"/>
      <c r="LHM307" s="21"/>
      <c r="LHN307" s="21"/>
      <c r="LHO307" s="21"/>
      <c r="LHP307" s="21"/>
      <c r="LHQ307" s="21"/>
      <c r="LHR307" s="21"/>
      <c r="LHS307" s="21"/>
      <c r="LHT307" s="21"/>
      <c r="LHU307" s="21"/>
      <c r="LHV307" s="21"/>
      <c r="LHW307" s="21"/>
      <c r="LHX307" s="21"/>
      <c r="LHY307" s="21"/>
      <c r="LHZ307" s="21"/>
      <c r="LIA307" s="21"/>
      <c r="LIB307" s="21"/>
      <c r="LIC307" s="21"/>
      <c r="LID307" s="21"/>
      <c r="LIE307" s="21"/>
      <c r="LIF307" s="21"/>
      <c r="LIG307" s="21"/>
      <c r="LIH307" s="21"/>
      <c r="LII307" s="21"/>
      <c r="LIJ307" s="21"/>
      <c r="LIK307" s="21"/>
      <c r="LIL307" s="21"/>
      <c r="LIM307" s="21"/>
      <c r="LIN307" s="21"/>
      <c r="LIO307" s="21"/>
      <c r="LIP307" s="21"/>
      <c r="LIQ307" s="21"/>
      <c r="LIR307" s="21"/>
      <c r="LIS307" s="21"/>
      <c r="LIT307" s="21"/>
      <c r="LIU307" s="21"/>
      <c r="LIV307" s="21"/>
      <c r="LIW307" s="21"/>
      <c r="LIX307" s="21"/>
      <c r="LIY307" s="21"/>
      <c r="LIZ307" s="21"/>
      <c r="LJA307" s="21"/>
      <c r="LJB307" s="21"/>
      <c r="LJC307" s="21"/>
      <c r="LJD307" s="21"/>
      <c r="LJE307" s="21"/>
      <c r="LJF307" s="21"/>
      <c r="LJG307" s="21"/>
      <c r="LJH307" s="21"/>
      <c r="LJI307" s="21"/>
      <c r="LJJ307" s="21"/>
      <c r="LJK307" s="21"/>
      <c r="LJL307" s="21"/>
      <c r="LJM307" s="21"/>
      <c r="LJN307" s="21"/>
      <c r="LJO307" s="21"/>
      <c r="LJP307" s="21"/>
      <c r="LJQ307" s="21"/>
      <c r="LJR307" s="21"/>
      <c r="LJS307" s="21"/>
      <c r="LJT307" s="21"/>
      <c r="LJU307" s="21"/>
      <c r="LJV307" s="21"/>
      <c r="LJW307" s="21"/>
      <c r="LJX307" s="21"/>
      <c r="LJY307" s="21"/>
      <c r="LJZ307" s="21"/>
      <c r="LKA307" s="21"/>
      <c r="LKB307" s="21"/>
      <c r="LKC307" s="21"/>
      <c r="LKD307" s="21"/>
      <c r="LKE307" s="21"/>
      <c r="LKF307" s="21"/>
      <c r="LKG307" s="21"/>
      <c r="LKH307" s="21"/>
      <c r="LKI307" s="21"/>
      <c r="LKJ307" s="21"/>
      <c r="LKK307" s="21"/>
      <c r="LKL307" s="21"/>
      <c r="LKM307" s="21"/>
      <c r="LKN307" s="21"/>
      <c r="LKO307" s="21"/>
      <c r="LKP307" s="21"/>
      <c r="LKQ307" s="21"/>
      <c r="LKR307" s="21"/>
      <c r="LKS307" s="21"/>
      <c r="LKT307" s="21"/>
      <c r="LKU307" s="21"/>
      <c r="LKV307" s="21"/>
      <c r="LKW307" s="21"/>
      <c r="LKX307" s="21"/>
      <c r="LKY307" s="21"/>
      <c r="LKZ307" s="21"/>
      <c r="LLA307" s="21"/>
      <c r="LLB307" s="21"/>
      <c r="LLC307" s="21"/>
      <c r="LLD307" s="21"/>
      <c r="LLE307" s="21"/>
      <c r="LLF307" s="21"/>
      <c r="LLG307" s="21"/>
      <c r="LLH307" s="21"/>
      <c r="LLI307" s="21"/>
      <c r="LLJ307" s="21"/>
      <c r="LLK307" s="21"/>
      <c r="LLL307" s="21"/>
      <c r="LLM307" s="21"/>
      <c r="LLN307" s="21"/>
      <c r="LLO307" s="21"/>
      <c r="LLP307" s="21"/>
      <c r="LLQ307" s="21"/>
      <c r="LLR307" s="21"/>
      <c r="LLS307" s="21"/>
      <c r="LLT307" s="21"/>
      <c r="LLU307" s="21"/>
      <c r="LLV307" s="21"/>
      <c r="LLW307" s="21"/>
      <c r="LLX307" s="21"/>
      <c r="LLY307" s="21"/>
      <c r="LLZ307" s="21"/>
      <c r="LMA307" s="21"/>
      <c r="LMB307" s="21"/>
      <c r="LMC307" s="21"/>
      <c r="LMD307" s="21"/>
      <c r="LME307" s="21"/>
      <c r="LMF307" s="21"/>
      <c r="LMG307" s="21"/>
      <c r="LMH307" s="21"/>
      <c r="LMI307" s="21"/>
      <c r="LMJ307" s="21"/>
      <c r="LMK307" s="21"/>
      <c r="LML307" s="21"/>
      <c r="LMM307" s="21"/>
      <c r="LMN307" s="21"/>
      <c r="LMO307" s="21"/>
      <c r="LMP307" s="21"/>
      <c r="LMQ307" s="21"/>
      <c r="LMR307" s="21"/>
      <c r="LMS307" s="21"/>
      <c r="LMT307" s="21"/>
      <c r="LMU307" s="21"/>
      <c r="LMV307" s="21"/>
      <c r="LMW307" s="21"/>
      <c r="LMX307" s="21"/>
      <c r="LMY307" s="21"/>
      <c r="LMZ307" s="21"/>
      <c r="LNA307" s="21"/>
      <c r="LNB307" s="21"/>
      <c r="LNC307" s="21"/>
      <c r="LND307" s="21"/>
      <c r="LNE307" s="21"/>
      <c r="LNF307" s="21"/>
      <c r="LNG307" s="21"/>
      <c r="LNH307" s="21"/>
      <c r="LNI307" s="21"/>
      <c r="LNJ307" s="21"/>
      <c r="LNK307" s="21"/>
      <c r="LNL307" s="21"/>
      <c r="LNM307" s="21"/>
      <c r="LNN307" s="21"/>
      <c r="LNO307" s="21"/>
      <c r="LNP307" s="21"/>
      <c r="LNQ307" s="21"/>
      <c r="LNR307" s="21"/>
      <c r="LNS307" s="21"/>
      <c r="LNT307" s="21"/>
      <c r="LNU307" s="21"/>
      <c r="LNV307" s="21"/>
      <c r="LNW307" s="21"/>
      <c r="LNX307" s="21"/>
      <c r="LNY307" s="21"/>
      <c r="LNZ307" s="21"/>
      <c r="LOA307" s="21"/>
      <c r="LOB307" s="21"/>
      <c r="LOC307" s="21"/>
      <c r="LOD307" s="21"/>
      <c r="LOE307" s="21"/>
      <c r="LOF307" s="21"/>
      <c r="LOG307" s="21"/>
      <c r="LOH307" s="21"/>
      <c r="LOI307" s="21"/>
      <c r="LOJ307" s="21"/>
      <c r="LOK307" s="21"/>
      <c r="LOL307" s="21"/>
      <c r="LOM307" s="21"/>
      <c r="LON307" s="21"/>
      <c r="LOO307" s="21"/>
      <c r="LOP307" s="21"/>
      <c r="LOQ307" s="21"/>
      <c r="LOR307" s="21"/>
      <c r="LOS307" s="21"/>
      <c r="LOT307" s="21"/>
      <c r="LOU307" s="21"/>
      <c r="LOV307" s="21"/>
      <c r="LOW307" s="21"/>
      <c r="LOX307" s="21"/>
      <c r="LOY307" s="21"/>
      <c r="LOZ307" s="21"/>
      <c r="LPA307" s="21"/>
      <c r="LPB307" s="21"/>
      <c r="LPC307" s="21"/>
      <c r="LPD307" s="21"/>
      <c r="LPE307" s="21"/>
      <c r="LPF307" s="21"/>
      <c r="LPG307" s="21"/>
      <c r="LPH307" s="21"/>
      <c r="LPI307" s="21"/>
      <c r="LPJ307" s="21"/>
      <c r="LPK307" s="21"/>
      <c r="LPL307" s="21"/>
      <c r="LPM307" s="21"/>
      <c r="LPN307" s="21"/>
      <c r="LPO307" s="21"/>
      <c r="LPP307" s="21"/>
      <c r="LPQ307" s="21"/>
      <c r="LPR307" s="21"/>
      <c r="LPS307" s="21"/>
      <c r="LPT307" s="21"/>
      <c r="LPU307" s="21"/>
      <c r="LPV307" s="21"/>
      <c r="LPW307" s="21"/>
      <c r="LPX307" s="21"/>
      <c r="LPY307" s="21"/>
      <c r="LPZ307" s="21"/>
      <c r="LQA307" s="21"/>
      <c r="LQB307" s="21"/>
      <c r="LQC307" s="21"/>
      <c r="LQD307" s="21"/>
      <c r="LQE307" s="21"/>
      <c r="LQF307" s="21"/>
      <c r="LQG307" s="21"/>
      <c r="LQH307" s="21"/>
      <c r="LQI307" s="21"/>
      <c r="LQJ307" s="21"/>
      <c r="LQK307" s="21"/>
      <c r="LQL307" s="21"/>
      <c r="LQM307" s="21"/>
      <c r="LQN307" s="21"/>
      <c r="LQO307" s="21"/>
      <c r="LQP307" s="21"/>
      <c r="LQQ307" s="21"/>
      <c r="LQR307" s="21"/>
      <c r="LQS307" s="21"/>
      <c r="LQT307" s="21"/>
      <c r="LQU307" s="21"/>
      <c r="LQV307" s="21"/>
      <c r="LQW307" s="21"/>
      <c r="LQX307" s="21"/>
      <c r="LQY307" s="21"/>
      <c r="LQZ307" s="21"/>
      <c r="LRA307" s="21"/>
      <c r="LRB307" s="21"/>
      <c r="LRC307" s="21"/>
      <c r="LRD307" s="21"/>
      <c r="LRE307" s="21"/>
      <c r="LRF307" s="21"/>
      <c r="LRG307" s="21"/>
      <c r="LRH307" s="21"/>
      <c r="LRI307" s="21"/>
      <c r="LRJ307" s="21"/>
      <c r="LRK307" s="21"/>
      <c r="LRL307" s="21"/>
      <c r="LRM307" s="21"/>
      <c r="LRN307" s="21"/>
      <c r="LRO307" s="21"/>
      <c r="LRP307" s="21"/>
      <c r="LRQ307" s="21"/>
      <c r="LRR307" s="21"/>
      <c r="LRS307" s="21"/>
      <c r="LRT307" s="21"/>
      <c r="LRU307" s="21"/>
      <c r="LRV307" s="21"/>
      <c r="LRW307" s="21"/>
      <c r="LRX307" s="21"/>
      <c r="LRY307" s="21"/>
      <c r="LRZ307" s="21"/>
      <c r="LSA307" s="21"/>
      <c r="LSB307" s="21"/>
      <c r="LSC307" s="21"/>
      <c r="LSD307" s="21"/>
      <c r="LSE307" s="21"/>
      <c r="LSF307" s="21"/>
      <c r="LSG307" s="21"/>
      <c r="LSH307" s="21"/>
      <c r="LSI307" s="21"/>
      <c r="LSJ307" s="21"/>
      <c r="LSK307" s="21"/>
      <c r="LSL307" s="21"/>
      <c r="LSM307" s="21"/>
      <c r="LSN307" s="21"/>
      <c r="LSO307" s="21"/>
      <c r="LSP307" s="21"/>
      <c r="LSQ307" s="21"/>
      <c r="LSR307" s="21"/>
      <c r="LSS307" s="21"/>
      <c r="LST307" s="21"/>
      <c r="LSU307" s="21"/>
      <c r="LSV307" s="21"/>
      <c r="LSW307" s="21"/>
      <c r="LSX307" s="21"/>
      <c r="LSY307" s="21"/>
      <c r="LSZ307" s="21"/>
      <c r="LTA307" s="21"/>
      <c r="LTB307" s="21"/>
      <c r="LTC307" s="21"/>
      <c r="LTD307" s="21"/>
      <c r="LTE307" s="21"/>
      <c r="LTF307" s="21"/>
      <c r="LTG307" s="21"/>
      <c r="LTH307" s="21"/>
      <c r="LTI307" s="21"/>
      <c r="LTJ307" s="21"/>
      <c r="LTK307" s="21"/>
      <c r="LTL307" s="21"/>
      <c r="LTM307" s="21"/>
      <c r="LTN307" s="21"/>
      <c r="LTO307" s="21"/>
      <c r="LTP307" s="21"/>
      <c r="LTQ307" s="21"/>
      <c r="LTR307" s="21"/>
      <c r="LTS307" s="21"/>
      <c r="LTT307" s="21"/>
      <c r="LTU307" s="21"/>
      <c r="LTV307" s="21"/>
      <c r="LTW307" s="21"/>
      <c r="LTX307" s="21"/>
      <c r="LTY307" s="21"/>
      <c r="LTZ307" s="21"/>
      <c r="LUA307" s="21"/>
      <c r="LUB307" s="21"/>
      <c r="LUC307" s="21"/>
      <c r="LUD307" s="21"/>
      <c r="LUE307" s="21"/>
      <c r="LUF307" s="21"/>
      <c r="LUG307" s="21"/>
      <c r="LUH307" s="21"/>
      <c r="LUI307" s="21"/>
      <c r="LUJ307" s="21"/>
      <c r="LUK307" s="21"/>
      <c r="LUL307" s="21"/>
      <c r="LUM307" s="21"/>
      <c r="LUN307" s="21"/>
      <c r="LUO307" s="21"/>
      <c r="LUP307" s="21"/>
      <c r="LUQ307" s="21"/>
      <c r="LUR307" s="21"/>
      <c r="LUS307" s="21"/>
      <c r="LUT307" s="21"/>
      <c r="LUU307" s="21"/>
      <c r="LUV307" s="21"/>
      <c r="LUW307" s="21"/>
      <c r="LUX307" s="21"/>
      <c r="LUY307" s="21"/>
      <c r="LUZ307" s="21"/>
      <c r="LVA307" s="21"/>
      <c r="LVB307" s="21"/>
      <c r="LVC307" s="21"/>
      <c r="LVD307" s="21"/>
      <c r="LVE307" s="21"/>
      <c r="LVF307" s="21"/>
      <c r="LVG307" s="21"/>
      <c r="LVH307" s="21"/>
      <c r="LVI307" s="21"/>
      <c r="LVJ307" s="21"/>
      <c r="LVK307" s="21"/>
      <c r="LVL307" s="21"/>
      <c r="LVM307" s="21"/>
      <c r="LVN307" s="21"/>
      <c r="LVO307" s="21"/>
      <c r="LVP307" s="21"/>
      <c r="LVQ307" s="21"/>
      <c r="LVR307" s="21"/>
      <c r="LVS307" s="21"/>
      <c r="LVT307" s="21"/>
      <c r="LVU307" s="21"/>
      <c r="LVV307" s="21"/>
      <c r="LVW307" s="21"/>
      <c r="LVX307" s="21"/>
      <c r="LVY307" s="21"/>
      <c r="LVZ307" s="21"/>
      <c r="LWA307" s="21"/>
      <c r="LWB307" s="21"/>
      <c r="LWC307" s="21"/>
      <c r="LWD307" s="21"/>
      <c r="LWE307" s="21"/>
      <c r="LWF307" s="21"/>
      <c r="LWG307" s="21"/>
      <c r="LWH307" s="21"/>
      <c r="LWI307" s="21"/>
      <c r="LWJ307" s="21"/>
      <c r="LWK307" s="21"/>
      <c r="LWL307" s="21"/>
      <c r="LWM307" s="21"/>
      <c r="LWN307" s="21"/>
      <c r="LWO307" s="21"/>
      <c r="LWP307" s="21"/>
      <c r="LWQ307" s="21"/>
      <c r="LWR307" s="21"/>
      <c r="LWS307" s="21"/>
      <c r="LWT307" s="21"/>
      <c r="LWU307" s="21"/>
      <c r="LWV307" s="21"/>
      <c r="LWW307" s="21"/>
      <c r="LWX307" s="21"/>
      <c r="LWY307" s="21"/>
      <c r="LWZ307" s="21"/>
      <c r="LXA307" s="21"/>
      <c r="LXB307" s="21"/>
      <c r="LXC307" s="21"/>
      <c r="LXD307" s="21"/>
      <c r="LXE307" s="21"/>
      <c r="LXF307" s="21"/>
      <c r="LXG307" s="21"/>
      <c r="LXH307" s="21"/>
      <c r="LXI307" s="21"/>
      <c r="LXJ307" s="21"/>
      <c r="LXK307" s="21"/>
      <c r="LXL307" s="21"/>
      <c r="LXM307" s="21"/>
      <c r="LXN307" s="21"/>
      <c r="LXO307" s="21"/>
      <c r="LXP307" s="21"/>
      <c r="LXQ307" s="21"/>
      <c r="LXR307" s="21"/>
      <c r="LXS307" s="21"/>
      <c r="LXT307" s="21"/>
      <c r="LXU307" s="21"/>
      <c r="LXV307" s="21"/>
      <c r="LXW307" s="21"/>
      <c r="LXX307" s="21"/>
      <c r="LXY307" s="21"/>
      <c r="LXZ307" s="21"/>
      <c r="LYA307" s="21"/>
      <c r="LYB307" s="21"/>
      <c r="LYC307" s="21"/>
      <c r="LYD307" s="21"/>
      <c r="LYE307" s="21"/>
      <c r="LYF307" s="21"/>
      <c r="LYG307" s="21"/>
      <c r="LYH307" s="21"/>
      <c r="LYI307" s="21"/>
      <c r="LYJ307" s="21"/>
      <c r="LYK307" s="21"/>
      <c r="LYL307" s="21"/>
      <c r="LYM307" s="21"/>
      <c r="LYN307" s="21"/>
      <c r="LYO307" s="21"/>
      <c r="LYP307" s="21"/>
      <c r="LYQ307" s="21"/>
      <c r="LYR307" s="21"/>
      <c r="LYS307" s="21"/>
      <c r="LYT307" s="21"/>
      <c r="LYU307" s="21"/>
      <c r="LYV307" s="21"/>
      <c r="LYW307" s="21"/>
      <c r="LYX307" s="21"/>
      <c r="LYY307" s="21"/>
      <c r="LYZ307" s="21"/>
      <c r="LZA307" s="21"/>
      <c r="LZB307" s="21"/>
      <c r="LZC307" s="21"/>
      <c r="LZD307" s="21"/>
      <c r="LZE307" s="21"/>
      <c r="LZF307" s="21"/>
      <c r="LZG307" s="21"/>
      <c r="LZH307" s="21"/>
      <c r="LZI307" s="21"/>
      <c r="LZJ307" s="21"/>
      <c r="LZK307" s="21"/>
      <c r="LZL307" s="21"/>
      <c r="LZM307" s="21"/>
      <c r="LZN307" s="21"/>
      <c r="LZO307" s="21"/>
      <c r="LZP307" s="21"/>
      <c r="LZQ307" s="21"/>
      <c r="LZR307" s="21"/>
      <c r="LZS307" s="21"/>
      <c r="LZT307" s="21"/>
      <c r="LZU307" s="21"/>
      <c r="LZV307" s="21"/>
      <c r="LZW307" s="21"/>
      <c r="LZX307" s="21"/>
      <c r="LZY307" s="21"/>
      <c r="LZZ307" s="21"/>
      <c r="MAA307" s="21"/>
      <c r="MAB307" s="21"/>
      <c r="MAC307" s="21"/>
      <c r="MAD307" s="21"/>
      <c r="MAE307" s="21"/>
      <c r="MAF307" s="21"/>
      <c r="MAG307" s="21"/>
      <c r="MAH307" s="21"/>
      <c r="MAI307" s="21"/>
      <c r="MAJ307" s="21"/>
      <c r="MAK307" s="21"/>
      <c r="MAL307" s="21"/>
      <c r="MAM307" s="21"/>
      <c r="MAN307" s="21"/>
      <c r="MAO307" s="21"/>
      <c r="MAP307" s="21"/>
      <c r="MAQ307" s="21"/>
      <c r="MAR307" s="21"/>
      <c r="MAS307" s="21"/>
      <c r="MAT307" s="21"/>
      <c r="MAU307" s="21"/>
      <c r="MAV307" s="21"/>
      <c r="MAW307" s="21"/>
      <c r="MAX307" s="21"/>
      <c r="MAY307" s="21"/>
      <c r="MAZ307" s="21"/>
      <c r="MBA307" s="21"/>
      <c r="MBB307" s="21"/>
      <c r="MBC307" s="21"/>
      <c r="MBD307" s="21"/>
      <c r="MBE307" s="21"/>
      <c r="MBF307" s="21"/>
      <c r="MBG307" s="21"/>
      <c r="MBH307" s="21"/>
      <c r="MBI307" s="21"/>
      <c r="MBJ307" s="21"/>
      <c r="MBK307" s="21"/>
      <c r="MBL307" s="21"/>
      <c r="MBM307" s="21"/>
      <c r="MBN307" s="21"/>
      <c r="MBO307" s="21"/>
      <c r="MBP307" s="21"/>
      <c r="MBQ307" s="21"/>
      <c r="MBR307" s="21"/>
      <c r="MBS307" s="21"/>
      <c r="MBT307" s="21"/>
      <c r="MBU307" s="21"/>
      <c r="MBV307" s="21"/>
      <c r="MBW307" s="21"/>
      <c r="MBX307" s="21"/>
      <c r="MBY307" s="21"/>
      <c r="MBZ307" s="21"/>
      <c r="MCA307" s="21"/>
      <c r="MCB307" s="21"/>
      <c r="MCC307" s="21"/>
      <c r="MCD307" s="21"/>
      <c r="MCE307" s="21"/>
      <c r="MCF307" s="21"/>
      <c r="MCG307" s="21"/>
      <c r="MCH307" s="21"/>
      <c r="MCI307" s="21"/>
      <c r="MCJ307" s="21"/>
      <c r="MCK307" s="21"/>
      <c r="MCL307" s="21"/>
      <c r="MCM307" s="21"/>
      <c r="MCN307" s="21"/>
      <c r="MCO307" s="21"/>
      <c r="MCP307" s="21"/>
      <c r="MCQ307" s="21"/>
      <c r="MCR307" s="21"/>
      <c r="MCS307" s="21"/>
      <c r="MCT307" s="21"/>
      <c r="MCU307" s="21"/>
      <c r="MCV307" s="21"/>
      <c r="MCW307" s="21"/>
      <c r="MCX307" s="21"/>
      <c r="MCY307" s="21"/>
      <c r="MCZ307" s="21"/>
      <c r="MDA307" s="21"/>
      <c r="MDB307" s="21"/>
      <c r="MDC307" s="21"/>
      <c r="MDD307" s="21"/>
      <c r="MDE307" s="21"/>
      <c r="MDF307" s="21"/>
      <c r="MDG307" s="21"/>
      <c r="MDH307" s="21"/>
      <c r="MDI307" s="21"/>
      <c r="MDJ307" s="21"/>
      <c r="MDK307" s="21"/>
      <c r="MDL307" s="21"/>
      <c r="MDM307" s="21"/>
      <c r="MDN307" s="21"/>
      <c r="MDO307" s="21"/>
      <c r="MDP307" s="21"/>
      <c r="MDQ307" s="21"/>
      <c r="MDR307" s="21"/>
      <c r="MDS307" s="21"/>
      <c r="MDT307" s="21"/>
      <c r="MDU307" s="21"/>
      <c r="MDV307" s="21"/>
      <c r="MDW307" s="21"/>
      <c r="MDX307" s="21"/>
      <c r="MDY307" s="21"/>
      <c r="MDZ307" s="21"/>
      <c r="MEA307" s="21"/>
      <c r="MEB307" s="21"/>
      <c r="MEC307" s="21"/>
      <c r="MED307" s="21"/>
      <c r="MEE307" s="21"/>
      <c r="MEF307" s="21"/>
      <c r="MEG307" s="21"/>
      <c r="MEH307" s="21"/>
      <c r="MEI307" s="21"/>
      <c r="MEJ307" s="21"/>
      <c r="MEK307" s="21"/>
      <c r="MEL307" s="21"/>
      <c r="MEM307" s="21"/>
      <c r="MEN307" s="21"/>
      <c r="MEO307" s="21"/>
      <c r="MEP307" s="21"/>
      <c r="MEQ307" s="21"/>
      <c r="MER307" s="21"/>
      <c r="MES307" s="21"/>
      <c r="MET307" s="21"/>
      <c r="MEU307" s="21"/>
      <c r="MEV307" s="21"/>
      <c r="MEW307" s="21"/>
      <c r="MEX307" s="21"/>
      <c r="MEY307" s="21"/>
      <c r="MEZ307" s="21"/>
      <c r="MFA307" s="21"/>
      <c r="MFB307" s="21"/>
      <c r="MFC307" s="21"/>
      <c r="MFD307" s="21"/>
      <c r="MFE307" s="21"/>
      <c r="MFF307" s="21"/>
      <c r="MFG307" s="21"/>
      <c r="MFH307" s="21"/>
      <c r="MFI307" s="21"/>
      <c r="MFJ307" s="21"/>
      <c r="MFK307" s="21"/>
      <c r="MFL307" s="21"/>
      <c r="MFM307" s="21"/>
      <c r="MFN307" s="21"/>
      <c r="MFO307" s="21"/>
      <c r="MFP307" s="21"/>
      <c r="MFQ307" s="21"/>
      <c r="MFR307" s="21"/>
      <c r="MFS307" s="21"/>
      <c r="MFT307" s="21"/>
      <c r="MFU307" s="21"/>
      <c r="MFV307" s="21"/>
      <c r="MFW307" s="21"/>
      <c r="MFX307" s="21"/>
      <c r="MFY307" s="21"/>
      <c r="MFZ307" s="21"/>
      <c r="MGA307" s="21"/>
      <c r="MGB307" s="21"/>
      <c r="MGC307" s="21"/>
      <c r="MGD307" s="21"/>
      <c r="MGE307" s="21"/>
      <c r="MGF307" s="21"/>
      <c r="MGG307" s="21"/>
      <c r="MGH307" s="21"/>
      <c r="MGI307" s="21"/>
      <c r="MGJ307" s="21"/>
      <c r="MGK307" s="21"/>
      <c r="MGL307" s="21"/>
      <c r="MGM307" s="21"/>
      <c r="MGN307" s="21"/>
      <c r="MGO307" s="21"/>
      <c r="MGP307" s="21"/>
      <c r="MGQ307" s="21"/>
      <c r="MGR307" s="21"/>
      <c r="MGS307" s="21"/>
      <c r="MGT307" s="21"/>
      <c r="MGU307" s="21"/>
      <c r="MGV307" s="21"/>
      <c r="MGW307" s="21"/>
      <c r="MGX307" s="21"/>
      <c r="MGY307" s="21"/>
      <c r="MGZ307" s="21"/>
      <c r="MHA307" s="21"/>
      <c r="MHB307" s="21"/>
      <c r="MHC307" s="21"/>
      <c r="MHD307" s="21"/>
      <c r="MHE307" s="21"/>
      <c r="MHF307" s="21"/>
      <c r="MHG307" s="21"/>
      <c r="MHH307" s="21"/>
      <c r="MHI307" s="21"/>
      <c r="MHJ307" s="21"/>
      <c r="MHK307" s="21"/>
      <c r="MHL307" s="21"/>
      <c r="MHM307" s="21"/>
      <c r="MHN307" s="21"/>
      <c r="MHO307" s="21"/>
      <c r="MHP307" s="21"/>
      <c r="MHQ307" s="21"/>
      <c r="MHR307" s="21"/>
      <c r="MHS307" s="21"/>
      <c r="MHT307" s="21"/>
      <c r="MHU307" s="21"/>
      <c r="MHV307" s="21"/>
      <c r="MHW307" s="21"/>
      <c r="MHX307" s="21"/>
      <c r="MHY307" s="21"/>
      <c r="MHZ307" s="21"/>
      <c r="MIA307" s="21"/>
      <c r="MIB307" s="21"/>
      <c r="MIC307" s="21"/>
      <c r="MID307" s="21"/>
      <c r="MIE307" s="21"/>
      <c r="MIF307" s="21"/>
      <c r="MIG307" s="21"/>
      <c r="MIH307" s="21"/>
      <c r="MII307" s="21"/>
      <c r="MIJ307" s="21"/>
      <c r="MIK307" s="21"/>
      <c r="MIL307" s="21"/>
      <c r="MIM307" s="21"/>
      <c r="MIN307" s="21"/>
      <c r="MIO307" s="21"/>
      <c r="MIP307" s="21"/>
      <c r="MIQ307" s="21"/>
      <c r="MIR307" s="21"/>
      <c r="MIS307" s="21"/>
      <c r="MIT307" s="21"/>
      <c r="MIU307" s="21"/>
      <c r="MIV307" s="21"/>
      <c r="MIW307" s="21"/>
      <c r="MIX307" s="21"/>
      <c r="MIY307" s="21"/>
      <c r="MIZ307" s="21"/>
      <c r="MJA307" s="21"/>
      <c r="MJB307" s="21"/>
      <c r="MJC307" s="21"/>
      <c r="MJD307" s="21"/>
      <c r="MJE307" s="21"/>
      <c r="MJF307" s="21"/>
      <c r="MJG307" s="21"/>
      <c r="MJH307" s="21"/>
      <c r="MJI307" s="21"/>
      <c r="MJJ307" s="21"/>
      <c r="MJK307" s="21"/>
      <c r="MJL307" s="21"/>
      <c r="MJM307" s="21"/>
      <c r="MJN307" s="21"/>
      <c r="MJO307" s="21"/>
      <c r="MJP307" s="21"/>
      <c r="MJQ307" s="21"/>
      <c r="MJR307" s="21"/>
      <c r="MJS307" s="21"/>
      <c r="MJT307" s="21"/>
      <c r="MJU307" s="21"/>
      <c r="MJV307" s="21"/>
      <c r="MJW307" s="21"/>
      <c r="MJX307" s="21"/>
      <c r="MJY307" s="21"/>
      <c r="MJZ307" s="21"/>
      <c r="MKA307" s="21"/>
      <c r="MKB307" s="21"/>
      <c r="MKC307" s="21"/>
      <c r="MKD307" s="21"/>
      <c r="MKE307" s="21"/>
      <c r="MKF307" s="21"/>
      <c r="MKG307" s="21"/>
      <c r="MKH307" s="21"/>
      <c r="MKI307" s="21"/>
      <c r="MKJ307" s="21"/>
      <c r="MKK307" s="21"/>
      <c r="MKL307" s="21"/>
      <c r="MKM307" s="21"/>
      <c r="MKN307" s="21"/>
      <c r="MKO307" s="21"/>
      <c r="MKP307" s="21"/>
      <c r="MKQ307" s="21"/>
      <c r="MKR307" s="21"/>
      <c r="MKS307" s="21"/>
      <c r="MKT307" s="21"/>
      <c r="MKU307" s="21"/>
      <c r="MKV307" s="21"/>
      <c r="MKW307" s="21"/>
      <c r="MKX307" s="21"/>
      <c r="MKY307" s="21"/>
      <c r="MKZ307" s="21"/>
      <c r="MLA307" s="21"/>
      <c r="MLB307" s="21"/>
      <c r="MLC307" s="21"/>
      <c r="MLD307" s="21"/>
      <c r="MLE307" s="21"/>
      <c r="MLF307" s="21"/>
      <c r="MLG307" s="21"/>
      <c r="MLH307" s="21"/>
      <c r="MLI307" s="21"/>
      <c r="MLJ307" s="21"/>
      <c r="MLK307" s="21"/>
      <c r="MLL307" s="21"/>
      <c r="MLM307" s="21"/>
      <c r="MLN307" s="21"/>
      <c r="MLO307" s="21"/>
      <c r="MLP307" s="21"/>
      <c r="MLQ307" s="21"/>
      <c r="MLR307" s="21"/>
      <c r="MLS307" s="21"/>
      <c r="MLT307" s="21"/>
      <c r="MLU307" s="21"/>
      <c r="MLV307" s="21"/>
      <c r="MLW307" s="21"/>
      <c r="MLX307" s="21"/>
      <c r="MLY307" s="21"/>
      <c r="MLZ307" s="21"/>
      <c r="MMA307" s="21"/>
      <c r="MMB307" s="21"/>
      <c r="MMC307" s="21"/>
      <c r="MMD307" s="21"/>
      <c r="MME307" s="21"/>
      <c r="MMF307" s="21"/>
      <c r="MMG307" s="21"/>
      <c r="MMH307" s="21"/>
      <c r="MMI307" s="21"/>
      <c r="MMJ307" s="21"/>
      <c r="MMK307" s="21"/>
      <c r="MML307" s="21"/>
      <c r="MMM307" s="21"/>
      <c r="MMN307" s="21"/>
      <c r="MMO307" s="21"/>
      <c r="MMP307" s="21"/>
      <c r="MMQ307" s="21"/>
      <c r="MMR307" s="21"/>
      <c r="MMS307" s="21"/>
      <c r="MMT307" s="21"/>
      <c r="MMU307" s="21"/>
      <c r="MMV307" s="21"/>
      <c r="MMW307" s="21"/>
      <c r="MMX307" s="21"/>
      <c r="MMY307" s="21"/>
      <c r="MMZ307" s="21"/>
      <c r="MNA307" s="21"/>
      <c r="MNB307" s="21"/>
      <c r="MNC307" s="21"/>
      <c r="MND307" s="21"/>
      <c r="MNE307" s="21"/>
      <c r="MNF307" s="21"/>
      <c r="MNG307" s="21"/>
      <c r="MNH307" s="21"/>
      <c r="MNI307" s="21"/>
      <c r="MNJ307" s="21"/>
      <c r="MNK307" s="21"/>
      <c r="MNL307" s="21"/>
      <c r="MNM307" s="21"/>
      <c r="MNN307" s="21"/>
      <c r="MNO307" s="21"/>
      <c r="MNP307" s="21"/>
      <c r="MNQ307" s="21"/>
      <c r="MNR307" s="21"/>
      <c r="MNS307" s="21"/>
      <c r="MNT307" s="21"/>
      <c r="MNU307" s="21"/>
      <c r="MNV307" s="21"/>
      <c r="MNW307" s="21"/>
      <c r="MNX307" s="21"/>
      <c r="MNY307" s="21"/>
      <c r="MNZ307" s="21"/>
      <c r="MOA307" s="21"/>
      <c r="MOB307" s="21"/>
      <c r="MOC307" s="21"/>
      <c r="MOD307" s="21"/>
      <c r="MOE307" s="21"/>
      <c r="MOF307" s="21"/>
      <c r="MOG307" s="21"/>
      <c r="MOH307" s="21"/>
      <c r="MOI307" s="21"/>
      <c r="MOJ307" s="21"/>
      <c r="MOK307" s="21"/>
      <c r="MOL307" s="21"/>
      <c r="MOM307" s="21"/>
      <c r="MON307" s="21"/>
      <c r="MOO307" s="21"/>
      <c r="MOP307" s="21"/>
      <c r="MOQ307" s="21"/>
      <c r="MOR307" s="21"/>
      <c r="MOS307" s="21"/>
      <c r="MOT307" s="21"/>
      <c r="MOU307" s="21"/>
      <c r="MOV307" s="21"/>
      <c r="MOW307" s="21"/>
      <c r="MOX307" s="21"/>
      <c r="MOY307" s="21"/>
      <c r="MOZ307" s="21"/>
      <c r="MPA307" s="21"/>
      <c r="MPB307" s="21"/>
      <c r="MPC307" s="21"/>
      <c r="MPD307" s="21"/>
      <c r="MPE307" s="21"/>
      <c r="MPF307" s="21"/>
      <c r="MPG307" s="21"/>
      <c r="MPH307" s="21"/>
      <c r="MPI307" s="21"/>
      <c r="MPJ307" s="21"/>
      <c r="MPK307" s="21"/>
      <c r="MPL307" s="21"/>
      <c r="MPM307" s="21"/>
      <c r="MPN307" s="21"/>
      <c r="MPO307" s="21"/>
      <c r="MPP307" s="21"/>
      <c r="MPQ307" s="21"/>
      <c r="MPR307" s="21"/>
      <c r="MPS307" s="21"/>
      <c r="MPT307" s="21"/>
      <c r="MPU307" s="21"/>
      <c r="MPV307" s="21"/>
      <c r="MPW307" s="21"/>
      <c r="MPX307" s="21"/>
      <c r="MPY307" s="21"/>
      <c r="MPZ307" s="21"/>
      <c r="MQA307" s="21"/>
      <c r="MQB307" s="21"/>
      <c r="MQC307" s="21"/>
      <c r="MQD307" s="21"/>
      <c r="MQE307" s="21"/>
      <c r="MQF307" s="21"/>
      <c r="MQG307" s="21"/>
      <c r="MQH307" s="21"/>
      <c r="MQI307" s="21"/>
      <c r="MQJ307" s="21"/>
      <c r="MQK307" s="21"/>
      <c r="MQL307" s="21"/>
      <c r="MQM307" s="21"/>
      <c r="MQN307" s="21"/>
      <c r="MQO307" s="21"/>
      <c r="MQP307" s="21"/>
      <c r="MQQ307" s="21"/>
      <c r="MQR307" s="21"/>
      <c r="MQS307" s="21"/>
      <c r="MQT307" s="21"/>
      <c r="MQU307" s="21"/>
      <c r="MQV307" s="21"/>
      <c r="MQW307" s="21"/>
      <c r="MQX307" s="21"/>
      <c r="MQY307" s="21"/>
      <c r="MQZ307" s="21"/>
      <c r="MRA307" s="21"/>
      <c r="MRB307" s="21"/>
      <c r="MRC307" s="21"/>
      <c r="MRD307" s="21"/>
      <c r="MRE307" s="21"/>
      <c r="MRF307" s="21"/>
      <c r="MRG307" s="21"/>
      <c r="MRH307" s="21"/>
      <c r="MRI307" s="21"/>
      <c r="MRJ307" s="21"/>
      <c r="MRK307" s="21"/>
      <c r="MRL307" s="21"/>
      <c r="MRM307" s="21"/>
      <c r="MRN307" s="21"/>
      <c r="MRO307" s="21"/>
      <c r="MRP307" s="21"/>
      <c r="MRQ307" s="21"/>
      <c r="MRR307" s="21"/>
      <c r="MRS307" s="21"/>
      <c r="MRT307" s="21"/>
      <c r="MRU307" s="21"/>
      <c r="MRV307" s="21"/>
      <c r="MRW307" s="21"/>
      <c r="MRX307" s="21"/>
      <c r="MRY307" s="21"/>
      <c r="MRZ307" s="21"/>
      <c r="MSA307" s="21"/>
      <c r="MSB307" s="21"/>
      <c r="MSC307" s="21"/>
      <c r="MSD307" s="21"/>
      <c r="MSE307" s="21"/>
      <c r="MSF307" s="21"/>
      <c r="MSG307" s="21"/>
      <c r="MSH307" s="21"/>
      <c r="MSI307" s="21"/>
      <c r="MSJ307" s="21"/>
      <c r="MSK307" s="21"/>
      <c r="MSL307" s="21"/>
      <c r="MSM307" s="21"/>
      <c r="MSN307" s="21"/>
      <c r="MSO307" s="21"/>
      <c r="MSP307" s="21"/>
      <c r="MSQ307" s="21"/>
      <c r="MSR307" s="21"/>
      <c r="MSS307" s="21"/>
      <c r="MST307" s="21"/>
      <c r="MSU307" s="21"/>
      <c r="MSV307" s="21"/>
      <c r="MSW307" s="21"/>
      <c r="MSX307" s="21"/>
      <c r="MSY307" s="21"/>
      <c r="MSZ307" s="21"/>
      <c r="MTA307" s="21"/>
      <c r="MTB307" s="21"/>
      <c r="MTC307" s="21"/>
      <c r="MTD307" s="21"/>
      <c r="MTE307" s="21"/>
      <c r="MTF307" s="21"/>
      <c r="MTG307" s="21"/>
      <c r="MTH307" s="21"/>
      <c r="MTI307" s="21"/>
      <c r="MTJ307" s="21"/>
      <c r="MTK307" s="21"/>
      <c r="MTL307" s="21"/>
      <c r="MTM307" s="21"/>
      <c r="MTN307" s="21"/>
      <c r="MTO307" s="21"/>
      <c r="MTP307" s="21"/>
      <c r="MTQ307" s="21"/>
      <c r="MTR307" s="21"/>
      <c r="MTS307" s="21"/>
      <c r="MTT307" s="21"/>
      <c r="MTU307" s="21"/>
      <c r="MTV307" s="21"/>
      <c r="MTW307" s="21"/>
      <c r="MTX307" s="21"/>
      <c r="MTY307" s="21"/>
      <c r="MTZ307" s="21"/>
      <c r="MUA307" s="21"/>
      <c r="MUB307" s="21"/>
      <c r="MUC307" s="21"/>
      <c r="MUD307" s="21"/>
      <c r="MUE307" s="21"/>
      <c r="MUF307" s="21"/>
      <c r="MUG307" s="21"/>
      <c r="MUH307" s="21"/>
      <c r="MUI307" s="21"/>
      <c r="MUJ307" s="21"/>
      <c r="MUK307" s="21"/>
      <c r="MUL307" s="21"/>
      <c r="MUM307" s="21"/>
      <c r="MUN307" s="21"/>
      <c r="MUO307" s="21"/>
      <c r="MUP307" s="21"/>
      <c r="MUQ307" s="21"/>
      <c r="MUR307" s="21"/>
      <c r="MUS307" s="21"/>
      <c r="MUT307" s="21"/>
      <c r="MUU307" s="21"/>
      <c r="MUV307" s="21"/>
      <c r="MUW307" s="21"/>
      <c r="MUX307" s="21"/>
      <c r="MUY307" s="21"/>
      <c r="MUZ307" s="21"/>
      <c r="MVA307" s="21"/>
      <c r="MVB307" s="21"/>
      <c r="MVC307" s="21"/>
      <c r="MVD307" s="21"/>
      <c r="MVE307" s="21"/>
      <c r="MVF307" s="21"/>
      <c r="MVG307" s="21"/>
      <c r="MVH307" s="21"/>
      <c r="MVI307" s="21"/>
      <c r="MVJ307" s="21"/>
      <c r="MVK307" s="21"/>
      <c r="MVL307" s="21"/>
      <c r="MVM307" s="21"/>
      <c r="MVN307" s="21"/>
      <c r="MVO307" s="21"/>
      <c r="MVP307" s="21"/>
      <c r="MVQ307" s="21"/>
      <c r="MVR307" s="21"/>
      <c r="MVS307" s="21"/>
      <c r="MVT307" s="21"/>
      <c r="MVU307" s="21"/>
      <c r="MVV307" s="21"/>
      <c r="MVW307" s="21"/>
      <c r="MVX307" s="21"/>
      <c r="MVY307" s="21"/>
      <c r="MVZ307" s="21"/>
      <c r="MWA307" s="21"/>
      <c r="MWB307" s="21"/>
      <c r="MWC307" s="21"/>
      <c r="MWD307" s="21"/>
      <c r="MWE307" s="21"/>
      <c r="MWF307" s="21"/>
      <c r="MWG307" s="21"/>
      <c r="MWH307" s="21"/>
      <c r="MWI307" s="21"/>
      <c r="MWJ307" s="21"/>
      <c r="MWK307" s="21"/>
      <c r="MWL307" s="21"/>
      <c r="MWM307" s="21"/>
      <c r="MWN307" s="21"/>
      <c r="MWO307" s="21"/>
      <c r="MWP307" s="21"/>
      <c r="MWQ307" s="21"/>
      <c r="MWR307" s="21"/>
      <c r="MWS307" s="21"/>
      <c r="MWT307" s="21"/>
      <c r="MWU307" s="21"/>
      <c r="MWV307" s="21"/>
      <c r="MWW307" s="21"/>
      <c r="MWX307" s="21"/>
      <c r="MWY307" s="21"/>
      <c r="MWZ307" s="21"/>
      <c r="MXA307" s="21"/>
      <c r="MXB307" s="21"/>
      <c r="MXC307" s="21"/>
      <c r="MXD307" s="21"/>
      <c r="MXE307" s="21"/>
      <c r="MXF307" s="21"/>
      <c r="MXG307" s="21"/>
      <c r="MXH307" s="21"/>
      <c r="MXI307" s="21"/>
      <c r="MXJ307" s="21"/>
      <c r="MXK307" s="21"/>
      <c r="MXL307" s="21"/>
      <c r="MXM307" s="21"/>
      <c r="MXN307" s="21"/>
      <c r="MXO307" s="21"/>
      <c r="MXP307" s="21"/>
      <c r="MXQ307" s="21"/>
      <c r="MXR307" s="21"/>
      <c r="MXS307" s="21"/>
      <c r="MXT307" s="21"/>
      <c r="MXU307" s="21"/>
      <c r="MXV307" s="21"/>
      <c r="MXW307" s="21"/>
      <c r="MXX307" s="21"/>
      <c r="MXY307" s="21"/>
      <c r="MXZ307" s="21"/>
      <c r="MYA307" s="21"/>
      <c r="MYB307" s="21"/>
      <c r="MYC307" s="21"/>
      <c r="MYD307" s="21"/>
      <c r="MYE307" s="21"/>
      <c r="MYF307" s="21"/>
      <c r="MYG307" s="21"/>
      <c r="MYH307" s="21"/>
      <c r="MYI307" s="21"/>
      <c r="MYJ307" s="21"/>
      <c r="MYK307" s="21"/>
      <c r="MYL307" s="21"/>
      <c r="MYM307" s="21"/>
      <c r="MYN307" s="21"/>
      <c r="MYO307" s="21"/>
      <c r="MYP307" s="21"/>
      <c r="MYQ307" s="21"/>
      <c r="MYR307" s="21"/>
      <c r="MYS307" s="21"/>
      <c r="MYT307" s="21"/>
      <c r="MYU307" s="21"/>
      <c r="MYV307" s="21"/>
      <c r="MYW307" s="21"/>
      <c r="MYX307" s="21"/>
      <c r="MYY307" s="21"/>
      <c r="MYZ307" s="21"/>
      <c r="MZA307" s="21"/>
      <c r="MZB307" s="21"/>
      <c r="MZC307" s="21"/>
      <c r="MZD307" s="21"/>
      <c r="MZE307" s="21"/>
      <c r="MZF307" s="21"/>
      <c r="MZG307" s="21"/>
      <c r="MZH307" s="21"/>
      <c r="MZI307" s="21"/>
      <c r="MZJ307" s="21"/>
      <c r="MZK307" s="21"/>
      <c r="MZL307" s="21"/>
      <c r="MZM307" s="21"/>
      <c r="MZN307" s="21"/>
      <c r="MZO307" s="21"/>
      <c r="MZP307" s="21"/>
      <c r="MZQ307" s="21"/>
      <c r="MZR307" s="21"/>
      <c r="MZS307" s="21"/>
      <c r="MZT307" s="21"/>
      <c r="MZU307" s="21"/>
      <c r="MZV307" s="21"/>
      <c r="MZW307" s="21"/>
      <c r="MZX307" s="21"/>
      <c r="MZY307" s="21"/>
      <c r="MZZ307" s="21"/>
      <c r="NAA307" s="21"/>
      <c r="NAB307" s="21"/>
      <c r="NAC307" s="21"/>
      <c r="NAD307" s="21"/>
      <c r="NAE307" s="21"/>
      <c r="NAF307" s="21"/>
      <c r="NAG307" s="21"/>
      <c r="NAH307" s="21"/>
      <c r="NAI307" s="21"/>
      <c r="NAJ307" s="21"/>
      <c r="NAK307" s="21"/>
      <c r="NAL307" s="21"/>
      <c r="NAM307" s="21"/>
      <c r="NAN307" s="21"/>
      <c r="NAO307" s="21"/>
      <c r="NAP307" s="21"/>
      <c r="NAQ307" s="21"/>
      <c r="NAR307" s="21"/>
      <c r="NAS307" s="21"/>
      <c r="NAT307" s="21"/>
      <c r="NAU307" s="21"/>
      <c r="NAV307" s="21"/>
      <c r="NAW307" s="21"/>
      <c r="NAX307" s="21"/>
      <c r="NAY307" s="21"/>
      <c r="NAZ307" s="21"/>
      <c r="NBA307" s="21"/>
      <c r="NBB307" s="21"/>
      <c r="NBC307" s="21"/>
      <c r="NBD307" s="21"/>
      <c r="NBE307" s="21"/>
      <c r="NBF307" s="21"/>
      <c r="NBG307" s="21"/>
      <c r="NBH307" s="21"/>
      <c r="NBI307" s="21"/>
      <c r="NBJ307" s="21"/>
      <c r="NBK307" s="21"/>
      <c r="NBL307" s="21"/>
      <c r="NBM307" s="21"/>
      <c r="NBN307" s="21"/>
      <c r="NBO307" s="21"/>
      <c r="NBP307" s="21"/>
      <c r="NBQ307" s="21"/>
      <c r="NBR307" s="21"/>
      <c r="NBS307" s="21"/>
      <c r="NBT307" s="21"/>
      <c r="NBU307" s="21"/>
      <c r="NBV307" s="21"/>
      <c r="NBW307" s="21"/>
      <c r="NBX307" s="21"/>
      <c r="NBY307" s="21"/>
      <c r="NBZ307" s="21"/>
      <c r="NCA307" s="21"/>
      <c r="NCB307" s="21"/>
      <c r="NCC307" s="21"/>
      <c r="NCD307" s="21"/>
      <c r="NCE307" s="21"/>
      <c r="NCF307" s="21"/>
      <c r="NCG307" s="21"/>
      <c r="NCH307" s="21"/>
      <c r="NCI307" s="21"/>
      <c r="NCJ307" s="21"/>
      <c r="NCK307" s="21"/>
      <c r="NCL307" s="21"/>
      <c r="NCM307" s="21"/>
      <c r="NCN307" s="21"/>
      <c r="NCO307" s="21"/>
      <c r="NCP307" s="21"/>
      <c r="NCQ307" s="21"/>
      <c r="NCR307" s="21"/>
      <c r="NCS307" s="21"/>
      <c r="NCT307" s="21"/>
      <c r="NCU307" s="21"/>
      <c r="NCV307" s="21"/>
      <c r="NCW307" s="21"/>
      <c r="NCX307" s="21"/>
      <c r="NCY307" s="21"/>
      <c r="NCZ307" s="21"/>
      <c r="NDA307" s="21"/>
      <c r="NDB307" s="21"/>
      <c r="NDC307" s="21"/>
      <c r="NDD307" s="21"/>
      <c r="NDE307" s="21"/>
      <c r="NDF307" s="21"/>
      <c r="NDG307" s="21"/>
      <c r="NDH307" s="21"/>
      <c r="NDI307" s="21"/>
      <c r="NDJ307" s="21"/>
      <c r="NDK307" s="21"/>
      <c r="NDL307" s="21"/>
      <c r="NDM307" s="21"/>
      <c r="NDN307" s="21"/>
      <c r="NDO307" s="21"/>
      <c r="NDP307" s="21"/>
      <c r="NDQ307" s="21"/>
      <c r="NDR307" s="21"/>
      <c r="NDS307" s="21"/>
      <c r="NDT307" s="21"/>
      <c r="NDU307" s="21"/>
      <c r="NDV307" s="21"/>
      <c r="NDW307" s="21"/>
      <c r="NDX307" s="21"/>
      <c r="NDY307" s="21"/>
      <c r="NDZ307" s="21"/>
      <c r="NEA307" s="21"/>
      <c r="NEB307" s="21"/>
      <c r="NEC307" s="21"/>
      <c r="NED307" s="21"/>
      <c r="NEE307" s="21"/>
      <c r="NEF307" s="21"/>
      <c r="NEG307" s="21"/>
      <c r="NEH307" s="21"/>
      <c r="NEI307" s="21"/>
      <c r="NEJ307" s="21"/>
      <c r="NEK307" s="21"/>
      <c r="NEL307" s="21"/>
      <c r="NEM307" s="21"/>
      <c r="NEN307" s="21"/>
      <c r="NEO307" s="21"/>
      <c r="NEP307" s="21"/>
      <c r="NEQ307" s="21"/>
      <c r="NER307" s="21"/>
      <c r="NES307" s="21"/>
      <c r="NET307" s="21"/>
      <c r="NEU307" s="21"/>
      <c r="NEV307" s="21"/>
      <c r="NEW307" s="21"/>
      <c r="NEX307" s="21"/>
      <c r="NEY307" s="21"/>
      <c r="NEZ307" s="21"/>
      <c r="NFA307" s="21"/>
      <c r="NFB307" s="21"/>
      <c r="NFC307" s="21"/>
      <c r="NFD307" s="21"/>
      <c r="NFE307" s="21"/>
      <c r="NFF307" s="21"/>
      <c r="NFG307" s="21"/>
      <c r="NFH307" s="21"/>
      <c r="NFI307" s="21"/>
      <c r="NFJ307" s="21"/>
      <c r="NFK307" s="21"/>
      <c r="NFL307" s="21"/>
      <c r="NFM307" s="21"/>
      <c r="NFN307" s="21"/>
      <c r="NFO307" s="21"/>
      <c r="NFP307" s="21"/>
      <c r="NFQ307" s="21"/>
      <c r="NFR307" s="21"/>
      <c r="NFS307" s="21"/>
      <c r="NFT307" s="21"/>
      <c r="NFU307" s="21"/>
      <c r="NFV307" s="21"/>
      <c r="NFW307" s="21"/>
      <c r="NFX307" s="21"/>
      <c r="NFY307" s="21"/>
      <c r="NFZ307" s="21"/>
      <c r="NGA307" s="21"/>
      <c r="NGB307" s="21"/>
      <c r="NGC307" s="21"/>
      <c r="NGD307" s="21"/>
      <c r="NGE307" s="21"/>
      <c r="NGF307" s="21"/>
      <c r="NGG307" s="21"/>
      <c r="NGH307" s="21"/>
      <c r="NGI307" s="21"/>
      <c r="NGJ307" s="21"/>
      <c r="NGK307" s="21"/>
      <c r="NGL307" s="21"/>
      <c r="NGM307" s="21"/>
      <c r="NGN307" s="21"/>
      <c r="NGO307" s="21"/>
      <c r="NGP307" s="21"/>
      <c r="NGQ307" s="21"/>
      <c r="NGR307" s="21"/>
      <c r="NGS307" s="21"/>
      <c r="NGT307" s="21"/>
      <c r="NGU307" s="21"/>
      <c r="NGV307" s="21"/>
      <c r="NGW307" s="21"/>
      <c r="NGX307" s="21"/>
      <c r="NGY307" s="21"/>
      <c r="NGZ307" s="21"/>
      <c r="NHA307" s="21"/>
      <c r="NHB307" s="21"/>
      <c r="NHC307" s="21"/>
      <c r="NHD307" s="21"/>
      <c r="NHE307" s="21"/>
      <c r="NHF307" s="21"/>
      <c r="NHG307" s="21"/>
      <c r="NHH307" s="21"/>
      <c r="NHI307" s="21"/>
      <c r="NHJ307" s="21"/>
      <c r="NHK307" s="21"/>
      <c r="NHL307" s="21"/>
      <c r="NHM307" s="21"/>
      <c r="NHN307" s="21"/>
      <c r="NHO307" s="21"/>
      <c r="NHP307" s="21"/>
      <c r="NHQ307" s="21"/>
      <c r="NHR307" s="21"/>
      <c r="NHS307" s="21"/>
      <c r="NHT307" s="21"/>
      <c r="NHU307" s="21"/>
      <c r="NHV307" s="21"/>
      <c r="NHW307" s="21"/>
      <c r="NHX307" s="21"/>
      <c r="NHY307" s="21"/>
      <c r="NHZ307" s="21"/>
      <c r="NIA307" s="21"/>
      <c r="NIB307" s="21"/>
      <c r="NIC307" s="21"/>
      <c r="NID307" s="21"/>
      <c r="NIE307" s="21"/>
      <c r="NIF307" s="21"/>
      <c r="NIG307" s="21"/>
      <c r="NIH307" s="21"/>
      <c r="NII307" s="21"/>
      <c r="NIJ307" s="21"/>
      <c r="NIK307" s="21"/>
      <c r="NIL307" s="21"/>
      <c r="NIM307" s="21"/>
      <c r="NIN307" s="21"/>
      <c r="NIO307" s="21"/>
      <c r="NIP307" s="21"/>
      <c r="NIQ307" s="21"/>
      <c r="NIR307" s="21"/>
      <c r="NIS307" s="21"/>
      <c r="NIT307" s="21"/>
      <c r="NIU307" s="21"/>
      <c r="NIV307" s="21"/>
      <c r="NIW307" s="21"/>
      <c r="NIX307" s="21"/>
      <c r="NIY307" s="21"/>
      <c r="NIZ307" s="21"/>
      <c r="NJA307" s="21"/>
      <c r="NJB307" s="21"/>
      <c r="NJC307" s="21"/>
      <c r="NJD307" s="21"/>
      <c r="NJE307" s="21"/>
      <c r="NJF307" s="21"/>
      <c r="NJG307" s="21"/>
      <c r="NJH307" s="21"/>
      <c r="NJI307" s="21"/>
      <c r="NJJ307" s="21"/>
      <c r="NJK307" s="21"/>
      <c r="NJL307" s="21"/>
      <c r="NJM307" s="21"/>
      <c r="NJN307" s="21"/>
      <c r="NJO307" s="21"/>
      <c r="NJP307" s="21"/>
      <c r="NJQ307" s="21"/>
      <c r="NJR307" s="21"/>
      <c r="NJS307" s="21"/>
      <c r="NJT307" s="21"/>
      <c r="NJU307" s="21"/>
      <c r="NJV307" s="21"/>
      <c r="NJW307" s="21"/>
      <c r="NJX307" s="21"/>
      <c r="NJY307" s="21"/>
      <c r="NJZ307" s="21"/>
      <c r="NKA307" s="21"/>
      <c r="NKB307" s="21"/>
      <c r="NKC307" s="21"/>
      <c r="NKD307" s="21"/>
      <c r="NKE307" s="21"/>
      <c r="NKF307" s="21"/>
      <c r="NKG307" s="21"/>
      <c r="NKH307" s="21"/>
      <c r="NKI307" s="21"/>
      <c r="NKJ307" s="21"/>
      <c r="NKK307" s="21"/>
      <c r="NKL307" s="21"/>
      <c r="NKM307" s="21"/>
      <c r="NKN307" s="21"/>
      <c r="NKO307" s="21"/>
      <c r="NKP307" s="21"/>
      <c r="NKQ307" s="21"/>
      <c r="NKR307" s="21"/>
      <c r="NKS307" s="21"/>
      <c r="NKT307" s="21"/>
      <c r="NKU307" s="21"/>
      <c r="NKV307" s="21"/>
      <c r="NKW307" s="21"/>
      <c r="NKX307" s="21"/>
      <c r="NKY307" s="21"/>
      <c r="NKZ307" s="21"/>
      <c r="NLA307" s="21"/>
      <c r="NLB307" s="21"/>
      <c r="NLC307" s="21"/>
      <c r="NLD307" s="21"/>
      <c r="NLE307" s="21"/>
      <c r="NLF307" s="21"/>
      <c r="NLG307" s="21"/>
      <c r="NLH307" s="21"/>
      <c r="NLI307" s="21"/>
      <c r="NLJ307" s="21"/>
      <c r="NLK307" s="21"/>
      <c r="NLL307" s="21"/>
      <c r="NLM307" s="21"/>
      <c r="NLN307" s="21"/>
      <c r="NLO307" s="21"/>
      <c r="NLP307" s="21"/>
      <c r="NLQ307" s="21"/>
      <c r="NLR307" s="21"/>
      <c r="NLS307" s="21"/>
      <c r="NLT307" s="21"/>
      <c r="NLU307" s="21"/>
      <c r="NLV307" s="21"/>
      <c r="NLW307" s="21"/>
      <c r="NLX307" s="21"/>
      <c r="NLY307" s="21"/>
      <c r="NLZ307" s="21"/>
      <c r="NMA307" s="21"/>
      <c r="NMB307" s="21"/>
      <c r="NMC307" s="21"/>
      <c r="NMD307" s="21"/>
      <c r="NME307" s="21"/>
      <c r="NMF307" s="21"/>
      <c r="NMG307" s="21"/>
      <c r="NMH307" s="21"/>
      <c r="NMI307" s="21"/>
      <c r="NMJ307" s="21"/>
      <c r="NMK307" s="21"/>
      <c r="NML307" s="21"/>
      <c r="NMM307" s="21"/>
      <c r="NMN307" s="21"/>
      <c r="NMO307" s="21"/>
      <c r="NMP307" s="21"/>
      <c r="NMQ307" s="21"/>
      <c r="NMR307" s="21"/>
      <c r="NMS307" s="21"/>
      <c r="NMT307" s="21"/>
      <c r="NMU307" s="21"/>
      <c r="NMV307" s="21"/>
      <c r="NMW307" s="21"/>
      <c r="NMX307" s="21"/>
      <c r="NMY307" s="21"/>
      <c r="NMZ307" s="21"/>
      <c r="NNA307" s="21"/>
      <c r="NNB307" s="21"/>
      <c r="NNC307" s="21"/>
      <c r="NND307" s="21"/>
      <c r="NNE307" s="21"/>
      <c r="NNF307" s="21"/>
      <c r="NNG307" s="21"/>
      <c r="NNH307" s="21"/>
      <c r="NNI307" s="21"/>
      <c r="NNJ307" s="21"/>
      <c r="NNK307" s="21"/>
      <c r="NNL307" s="21"/>
      <c r="NNM307" s="21"/>
      <c r="NNN307" s="21"/>
      <c r="NNO307" s="21"/>
      <c r="NNP307" s="21"/>
      <c r="NNQ307" s="21"/>
      <c r="NNR307" s="21"/>
      <c r="NNS307" s="21"/>
      <c r="NNT307" s="21"/>
      <c r="NNU307" s="21"/>
      <c r="NNV307" s="21"/>
      <c r="NNW307" s="21"/>
      <c r="NNX307" s="21"/>
      <c r="NNY307" s="21"/>
      <c r="NNZ307" s="21"/>
      <c r="NOA307" s="21"/>
      <c r="NOB307" s="21"/>
      <c r="NOC307" s="21"/>
      <c r="NOD307" s="21"/>
      <c r="NOE307" s="21"/>
      <c r="NOF307" s="21"/>
      <c r="NOG307" s="21"/>
      <c r="NOH307" s="21"/>
      <c r="NOI307" s="21"/>
      <c r="NOJ307" s="21"/>
      <c r="NOK307" s="21"/>
      <c r="NOL307" s="21"/>
      <c r="NOM307" s="21"/>
      <c r="NON307" s="21"/>
      <c r="NOO307" s="21"/>
      <c r="NOP307" s="21"/>
      <c r="NOQ307" s="21"/>
      <c r="NOR307" s="21"/>
      <c r="NOS307" s="21"/>
      <c r="NOT307" s="21"/>
      <c r="NOU307" s="21"/>
      <c r="NOV307" s="21"/>
      <c r="NOW307" s="21"/>
      <c r="NOX307" s="21"/>
      <c r="NOY307" s="21"/>
      <c r="NOZ307" s="21"/>
      <c r="NPA307" s="21"/>
      <c r="NPB307" s="21"/>
      <c r="NPC307" s="21"/>
      <c r="NPD307" s="21"/>
      <c r="NPE307" s="21"/>
      <c r="NPF307" s="21"/>
      <c r="NPG307" s="21"/>
      <c r="NPH307" s="21"/>
      <c r="NPI307" s="21"/>
      <c r="NPJ307" s="21"/>
      <c r="NPK307" s="21"/>
      <c r="NPL307" s="21"/>
      <c r="NPM307" s="21"/>
      <c r="NPN307" s="21"/>
      <c r="NPO307" s="21"/>
      <c r="NPP307" s="21"/>
      <c r="NPQ307" s="21"/>
      <c r="NPR307" s="21"/>
      <c r="NPS307" s="21"/>
      <c r="NPT307" s="21"/>
      <c r="NPU307" s="21"/>
      <c r="NPV307" s="21"/>
      <c r="NPW307" s="21"/>
      <c r="NPX307" s="21"/>
      <c r="NPY307" s="21"/>
      <c r="NPZ307" s="21"/>
      <c r="NQA307" s="21"/>
      <c r="NQB307" s="21"/>
      <c r="NQC307" s="21"/>
      <c r="NQD307" s="21"/>
      <c r="NQE307" s="21"/>
      <c r="NQF307" s="21"/>
      <c r="NQG307" s="21"/>
      <c r="NQH307" s="21"/>
      <c r="NQI307" s="21"/>
      <c r="NQJ307" s="21"/>
      <c r="NQK307" s="21"/>
      <c r="NQL307" s="21"/>
      <c r="NQM307" s="21"/>
      <c r="NQN307" s="21"/>
      <c r="NQO307" s="21"/>
      <c r="NQP307" s="21"/>
      <c r="NQQ307" s="21"/>
      <c r="NQR307" s="21"/>
      <c r="NQS307" s="21"/>
      <c r="NQT307" s="21"/>
      <c r="NQU307" s="21"/>
      <c r="NQV307" s="21"/>
      <c r="NQW307" s="21"/>
      <c r="NQX307" s="21"/>
      <c r="NQY307" s="21"/>
      <c r="NQZ307" s="21"/>
      <c r="NRA307" s="21"/>
      <c r="NRB307" s="21"/>
      <c r="NRC307" s="21"/>
      <c r="NRD307" s="21"/>
      <c r="NRE307" s="21"/>
      <c r="NRF307" s="21"/>
      <c r="NRG307" s="21"/>
      <c r="NRH307" s="21"/>
      <c r="NRI307" s="21"/>
      <c r="NRJ307" s="21"/>
      <c r="NRK307" s="21"/>
      <c r="NRL307" s="21"/>
      <c r="NRM307" s="21"/>
      <c r="NRN307" s="21"/>
      <c r="NRO307" s="21"/>
      <c r="NRP307" s="21"/>
      <c r="NRQ307" s="21"/>
      <c r="NRR307" s="21"/>
      <c r="NRS307" s="21"/>
      <c r="NRT307" s="21"/>
      <c r="NRU307" s="21"/>
      <c r="NRV307" s="21"/>
      <c r="NRW307" s="21"/>
      <c r="NRX307" s="21"/>
      <c r="NRY307" s="21"/>
      <c r="NRZ307" s="21"/>
      <c r="NSA307" s="21"/>
      <c r="NSB307" s="21"/>
      <c r="NSC307" s="21"/>
      <c r="NSD307" s="21"/>
      <c r="NSE307" s="21"/>
      <c r="NSF307" s="21"/>
      <c r="NSG307" s="21"/>
      <c r="NSH307" s="21"/>
      <c r="NSI307" s="21"/>
      <c r="NSJ307" s="21"/>
      <c r="NSK307" s="21"/>
      <c r="NSL307" s="21"/>
      <c r="NSM307" s="21"/>
      <c r="NSN307" s="21"/>
      <c r="NSO307" s="21"/>
      <c r="NSP307" s="21"/>
      <c r="NSQ307" s="21"/>
      <c r="NSR307" s="21"/>
      <c r="NSS307" s="21"/>
      <c r="NST307" s="21"/>
      <c r="NSU307" s="21"/>
      <c r="NSV307" s="21"/>
      <c r="NSW307" s="21"/>
      <c r="NSX307" s="21"/>
      <c r="NSY307" s="21"/>
      <c r="NSZ307" s="21"/>
      <c r="NTA307" s="21"/>
      <c r="NTB307" s="21"/>
      <c r="NTC307" s="21"/>
      <c r="NTD307" s="21"/>
      <c r="NTE307" s="21"/>
      <c r="NTF307" s="21"/>
      <c r="NTG307" s="21"/>
      <c r="NTH307" s="21"/>
      <c r="NTI307" s="21"/>
      <c r="NTJ307" s="21"/>
      <c r="NTK307" s="21"/>
      <c r="NTL307" s="21"/>
      <c r="NTM307" s="21"/>
      <c r="NTN307" s="21"/>
      <c r="NTO307" s="21"/>
      <c r="NTP307" s="21"/>
      <c r="NTQ307" s="21"/>
      <c r="NTR307" s="21"/>
      <c r="NTS307" s="21"/>
      <c r="NTT307" s="21"/>
      <c r="NTU307" s="21"/>
      <c r="NTV307" s="21"/>
      <c r="NTW307" s="21"/>
      <c r="NTX307" s="21"/>
      <c r="NTY307" s="21"/>
      <c r="NTZ307" s="21"/>
      <c r="NUA307" s="21"/>
      <c r="NUB307" s="21"/>
      <c r="NUC307" s="21"/>
      <c r="NUD307" s="21"/>
      <c r="NUE307" s="21"/>
      <c r="NUF307" s="21"/>
      <c r="NUG307" s="21"/>
      <c r="NUH307" s="21"/>
      <c r="NUI307" s="21"/>
      <c r="NUJ307" s="21"/>
      <c r="NUK307" s="21"/>
      <c r="NUL307" s="21"/>
      <c r="NUM307" s="21"/>
      <c r="NUN307" s="21"/>
      <c r="NUO307" s="21"/>
      <c r="NUP307" s="21"/>
      <c r="NUQ307" s="21"/>
      <c r="NUR307" s="21"/>
      <c r="NUS307" s="21"/>
      <c r="NUT307" s="21"/>
      <c r="NUU307" s="21"/>
      <c r="NUV307" s="21"/>
      <c r="NUW307" s="21"/>
      <c r="NUX307" s="21"/>
      <c r="NUY307" s="21"/>
      <c r="NUZ307" s="21"/>
      <c r="NVA307" s="21"/>
      <c r="NVB307" s="21"/>
      <c r="NVC307" s="21"/>
      <c r="NVD307" s="21"/>
      <c r="NVE307" s="21"/>
      <c r="NVF307" s="21"/>
      <c r="NVG307" s="21"/>
      <c r="NVH307" s="21"/>
      <c r="NVI307" s="21"/>
      <c r="NVJ307" s="21"/>
      <c r="NVK307" s="21"/>
      <c r="NVL307" s="21"/>
      <c r="NVM307" s="21"/>
      <c r="NVN307" s="21"/>
      <c r="NVO307" s="21"/>
      <c r="NVP307" s="21"/>
      <c r="NVQ307" s="21"/>
      <c r="NVR307" s="21"/>
      <c r="NVS307" s="21"/>
      <c r="NVT307" s="21"/>
      <c r="NVU307" s="21"/>
      <c r="NVV307" s="21"/>
      <c r="NVW307" s="21"/>
      <c r="NVX307" s="21"/>
      <c r="NVY307" s="21"/>
      <c r="NVZ307" s="21"/>
      <c r="NWA307" s="21"/>
      <c r="NWB307" s="21"/>
      <c r="NWC307" s="21"/>
      <c r="NWD307" s="21"/>
      <c r="NWE307" s="21"/>
      <c r="NWF307" s="21"/>
      <c r="NWG307" s="21"/>
      <c r="NWH307" s="21"/>
      <c r="NWI307" s="21"/>
      <c r="NWJ307" s="21"/>
      <c r="NWK307" s="21"/>
      <c r="NWL307" s="21"/>
      <c r="NWM307" s="21"/>
      <c r="NWN307" s="21"/>
      <c r="NWO307" s="21"/>
      <c r="NWP307" s="21"/>
      <c r="NWQ307" s="21"/>
      <c r="NWR307" s="21"/>
      <c r="NWS307" s="21"/>
      <c r="NWT307" s="21"/>
      <c r="NWU307" s="21"/>
      <c r="NWV307" s="21"/>
      <c r="NWW307" s="21"/>
      <c r="NWX307" s="21"/>
      <c r="NWY307" s="21"/>
      <c r="NWZ307" s="21"/>
      <c r="NXA307" s="21"/>
      <c r="NXB307" s="21"/>
      <c r="NXC307" s="21"/>
      <c r="NXD307" s="21"/>
      <c r="NXE307" s="21"/>
      <c r="NXF307" s="21"/>
      <c r="NXG307" s="21"/>
      <c r="NXH307" s="21"/>
      <c r="NXI307" s="21"/>
      <c r="NXJ307" s="21"/>
      <c r="NXK307" s="21"/>
      <c r="NXL307" s="21"/>
      <c r="NXM307" s="21"/>
      <c r="NXN307" s="21"/>
      <c r="NXO307" s="21"/>
      <c r="NXP307" s="21"/>
      <c r="NXQ307" s="21"/>
      <c r="NXR307" s="21"/>
      <c r="NXS307" s="21"/>
      <c r="NXT307" s="21"/>
      <c r="NXU307" s="21"/>
      <c r="NXV307" s="21"/>
      <c r="NXW307" s="21"/>
      <c r="NXX307" s="21"/>
      <c r="NXY307" s="21"/>
      <c r="NXZ307" s="21"/>
      <c r="NYA307" s="21"/>
      <c r="NYB307" s="21"/>
      <c r="NYC307" s="21"/>
      <c r="NYD307" s="21"/>
      <c r="NYE307" s="21"/>
      <c r="NYF307" s="21"/>
      <c r="NYG307" s="21"/>
      <c r="NYH307" s="21"/>
      <c r="NYI307" s="21"/>
      <c r="NYJ307" s="21"/>
      <c r="NYK307" s="21"/>
      <c r="NYL307" s="21"/>
      <c r="NYM307" s="21"/>
      <c r="NYN307" s="21"/>
      <c r="NYO307" s="21"/>
      <c r="NYP307" s="21"/>
      <c r="NYQ307" s="21"/>
      <c r="NYR307" s="21"/>
      <c r="NYS307" s="21"/>
      <c r="NYT307" s="21"/>
      <c r="NYU307" s="21"/>
      <c r="NYV307" s="21"/>
      <c r="NYW307" s="21"/>
      <c r="NYX307" s="21"/>
      <c r="NYY307" s="21"/>
      <c r="NYZ307" s="21"/>
      <c r="NZA307" s="21"/>
      <c r="NZB307" s="21"/>
      <c r="NZC307" s="21"/>
      <c r="NZD307" s="21"/>
      <c r="NZE307" s="21"/>
      <c r="NZF307" s="21"/>
      <c r="NZG307" s="21"/>
      <c r="NZH307" s="21"/>
      <c r="NZI307" s="21"/>
      <c r="NZJ307" s="21"/>
      <c r="NZK307" s="21"/>
      <c r="NZL307" s="21"/>
      <c r="NZM307" s="21"/>
      <c r="NZN307" s="21"/>
      <c r="NZO307" s="21"/>
      <c r="NZP307" s="21"/>
      <c r="NZQ307" s="21"/>
      <c r="NZR307" s="21"/>
      <c r="NZS307" s="21"/>
      <c r="NZT307" s="21"/>
      <c r="NZU307" s="21"/>
      <c r="NZV307" s="21"/>
      <c r="NZW307" s="21"/>
      <c r="NZX307" s="21"/>
      <c r="NZY307" s="21"/>
      <c r="NZZ307" s="21"/>
      <c r="OAA307" s="21"/>
      <c r="OAB307" s="21"/>
      <c r="OAC307" s="21"/>
      <c r="OAD307" s="21"/>
      <c r="OAE307" s="21"/>
      <c r="OAF307" s="21"/>
      <c r="OAG307" s="21"/>
      <c r="OAH307" s="21"/>
      <c r="OAI307" s="21"/>
      <c r="OAJ307" s="21"/>
      <c r="OAK307" s="21"/>
      <c r="OAL307" s="21"/>
      <c r="OAM307" s="21"/>
      <c r="OAN307" s="21"/>
      <c r="OAO307" s="21"/>
      <c r="OAP307" s="21"/>
      <c r="OAQ307" s="21"/>
      <c r="OAR307" s="21"/>
      <c r="OAS307" s="21"/>
      <c r="OAT307" s="21"/>
      <c r="OAU307" s="21"/>
      <c r="OAV307" s="21"/>
      <c r="OAW307" s="21"/>
      <c r="OAX307" s="21"/>
      <c r="OAY307" s="21"/>
      <c r="OAZ307" s="21"/>
      <c r="OBA307" s="21"/>
      <c r="OBB307" s="21"/>
      <c r="OBC307" s="21"/>
      <c r="OBD307" s="21"/>
      <c r="OBE307" s="21"/>
      <c r="OBF307" s="21"/>
      <c r="OBG307" s="21"/>
      <c r="OBH307" s="21"/>
      <c r="OBI307" s="21"/>
      <c r="OBJ307" s="21"/>
      <c r="OBK307" s="21"/>
      <c r="OBL307" s="21"/>
      <c r="OBM307" s="21"/>
      <c r="OBN307" s="21"/>
      <c r="OBO307" s="21"/>
      <c r="OBP307" s="21"/>
      <c r="OBQ307" s="21"/>
      <c r="OBR307" s="21"/>
      <c r="OBS307" s="21"/>
      <c r="OBT307" s="21"/>
      <c r="OBU307" s="21"/>
      <c r="OBV307" s="21"/>
      <c r="OBW307" s="21"/>
      <c r="OBX307" s="21"/>
      <c r="OBY307" s="21"/>
      <c r="OBZ307" s="21"/>
      <c r="OCA307" s="21"/>
      <c r="OCB307" s="21"/>
      <c r="OCC307" s="21"/>
      <c r="OCD307" s="21"/>
      <c r="OCE307" s="21"/>
      <c r="OCF307" s="21"/>
      <c r="OCG307" s="21"/>
      <c r="OCH307" s="21"/>
      <c r="OCI307" s="21"/>
      <c r="OCJ307" s="21"/>
      <c r="OCK307" s="21"/>
      <c r="OCL307" s="21"/>
      <c r="OCM307" s="21"/>
      <c r="OCN307" s="21"/>
      <c r="OCO307" s="21"/>
      <c r="OCP307" s="21"/>
      <c r="OCQ307" s="21"/>
      <c r="OCR307" s="21"/>
      <c r="OCS307" s="21"/>
      <c r="OCT307" s="21"/>
      <c r="OCU307" s="21"/>
      <c r="OCV307" s="21"/>
      <c r="OCW307" s="21"/>
      <c r="OCX307" s="21"/>
      <c r="OCY307" s="21"/>
      <c r="OCZ307" s="21"/>
      <c r="ODA307" s="21"/>
      <c r="ODB307" s="21"/>
      <c r="ODC307" s="21"/>
      <c r="ODD307" s="21"/>
      <c r="ODE307" s="21"/>
      <c r="ODF307" s="21"/>
      <c r="ODG307" s="21"/>
      <c r="ODH307" s="21"/>
      <c r="ODI307" s="21"/>
      <c r="ODJ307" s="21"/>
      <c r="ODK307" s="21"/>
      <c r="ODL307" s="21"/>
      <c r="ODM307" s="21"/>
      <c r="ODN307" s="21"/>
      <c r="ODO307" s="21"/>
      <c r="ODP307" s="21"/>
      <c r="ODQ307" s="21"/>
      <c r="ODR307" s="21"/>
      <c r="ODS307" s="21"/>
      <c r="ODT307" s="21"/>
      <c r="ODU307" s="21"/>
      <c r="ODV307" s="21"/>
      <c r="ODW307" s="21"/>
      <c r="ODX307" s="21"/>
      <c r="ODY307" s="21"/>
      <c r="ODZ307" s="21"/>
      <c r="OEA307" s="21"/>
      <c r="OEB307" s="21"/>
      <c r="OEC307" s="21"/>
      <c r="OED307" s="21"/>
      <c r="OEE307" s="21"/>
      <c r="OEF307" s="21"/>
      <c r="OEG307" s="21"/>
      <c r="OEH307" s="21"/>
      <c r="OEI307" s="21"/>
      <c r="OEJ307" s="21"/>
      <c r="OEK307" s="21"/>
      <c r="OEL307" s="21"/>
      <c r="OEM307" s="21"/>
      <c r="OEN307" s="21"/>
      <c r="OEO307" s="21"/>
      <c r="OEP307" s="21"/>
      <c r="OEQ307" s="21"/>
      <c r="OER307" s="21"/>
      <c r="OES307" s="21"/>
      <c r="OET307" s="21"/>
      <c r="OEU307" s="21"/>
      <c r="OEV307" s="21"/>
      <c r="OEW307" s="21"/>
      <c r="OEX307" s="21"/>
      <c r="OEY307" s="21"/>
      <c r="OEZ307" s="21"/>
      <c r="OFA307" s="21"/>
      <c r="OFB307" s="21"/>
      <c r="OFC307" s="21"/>
      <c r="OFD307" s="21"/>
      <c r="OFE307" s="21"/>
      <c r="OFF307" s="21"/>
      <c r="OFG307" s="21"/>
      <c r="OFH307" s="21"/>
      <c r="OFI307" s="21"/>
      <c r="OFJ307" s="21"/>
      <c r="OFK307" s="21"/>
      <c r="OFL307" s="21"/>
      <c r="OFM307" s="21"/>
      <c r="OFN307" s="21"/>
      <c r="OFO307" s="21"/>
      <c r="OFP307" s="21"/>
      <c r="OFQ307" s="21"/>
      <c r="OFR307" s="21"/>
      <c r="OFS307" s="21"/>
      <c r="OFT307" s="21"/>
      <c r="OFU307" s="21"/>
      <c r="OFV307" s="21"/>
      <c r="OFW307" s="21"/>
      <c r="OFX307" s="21"/>
      <c r="OFY307" s="21"/>
      <c r="OFZ307" s="21"/>
      <c r="OGA307" s="21"/>
      <c r="OGB307" s="21"/>
      <c r="OGC307" s="21"/>
      <c r="OGD307" s="21"/>
      <c r="OGE307" s="21"/>
      <c r="OGF307" s="21"/>
      <c r="OGG307" s="21"/>
      <c r="OGH307" s="21"/>
      <c r="OGI307" s="21"/>
      <c r="OGJ307" s="21"/>
      <c r="OGK307" s="21"/>
      <c r="OGL307" s="21"/>
      <c r="OGM307" s="21"/>
      <c r="OGN307" s="21"/>
      <c r="OGO307" s="21"/>
      <c r="OGP307" s="21"/>
      <c r="OGQ307" s="21"/>
      <c r="OGR307" s="21"/>
      <c r="OGS307" s="21"/>
      <c r="OGT307" s="21"/>
      <c r="OGU307" s="21"/>
      <c r="OGV307" s="21"/>
      <c r="OGW307" s="21"/>
      <c r="OGX307" s="21"/>
      <c r="OGY307" s="21"/>
      <c r="OGZ307" s="21"/>
      <c r="OHA307" s="21"/>
      <c r="OHB307" s="21"/>
      <c r="OHC307" s="21"/>
      <c r="OHD307" s="21"/>
      <c r="OHE307" s="21"/>
      <c r="OHF307" s="21"/>
      <c r="OHG307" s="21"/>
      <c r="OHH307" s="21"/>
      <c r="OHI307" s="21"/>
      <c r="OHJ307" s="21"/>
      <c r="OHK307" s="21"/>
      <c r="OHL307" s="21"/>
      <c r="OHM307" s="21"/>
      <c r="OHN307" s="21"/>
      <c r="OHO307" s="21"/>
      <c r="OHP307" s="21"/>
      <c r="OHQ307" s="21"/>
      <c r="OHR307" s="21"/>
      <c r="OHS307" s="21"/>
      <c r="OHT307" s="21"/>
      <c r="OHU307" s="21"/>
      <c r="OHV307" s="21"/>
      <c r="OHW307" s="21"/>
      <c r="OHX307" s="21"/>
      <c r="OHY307" s="21"/>
      <c r="OHZ307" s="21"/>
      <c r="OIA307" s="21"/>
      <c r="OIB307" s="21"/>
      <c r="OIC307" s="21"/>
      <c r="OID307" s="21"/>
      <c r="OIE307" s="21"/>
      <c r="OIF307" s="21"/>
      <c r="OIG307" s="21"/>
      <c r="OIH307" s="21"/>
      <c r="OII307" s="21"/>
      <c r="OIJ307" s="21"/>
      <c r="OIK307" s="21"/>
      <c r="OIL307" s="21"/>
      <c r="OIM307" s="21"/>
      <c r="OIN307" s="21"/>
      <c r="OIO307" s="21"/>
      <c r="OIP307" s="21"/>
      <c r="OIQ307" s="21"/>
      <c r="OIR307" s="21"/>
      <c r="OIS307" s="21"/>
      <c r="OIT307" s="21"/>
      <c r="OIU307" s="21"/>
      <c r="OIV307" s="21"/>
      <c r="OIW307" s="21"/>
      <c r="OIX307" s="21"/>
      <c r="OIY307" s="21"/>
      <c r="OIZ307" s="21"/>
      <c r="OJA307" s="21"/>
      <c r="OJB307" s="21"/>
      <c r="OJC307" s="21"/>
      <c r="OJD307" s="21"/>
      <c r="OJE307" s="21"/>
      <c r="OJF307" s="21"/>
      <c r="OJG307" s="21"/>
      <c r="OJH307" s="21"/>
      <c r="OJI307" s="21"/>
      <c r="OJJ307" s="21"/>
      <c r="OJK307" s="21"/>
      <c r="OJL307" s="21"/>
      <c r="OJM307" s="21"/>
      <c r="OJN307" s="21"/>
      <c r="OJO307" s="21"/>
      <c r="OJP307" s="21"/>
      <c r="OJQ307" s="21"/>
      <c r="OJR307" s="21"/>
      <c r="OJS307" s="21"/>
      <c r="OJT307" s="21"/>
      <c r="OJU307" s="21"/>
      <c r="OJV307" s="21"/>
      <c r="OJW307" s="21"/>
      <c r="OJX307" s="21"/>
      <c r="OJY307" s="21"/>
      <c r="OJZ307" s="21"/>
      <c r="OKA307" s="21"/>
      <c r="OKB307" s="21"/>
      <c r="OKC307" s="21"/>
      <c r="OKD307" s="21"/>
      <c r="OKE307" s="21"/>
      <c r="OKF307" s="21"/>
      <c r="OKG307" s="21"/>
      <c r="OKH307" s="21"/>
      <c r="OKI307" s="21"/>
      <c r="OKJ307" s="21"/>
      <c r="OKK307" s="21"/>
      <c r="OKL307" s="21"/>
      <c r="OKM307" s="21"/>
      <c r="OKN307" s="21"/>
      <c r="OKO307" s="21"/>
      <c r="OKP307" s="21"/>
      <c r="OKQ307" s="21"/>
      <c r="OKR307" s="21"/>
      <c r="OKS307" s="21"/>
      <c r="OKT307" s="21"/>
      <c r="OKU307" s="21"/>
      <c r="OKV307" s="21"/>
      <c r="OKW307" s="21"/>
      <c r="OKX307" s="21"/>
      <c r="OKY307" s="21"/>
      <c r="OKZ307" s="21"/>
      <c r="OLA307" s="21"/>
      <c r="OLB307" s="21"/>
      <c r="OLC307" s="21"/>
      <c r="OLD307" s="21"/>
      <c r="OLE307" s="21"/>
      <c r="OLF307" s="21"/>
      <c r="OLG307" s="21"/>
      <c r="OLH307" s="21"/>
      <c r="OLI307" s="21"/>
      <c r="OLJ307" s="21"/>
      <c r="OLK307" s="21"/>
      <c r="OLL307" s="21"/>
      <c r="OLM307" s="21"/>
      <c r="OLN307" s="21"/>
      <c r="OLO307" s="21"/>
      <c r="OLP307" s="21"/>
      <c r="OLQ307" s="21"/>
      <c r="OLR307" s="21"/>
      <c r="OLS307" s="21"/>
      <c r="OLT307" s="21"/>
      <c r="OLU307" s="21"/>
      <c r="OLV307" s="21"/>
      <c r="OLW307" s="21"/>
      <c r="OLX307" s="21"/>
      <c r="OLY307" s="21"/>
      <c r="OLZ307" s="21"/>
      <c r="OMA307" s="21"/>
      <c r="OMB307" s="21"/>
      <c r="OMC307" s="21"/>
      <c r="OMD307" s="21"/>
      <c r="OME307" s="21"/>
      <c r="OMF307" s="21"/>
      <c r="OMG307" s="21"/>
      <c r="OMH307" s="21"/>
      <c r="OMI307" s="21"/>
      <c r="OMJ307" s="21"/>
      <c r="OMK307" s="21"/>
      <c r="OML307" s="21"/>
      <c r="OMM307" s="21"/>
      <c r="OMN307" s="21"/>
      <c r="OMO307" s="21"/>
      <c r="OMP307" s="21"/>
      <c r="OMQ307" s="21"/>
      <c r="OMR307" s="21"/>
      <c r="OMS307" s="21"/>
      <c r="OMT307" s="21"/>
      <c r="OMU307" s="21"/>
      <c r="OMV307" s="21"/>
      <c r="OMW307" s="21"/>
      <c r="OMX307" s="21"/>
      <c r="OMY307" s="21"/>
      <c r="OMZ307" s="21"/>
      <c r="ONA307" s="21"/>
      <c r="ONB307" s="21"/>
      <c r="ONC307" s="21"/>
      <c r="OND307" s="21"/>
      <c r="ONE307" s="21"/>
      <c r="ONF307" s="21"/>
      <c r="ONG307" s="21"/>
      <c r="ONH307" s="21"/>
      <c r="ONI307" s="21"/>
      <c r="ONJ307" s="21"/>
      <c r="ONK307" s="21"/>
      <c r="ONL307" s="21"/>
      <c r="ONM307" s="21"/>
      <c r="ONN307" s="21"/>
      <c r="ONO307" s="21"/>
      <c r="ONP307" s="21"/>
      <c r="ONQ307" s="21"/>
      <c r="ONR307" s="21"/>
      <c r="ONS307" s="21"/>
      <c r="ONT307" s="21"/>
      <c r="ONU307" s="21"/>
      <c r="ONV307" s="21"/>
      <c r="ONW307" s="21"/>
      <c r="ONX307" s="21"/>
      <c r="ONY307" s="21"/>
      <c r="ONZ307" s="21"/>
      <c r="OOA307" s="21"/>
      <c r="OOB307" s="21"/>
      <c r="OOC307" s="21"/>
      <c r="OOD307" s="21"/>
      <c r="OOE307" s="21"/>
      <c r="OOF307" s="21"/>
      <c r="OOG307" s="21"/>
      <c r="OOH307" s="21"/>
      <c r="OOI307" s="21"/>
      <c r="OOJ307" s="21"/>
      <c r="OOK307" s="21"/>
      <c r="OOL307" s="21"/>
      <c r="OOM307" s="21"/>
      <c r="OON307" s="21"/>
      <c r="OOO307" s="21"/>
      <c r="OOP307" s="21"/>
      <c r="OOQ307" s="21"/>
      <c r="OOR307" s="21"/>
      <c r="OOS307" s="21"/>
      <c r="OOT307" s="21"/>
      <c r="OOU307" s="21"/>
      <c r="OOV307" s="21"/>
      <c r="OOW307" s="21"/>
      <c r="OOX307" s="21"/>
      <c r="OOY307" s="21"/>
      <c r="OOZ307" s="21"/>
      <c r="OPA307" s="21"/>
      <c r="OPB307" s="21"/>
      <c r="OPC307" s="21"/>
      <c r="OPD307" s="21"/>
      <c r="OPE307" s="21"/>
      <c r="OPF307" s="21"/>
      <c r="OPG307" s="21"/>
      <c r="OPH307" s="21"/>
      <c r="OPI307" s="21"/>
      <c r="OPJ307" s="21"/>
      <c r="OPK307" s="21"/>
      <c r="OPL307" s="21"/>
      <c r="OPM307" s="21"/>
      <c r="OPN307" s="21"/>
      <c r="OPO307" s="21"/>
      <c r="OPP307" s="21"/>
      <c r="OPQ307" s="21"/>
      <c r="OPR307" s="21"/>
      <c r="OPS307" s="21"/>
      <c r="OPT307" s="21"/>
      <c r="OPU307" s="21"/>
      <c r="OPV307" s="21"/>
      <c r="OPW307" s="21"/>
      <c r="OPX307" s="21"/>
      <c r="OPY307" s="21"/>
      <c r="OPZ307" s="21"/>
      <c r="OQA307" s="21"/>
      <c r="OQB307" s="21"/>
      <c r="OQC307" s="21"/>
      <c r="OQD307" s="21"/>
      <c r="OQE307" s="21"/>
      <c r="OQF307" s="21"/>
      <c r="OQG307" s="21"/>
      <c r="OQH307" s="21"/>
      <c r="OQI307" s="21"/>
      <c r="OQJ307" s="21"/>
      <c r="OQK307" s="21"/>
      <c r="OQL307" s="21"/>
      <c r="OQM307" s="21"/>
      <c r="OQN307" s="21"/>
      <c r="OQO307" s="21"/>
      <c r="OQP307" s="21"/>
      <c r="OQQ307" s="21"/>
      <c r="OQR307" s="21"/>
      <c r="OQS307" s="21"/>
      <c r="OQT307" s="21"/>
      <c r="OQU307" s="21"/>
      <c r="OQV307" s="21"/>
      <c r="OQW307" s="21"/>
      <c r="OQX307" s="21"/>
      <c r="OQY307" s="21"/>
      <c r="OQZ307" s="21"/>
      <c r="ORA307" s="21"/>
      <c r="ORB307" s="21"/>
      <c r="ORC307" s="21"/>
      <c r="ORD307" s="21"/>
      <c r="ORE307" s="21"/>
      <c r="ORF307" s="21"/>
      <c r="ORG307" s="21"/>
      <c r="ORH307" s="21"/>
      <c r="ORI307" s="21"/>
      <c r="ORJ307" s="21"/>
      <c r="ORK307" s="21"/>
      <c r="ORL307" s="21"/>
      <c r="ORM307" s="21"/>
      <c r="ORN307" s="21"/>
      <c r="ORO307" s="21"/>
      <c r="ORP307" s="21"/>
      <c r="ORQ307" s="21"/>
      <c r="ORR307" s="21"/>
      <c r="ORS307" s="21"/>
      <c r="ORT307" s="21"/>
      <c r="ORU307" s="21"/>
      <c r="ORV307" s="21"/>
      <c r="ORW307" s="21"/>
      <c r="ORX307" s="21"/>
      <c r="ORY307" s="21"/>
      <c r="ORZ307" s="21"/>
      <c r="OSA307" s="21"/>
      <c r="OSB307" s="21"/>
      <c r="OSC307" s="21"/>
      <c r="OSD307" s="21"/>
      <c r="OSE307" s="21"/>
      <c r="OSF307" s="21"/>
      <c r="OSG307" s="21"/>
      <c r="OSH307" s="21"/>
      <c r="OSI307" s="21"/>
      <c r="OSJ307" s="21"/>
      <c r="OSK307" s="21"/>
      <c r="OSL307" s="21"/>
      <c r="OSM307" s="21"/>
      <c r="OSN307" s="21"/>
      <c r="OSO307" s="21"/>
      <c r="OSP307" s="21"/>
      <c r="OSQ307" s="21"/>
      <c r="OSR307" s="21"/>
      <c r="OSS307" s="21"/>
      <c r="OST307" s="21"/>
      <c r="OSU307" s="21"/>
      <c r="OSV307" s="21"/>
      <c r="OSW307" s="21"/>
      <c r="OSX307" s="21"/>
      <c r="OSY307" s="21"/>
      <c r="OSZ307" s="21"/>
      <c r="OTA307" s="21"/>
      <c r="OTB307" s="21"/>
      <c r="OTC307" s="21"/>
      <c r="OTD307" s="21"/>
      <c r="OTE307" s="21"/>
      <c r="OTF307" s="21"/>
      <c r="OTG307" s="21"/>
      <c r="OTH307" s="21"/>
      <c r="OTI307" s="21"/>
      <c r="OTJ307" s="21"/>
      <c r="OTK307" s="21"/>
      <c r="OTL307" s="21"/>
      <c r="OTM307" s="21"/>
      <c r="OTN307" s="21"/>
      <c r="OTO307" s="21"/>
      <c r="OTP307" s="21"/>
      <c r="OTQ307" s="21"/>
      <c r="OTR307" s="21"/>
      <c r="OTS307" s="21"/>
      <c r="OTT307" s="21"/>
      <c r="OTU307" s="21"/>
      <c r="OTV307" s="21"/>
      <c r="OTW307" s="21"/>
      <c r="OTX307" s="21"/>
      <c r="OTY307" s="21"/>
      <c r="OTZ307" s="21"/>
      <c r="OUA307" s="21"/>
      <c r="OUB307" s="21"/>
      <c r="OUC307" s="21"/>
      <c r="OUD307" s="21"/>
      <c r="OUE307" s="21"/>
      <c r="OUF307" s="21"/>
      <c r="OUG307" s="21"/>
      <c r="OUH307" s="21"/>
      <c r="OUI307" s="21"/>
      <c r="OUJ307" s="21"/>
      <c r="OUK307" s="21"/>
      <c r="OUL307" s="21"/>
      <c r="OUM307" s="21"/>
      <c r="OUN307" s="21"/>
      <c r="OUO307" s="21"/>
      <c r="OUP307" s="21"/>
      <c r="OUQ307" s="21"/>
      <c r="OUR307" s="21"/>
      <c r="OUS307" s="21"/>
      <c r="OUT307" s="21"/>
      <c r="OUU307" s="21"/>
      <c r="OUV307" s="21"/>
      <c r="OUW307" s="21"/>
      <c r="OUX307" s="21"/>
      <c r="OUY307" s="21"/>
      <c r="OUZ307" s="21"/>
      <c r="OVA307" s="21"/>
      <c r="OVB307" s="21"/>
      <c r="OVC307" s="21"/>
      <c r="OVD307" s="21"/>
      <c r="OVE307" s="21"/>
      <c r="OVF307" s="21"/>
      <c r="OVG307" s="21"/>
      <c r="OVH307" s="21"/>
      <c r="OVI307" s="21"/>
      <c r="OVJ307" s="21"/>
      <c r="OVK307" s="21"/>
      <c r="OVL307" s="21"/>
      <c r="OVM307" s="21"/>
      <c r="OVN307" s="21"/>
      <c r="OVO307" s="21"/>
      <c r="OVP307" s="21"/>
      <c r="OVQ307" s="21"/>
      <c r="OVR307" s="21"/>
      <c r="OVS307" s="21"/>
      <c r="OVT307" s="21"/>
      <c r="OVU307" s="21"/>
      <c r="OVV307" s="21"/>
      <c r="OVW307" s="21"/>
      <c r="OVX307" s="21"/>
      <c r="OVY307" s="21"/>
      <c r="OVZ307" s="21"/>
      <c r="OWA307" s="21"/>
      <c r="OWB307" s="21"/>
      <c r="OWC307" s="21"/>
      <c r="OWD307" s="21"/>
      <c r="OWE307" s="21"/>
      <c r="OWF307" s="21"/>
      <c r="OWG307" s="21"/>
      <c r="OWH307" s="21"/>
      <c r="OWI307" s="21"/>
      <c r="OWJ307" s="21"/>
      <c r="OWK307" s="21"/>
      <c r="OWL307" s="21"/>
      <c r="OWM307" s="21"/>
      <c r="OWN307" s="21"/>
      <c r="OWO307" s="21"/>
      <c r="OWP307" s="21"/>
      <c r="OWQ307" s="21"/>
      <c r="OWR307" s="21"/>
      <c r="OWS307" s="21"/>
      <c r="OWT307" s="21"/>
      <c r="OWU307" s="21"/>
      <c r="OWV307" s="21"/>
      <c r="OWW307" s="21"/>
      <c r="OWX307" s="21"/>
      <c r="OWY307" s="21"/>
      <c r="OWZ307" s="21"/>
      <c r="OXA307" s="21"/>
      <c r="OXB307" s="21"/>
      <c r="OXC307" s="21"/>
      <c r="OXD307" s="21"/>
      <c r="OXE307" s="21"/>
      <c r="OXF307" s="21"/>
      <c r="OXG307" s="21"/>
      <c r="OXH307" s="21"/>
      <c r="OXI307" s="21"/>
      <c r="OXJ307" s="21"/>
      <c r="OXK307" s="21"/>
      <c r="OXL307" s="21"/>
      <c r="OXM307" s="21"/>
      <c r="OXN307" s="21"/>
      <c r="OXO307" s="21"/>
      <c r="OXP307" s="21"/>
      <c r="OXQ307" s="21"/>
      <c r="OXR307" s="21"/>
      <c r="OXS307" s="21"/>
      <c r="OXT307" s="21"/>
      <c r="OXU307" s="21"/>
      <c r="OXV307" s="21"/>
      <c r="OXW307" s="21"/>
      <c r="OXX307" s="21"/>
      <c r="OXY307" s="21"/>
      <c r="OXZ307" s="21"/>
      <c r="OYA307" s="21"/>
      <c r="OYB307" s="21"/>
      <c r="OYC307" s="21"/>
      <c r="OYD307" s="21"/>
      <c r="OYE307" s="21"/>
      <c r="OYF307" s="21"/>
      <c r="OYG307" s="21"/>
      <c r="OYH307" s="21"/>
      <c r="OYI307" s="21"/>
      <c r="OYJ307" s="21"/>
      <c r="OYK307" s="21"/>
      <c r="OYL307" s="21"/>
      <c r="OYM307" s="21"/>
      <c r="OYN307" s="21"/>
      <c r="OYO307" s="21"/>
      <c r="OYP307" s="21"/>
      <c r="OYQ307" s="21"/>
      <c r="OYR307" s="21"/>
      <c r="OYS307" s="21"/>
      <c r="OYT307" s="21"/>
      <c r="OYU307" s="21"/>
      <c r="OYV307" s="21"/>
      <c r="OYW307" s="21"/>
      <c r="OYX307" s="21"/>
      <c r="OYY307" s="21"/>
      <c r="OYZ307" s="21"/>
      <c r="OZA307" s="21"/>
      <c r="OZB307" s="21"/>
      <c r="OZC307" s="21"/>
      <c r="OZD307" s="21"/>
      <c r="OZE307" s="21"/>
      <c r="OZF307" s="21"/>
      <c r="OZG307" s="21"/>
      <c r="OZH307" s="21"/>
      <c r="OZI307" s="21"/>
      <c r="OZJ307" s="21"/>
      <c r="OZK307" s="21"/>
      <c r="OZL307" s="21"/>
      <c r="OZM307" s="21"/>
      <c r="OZN307" s="21"/>
      <c r="OZO307" s="21"/>
      <c r="OZP307" s="21"/>
      <c r="OZQ307" s="21"/>
      <c r="OZR307" s="21"/>
      <c r="OZS307" s="21"/>
      <c r="OZT307" s="21"/>
      <c r="OZU307" s="21"/>
      <c r="OZV307" s="21"/>
      <c r="OZW307" s="21"/>
      <c r="OZX307" s="21"/>
      <c r="OZY307" s="21"/>
      <c r="OZZ307" s="21"/>
      <c r="PAA307" s="21"/>
      <c r="PAB307" s="21"/>
      <c r="PAC307" s="21"/>
      <c r="PAD307" s="21"/>
      <c r="PAE307" s="21"/>
      <c r="PAF307" s="21"/>
      <c r="PAG307" s="21"/>
      <c r="PAH307" s="21"/>
      <c r="PAI307" s="21"/>
      <c r="PAJ307" s="21"/>
      <c r="PAK307" s="21"/>
      <c r="PAL307" s="21"/>
      <c r="PAM307" s="21"/>
      <c r="PAN307" s="21"/>
      <c r="PAO307" s="21"/>
      <c r="PAP307" s="21"/>
      <c r="PAQ307" s="21"/>
      <c r="PAR307" s="21"/>
      <c r="PAS307" s="21"/>
      <c r="PAT307" s="21"/>
      <c r="PAU307" s="21"/>
      <c r="PAV307" s="21"/>
      <c r="PAW307" s="21"/>
      <c r="PAX307" s="21"/>
      <c r="PAY307" s="21"/>
      <c r="PAZ307" s="21"/>
      <c r="PBA307" s="21"/>
      <c r="PBB307" s="21"/>
      <c r="PBC307" s="21"/>
      <c r="PBD307" s="21"/>
      <c r="PBE307" s="21"/>
      <c r="PBF307" s="21"/>
      <c r="PBG307" s="21"/>
      <c r="PBH307" s="21"/>
      <c r="PBI307" s="21"/>
      <c r="PBJ307" s="21"/>
      <c r="PBK307" s="21"/>
      <c r="PBL307" s="21"/>
      <c r="PBM307" s="21"/>
      <c r="PBN307" s="21"/>
      <c r="PBO307" s="21"/>
      <c r="PBP307" s="21"/>
      <c r="PBQ307" s="21"/>
      <c r="PBR307" s="21"/>
      <c r="PBS307" s="21"/>
      <c r="PBT307" s="21"/>
      <c r="PBU307" s="21"/>
      <c r="PBV307" s="21"/>
      <c r="PBW307" s="21"/>
      <c r="PBX307" s="21"/>
      <c r="PBY307" s="21"/>
      <c r="PBZ307" s="21"/>
      <c r="PCA307" s="21"/>
      <c r="PCB307" s="21"/>
      <c r="PCC307" s="21"/>
      <c r="PCD307" s="21"/>
      <c r="PCE307" s="21"/>
      <c r="PCF307" s="21"/>
      <c r="PCG307" s="21"/>
      <c r="PCH307" s="21"/>
      <c r="PCI307" s="21"/>
      <c r="PCJ307" s="21"/>
      <c r="PCK307" s="21"/>
      <c r="PCL307" s="21"/>
      <c r="PCM307" s="21"/>
      <c r="PCN307" s="21"/>
      <c r="PCO307" s="21"/>
      <c r="PCP307" s="21"/>
      <c r="PCQ307" s="21"/>
      <c r="PCR307" s="21"/>
      <c r="PCS307" s="21"/>
      <c r="PCT307" s="21"/>
      <c r="PCU307" s="21"/>
      <c r="PCV307" s="21"/>
      <c r="PCW307" s="21"/>
      <c r="PCX307" s="21"/>
      <c r="PCY307" s="21"/>
      <c r="PCZ307" s="21"/>
      <c r="PDA307" s="21"/>
      <c r="PDB307" s="21"/>
      <c r="PDC307" s="21"/>
      <c r="PDD307" s="21"/>
      <c r="PDE307" s="21"/>
      <c r="PDF307" s="21"/>
      <c r="PDG307" s="21"/>
      <c r="PDH307" s="21"/>
      <c r="PDI307" s="21"/>
      <c r="PDJ307" s="21"/>
      <c r="PDK307" s="21"/>
      <c r="PDL307" s="21"/>
      <c r="PDM307" s="21"/>
      <c r="PDN307" s="21"/>
      <c r="PDO307" s="21"/>
      <c r="PDP307" s="21"/>
      <c r="PDQ307" s="21"/>
      <c r="PDR307" s="21"/>
      <c r="PDS307" s="21"/>
      <c r="PDT307" s="21"/>
      <c r="PDU307" s="21"/>
      <c r="PDV307" s="21"/>
      <c r="PDW307" s="21"/>
      <c r="PDX307" s="21"/>
      <c r="PDY307" s="21"/>
      <c r="PDZ307" s="21"/>
      <c r="PEA307" s="21"/>
      <c r="PEB307" s="21"/>
      <c r="PEC307" s="21"/>
      <c r="PED307" s="21"/>
      <c r="PEE307" s="21"/>
      <c r="PEF307" s="21"/>
      <c r="PEG307" s="21"/>
      <c r="PEH307" s="21"/>
      <c r="PEI307" s="21"/>
      <c r="PEJ307" s="21"/>
      <c r="PEK307" s="21"/>
      <c r="PEL307" s="21"/>
      <c r="PEM307" s="21"/>
      <c r="PEN307" s="21"/>
      <c r="PEO307" s="21"/>
      <c r="PEP307" s="21"/>
      <c r="PEQ307" s="21"/>
      <c r="PER307" s="21"/>
      <c r="PES307" s="21"/>
      <c r="PET307" s="21"/>
      <c r="PEU307" s="21"/>
      <c r="PEV307" s="21"/>
      <c r="PEW307" s="21"/>
      <c r="PEX307" s="21"/>
      <c r="PEY307" s="21"/>
      <c r="PEZ307" s="21"/>
      <c r="PFA307" s="21"/>
      <c r="PFB307" s="21"/>
      <c r="PFC307" s="21"/>
      <c r="PFD307" s="21"/>
      <c r="PFE307" s="21"/>
      <c r="PFF307" s="21"/>
      <c r="PFG307" s="21"/>
      <c r="PFH307" s="21"/>
      <c r="PFI307" s="21"/>
      <c r="PFJ307" s="21"/>
      <c r="PFK307" s="21"/>
      <c r="PFL307" s="21"/>
      <c r="PFM307" s="21"/>
      <c r="PFN307" s="21"/>
      <c r="PFO307" s="21"/>
      <c r="PFP307" s="21"/>
      <c r="PFQ307" s="21"/>
      <c r="PFR307" s="21"/>
      <c r="PFS307" s="21"/>
      <c r="PFT307" s="21"/>
      <c r="PFU307" s="21"/>
      <c r="PFV307" s="21"/>
      <c r="PFW307" s="21"/>
      <c r="PFX307" s="21"/>
      <c r="PFY307" s="21"/>
      <c r="PFZ307" s="21"/>
      <c r="PGA307" s="21"/>
      <c r="PGB307" s="21"/>
      <c r="PGC307" s="21"/>
      <c r="PGD307" s="21"/>
      <c r="PGE307" s="21"/>
      <c r="PGF307" s="21"/>
      <c r="PGG307" s="21"/>
      <c r="PGH307" s="21"/>
      <c r="PGI307" s="21"/>
      <c r="PGJ307" s="21"/>
      <c r="PGK307" s="21"/>
      <c r="PGL307" s="21"/>
      <c r="PGM307" s="21"/>
      <c r="PGN307" s="21"/>
      <c r="PGO307" s="21"/>
      <c r="PGP307" s="21"/>
      <c r="PGQ307" s="21"/>
      <c r="PGR307" s="21"/>
      <c r="PGS307" s="21"/>
      <c r="PGT307" s="21"/>
      <c r="PGU307" s="21"/>
      <c r="PGV307" s="21"/>
      <c r="PGW307" s="21"/>
      <c r="PGX307" s="21"/>
      <c r="PGY307" s="21"/>
      <c r="PGZ307" s="21"/>
      <c r="PHA307" s="21"/>
      <c r="PHB307" s="21"/>
      <c r="PHC307" s="21"/>
      <c r="PHD307" s="21"/>
      <c r="PHE307" s="21"/>
      <c r="PHF307" s="21"/>
      <c r="PHG307" s="21"/>
      <c r="PHH307" s="21"/>
      <c r="PHI307" s="21"/>
      <c r="PHJ307" s="21"/>
      <c r="PHK307" s="21"/>
      <c r="PHL307" s="21"/>
      <c r="PHM307" s="21"/>
      <c r="PHN307" s="21"/>
      <c r="PHO307" s="21"/>
      <c r="PHP307" s="21"/>
      <c r="PHQ307" s="21"/>
      <c r="PHR307" s="21"/>
      <c r="PHS307" s="21"/>
      <c r="PHT307" s="21"/>
      <c r="PHU307" s="21"/>
      <c r="PHV307" s="21"/>
      <c r="PHW307" s="21"/>
      <c r="PHX307" s="21"/>
      <c r="PHY307" s="21"/>
      <c r="PHZ307" s="21"/>
      <c r="PIA307" s="21"/>
      <c r="PIB307" s="21"/>
      <c r="PIC307" s="21"/>
      <c r="PID307" s="21"/>
      <c r="PIE307" s="21"/>
      <c r="PIF307" s="21"/>
      <c r="PIG307" s="21"/>
      <c r="PIH307" s="21"/>
      <c r="PII307" s="21"/>
      <c r="PIJ307" s="21"/>
      <c r="PIK307" s="21"/>
      <c r="PIL307" s="21"/>
      <c r="PIM307" s="21"/>
      <c r="PIN307" s="21"/>
      <c r="PIO307" s="21"/>
      <c r="PIP307" s="21"/>
      <c r="PIQ307" s="21"/>
      <c r="PIR307" s="21"/>
      <c r="PIS307" s="21"/>
      <c r="PIT307" s="21"/>
      <c r="PIU307" s="21"/>
      <c r="PIV307" s="21"/>
      <c r="PIW307" s="21"/>
      <c r="PIX307" s="21"/>
      <c r="PIY307" s="21"/>
      <c r="PIZ307" s="21"/>
      <c r="PJA307" s="21"/>
      <c r="PJB307" s="21"/>
      <c r="PJC307" s="21"/>
      <c r="PJD307" s="21"/>
      <c r="PJE307" s="21"/>
      <c r="PJF307" s="21"/>
      <c r="PJG307" s="21"/>
      <c r="PJH307" s="21"/>
      <c r="PJI307" s="21"/>
      <c r="PJJ307" s="21"/>
      <c r="PJK307" s="21"/>
      <c r="PJL307" s="21"/>
      <c r="PJM307" s="21"/>
      <c r="PJN307" s="21"/>
      <c r="PJO307" s="21"/>
      <c r="PJP307" s="21"/>
      <c r="PJQ307" s="21"/>
      <c r="PJR307" s="21"/>
      <c r="PJS307" s="21"/>
      <c r="PJT307" s="21"/>
      <c r="PJU307" s="21"/>
      <c r="PJV307" s="21"/>
      <c r="PJW307" s="21"/>
      <c r="PJX307" s="21"/>
      <c r="PJY307" s="21"/>
      <c r="PJZ307" s="21"/>
      <c r="PKA307" s="21"/>
      <c r="PKB307" s="21"/>
      <c r="PKC307" s="21"/>
      <c r="PKD307" s="21"/>
      <c r="PKE307" s="21"/>
      <c r="PKF307" s="21"/>
      <c r="PKG307" s="21"/>
      <c r="PKH307" s="21"/>
      <c r="PKI307" s="21"/>
      <c r="PKJ307" s="21"/>
      <c r="PKK307" s="21"/>
      <c r="PKL307" s="21"/>
      <c r="PKM307" s="21"/>
      <c r="PKN307" s="21"/>
      <c r="PKO307" s="21"/>
      <c r="PKP307" s="21"/>
      <c r="PKQ307" s="21"/>
      <c r="PKR307" s="21"/>
      <c r="PKS307" s="21"/>
      <c r="PKT307" s="21"/>
      <c r="PKU307" s="21"/>
      <c r="PKV307" s="21"/>
      <c r="PKW307" s="21"/>
      <c r="PKX307" s="21"/>
      <c r="PKY307" s="21"/>
      <c r="PKZ307" s="21"/>
      <c r="PLA307" s="21"/>
      <c r="PLB307" s="21"/>
      <c r="PLC307" s="21"/>
      <c r="PLD307" s="21"/>
      <c r="PLE307" s="21"/>
      <c r="PLF307" s="21"/>
      <c r="PLG307" s="21"/>
      <c r="PLH307" s="21"/>
      <c r="PLI307" s="21"/>
      <c r="PLJ307" s="21"/>
      <c r="PLK307" s="21"/>
      <c r="PLL307" s="21"/>
      <c r="PLM307" s="21"/>
      <c r="PLN307" s="21"/>
      <c r="PLO307" s="21"/>
      <c r="PLP307" s="21"/>
      <c r="PLQ307" s="21"/>
      <c r="PLR307" s="21"/>
      <c r="PLS307" s="21"/>
      <c r="PLT307" s="21"/>
      <c r="PLU307" s="21"/>
      <c r="PLV307" s="21"/>
      <c r="PLW307" s="21"/>
      <c r="PLX307" s="21"/>
      <c r="PLY307" s="21"/>
      <c r="PLZ307" s="21"/>
      <c r="PMA307" s="21"/>
      <c r="PMB307" s="21"/>
      <c r="PMC307" s="21"/>
      <c r="PMD307" s="21"/>
      <c r="PME307" s="21"/>
      <c r="PMF307" s="21"/>
      <c r="PMG307" s="21"/>
      <c r="PMH307" s="21"/>
      <c r="PMI307" s="21"/>
      <c r="PMJ307" s="21"/>
      <c r="PMK307" s="21"/>
      <c r="PML307" s="21"/>
      <c r="PMM307" s="21"/>
      <c r="PMN307" s="21"/>
      <c r="PMO307" s="21"/>
      <c r="PMP307" s="21"/>
      <c r="PMQ307" s="21"/>
      <c r="PMR307" s="21"/>
      <c r="PMS307" s="21"/>
      <c r="PMT307" s="21"/>
      <c r="PMU307" s="21"/>
      <c r="PMV307" s="21"/>
      <c r="PMW307" s="21"/>
      <c r="PMX307" s="21"/>
      <c r="PMY307" s="21"/>
      <c r="PMZ307" s="21"/>
      <c r="PNA307" s="21"/>
      <c r="PNB307" s="21"/>
      <c r="PNC307" s="21"/>
      <c r="PND307" s="21"/>
      <c r="PNE307" s="21"/>
      <c r="PNF307" s="21"/>
      <c r="PNG307" s="21"/>
      <c r="PNH307" s="21"/>
      <c r="PNI307" s="21"/>
      <c r="PNJ307" s="21"/>
      <c r="PNK307" s="21"/>
      <c r="PNL307" s="21"/>
      <c r="PNM307" s="21"/>
      <c r="PNN307" s="21"/>
      <c r="PNO307" s="21"/>
      <c r="PNP307" s="21"/>
      <c r="PNQ307" s="21"/>
      <c r="PNR307" s="21"/>
      <c r="PNS307" s="21"/>
      <c r="PNT307" s="21"/>
      <c r="PNU307" s="21"/>
      <c r="PNV307" s="21"/>
      <c r="PNW307" s="21"/>
      <c r="PNX307" s="21"/>
      <c r="PNY307" s="21"/>
      <c r="PNZ307" s="21"/>
      <c r="POA307" s="21"/>
      <c r="POB307" s="21"/>
      <c r="POC307" s="21"/>
      <c r="POD307" s="21"/>
      <c r="POE307" s="21"/>
      <c r="POF307" s="21"/>
      <c r="POG307" s="21"/>
      <c r="POH307" s="21"/>
      <c r="POI307" s="21"/>
      <c r="POJ307" s="21"/>
      <c r="POK307" s="21"/>
      <c r="POL307" s="21"/>
      <c r="POM307" s="21"/>
      <c r="PON307" s="21"/>
      <c r="POO307" s="21"/>
      <c r="POP307" s="21"/>
      <c r="POQ307" s="21"/>
      <c r="POR307" s="21"/>
      <c r="POS307" s="21"/>
      <c r="POT307" s="21"/>
      <c r="POU307" s="21"/>
      <c r="POV307" s="21"/>
      <c r="POW307" s="21"/>
      <c r="POX307" s="21"/>
      <c r="POY307" s="21"/>
      <c r="POZ307" s="21"/>
      <c r="PPA307" s="21"/>
      <c r="PPB307" s="21"/>
      <c r="PPC307" s="21"/>
      <c r="PPD307" s="21"/>
      <c r="PPE307" s="21"/>
      <c r="PPF307" s="21"/>
      <c r="PPG307" s="21"/>
      <c r="PPH307" s="21"/>
      <c r="PPI307" s="21"/>
      <c r="PPJ307" s="21"/>
      <c r="PPK307" s="21"/>
      <c r="PPL307" s="21"/>
      <c r="PPM307" s="21"/>
      <c r="PPN307" s="21"/>
      <c r="PPO307" s="21"/>
      <c r="PPP307" s="21"/>
      <c r="PPQ307" s="21"/>
      <c r="PPR307" s="21"/>
      <c r="PPS307" s="21"/>
      <c r="PPT307" s="21"/>
      <c r="PPU307" s="21"/>
      <c r="PPV307" s="21"/>
      <c r="PPW307" s="21"/>
      <c r="PPX307" s="21"/>
      <c r="PPY307" s="21"/>
      <c r="PPZ307" s="21"/>
      <c r="PQA307" s="21"/>
      <c r="PQB307" s="21"/>
      <c r="PQC307" s="21"/>
      <c r="PQD307" s="21"/>
      <c r="PQE307" s="21"/>
      <c r="PQF307" s="21"/>
      <c r="PQG307" s="21"/>
      <c r="PQH307" s="21"/>
      <c r="PQI307" s="21"/>
      <c r="PQJ307" s="21"/>
      <c r="PQK307" s="21"/>
      <c r="PQL307" s="21"/>
      <c r="PQM307" s="21"/>
      <c r="PQN307" s="21"/>
      <c r="PQO307" s="21"/>
      <c r="PQP307" s="21"/>
      <c r="PQQ307" s="21"/>
      <c r="PQR307" s="21"/>
      <c r="PQS307" s="21"/>
      <c r="PQT307" s="21"/>
      <c r="PQU307" s="21"/>
      <c r="PQV307" s="21"/>
      <c r="PQW307" s="21"/>
      <c r="PQX307" s="21"/>
      <c r="PQY307" s="21"/>
      <c r="PQZ307" s="21"/>
      <c r="PRA307" s="21"/>
      <c r="PRB307" s="21"/>
      <c r="PRC307" s="21"/>
      <c r="PRD307" s="21"/>
      <c r="PRE307" s="21"/>
      <c r="PRF307" s="21"/>
      <c r="PRG307" s="21"/>
      <c r="PRH307" s="21"/>
      <c r="PRI307" s="21"/>
      <c r="PRJ307" s="21"/>
      <c r="PRK307" s="21"/>
      <c r="PRL307" s="21"/>
      <c r="PRM307" s="21"/>
      <c r="PRN307" s="21"/>
      <c r="PRO307" s="21"/>
      <c r="PRP307" s="21"/>
      <c r="PRQ307" s="21"/>
      <c r="PRR307" s="21"/>
      <c r="PRS307" s="21"/>
      <c r="PRT307" s="21"/>
      <c r="PRU307" s="21"/>
      <c r="PRV307" s="21"/>
      <c r="PRW307" s="21"/>
      <c r="PRX307" s="21"/>
      <c r="PRY307" s="21"/>
      <c r="PRZ307" s="21"/>
      <c r="PSA307" s="21"/>
      <c r="PSB307" s="21"/>
      <c r="PSC307" s="21"/>
      <c r="PSD307" s="21"/>
      <c r="PSE307" s="21"/>
      <c r="PSF307" s="21"/>
      <c r="PSG307" s="21"/>
      <c r="PSH307" s="21"/>
      <c r="PSI307" s="21"/>
      <c r="PSJ307" s="21"/>
      <c r="PSK307" s="21"/>
      <c r="PSL307" s="21"/>
      <c r="PSM307" s="21"/>
      <c r="PSN307" s="21"/>
      <c r="PSO307" s="21"/>
      <c r="PSP307" s="21"/>
      <c r="PSQ307" s="21"/>
      <c r="PSR307" s="21"/>
      <c r="PSS307" s="21"/>
      <c r="PST307" s="21"/>
      <c r="PSU307" s="21"/>
      <c r="PSV307" s="21"/>
      <c r="PSW307" s="21"/>
      <c r="PSX307" s="21"/>
      <c r="PSY307" s="21"/>
      <c r="PSZ307" s="21"/>
      <c r="PTA307" s="21"/>
      <c r="PTB307" s="21"/>
      <c r="PTC307" s="21"/>
      <c r="PTD307" s="21"/>
      <c r="PTE307" s="21"/>
      <c r="PTF307" s="21"/>
      <c r="PTG307" s="21"/>
      <c r="PTH307" s="21"/>
      <c r="PTI307" s="21"/>
      <c r="PTJ307" s="21"/>
      <c r="PTK307" s="21"/>
      <c r="PTL307" s="21"/>
      <c r="PTM307" s="21"/>
      <c r="PTN307" s="21"/>
      <c r="PTO307" s="21"/>
      <c r="PTP307" s="21"/>
      <c r="PTQ307" s="21"/>
      <c r="PTR307" s="21"/>
      <c r="PTS307" s="21"/>
      <c r="PTT307" s="21"/>
      <c r="PTU307" s="21"/>
      <c r="PTV307" s="21"/>
      <c r="PTW307" s="21"/>
      <c r="PTX307" s="21"/>
      <c r="PTY307" s="21"/>
      <c r="PTZ307" s="21"/>
      <c r="PUA307" s="21"/>
      <c r="PUB307" s="21"/>
      <c r="PUC307" s="21"/>
      <c r="PUD307" s="21"/>
      <c r="PUE307" s="21"/>
      <c r="PUF307" s="21"/>
      <c r="PUG307" s="21"/>
      <c r="PUH307" s="21"/>
      <c r="PUI307" s="21"/>
      <c r="PUJ307" s="21"/>
      <c r="PUK307" s="21"/>
      <c r="PUL307" s="21"/>
      <c r="PUM307" s="21"/>
      <c r="PUN307" s="21"/>
      <c r="PUO307" s="21"/>
      <c r="PUP307" s="21"/>
      <c r="PUQ307" s="21"/>
      <c r="PUR307" s="21"/>
      <c r="PUS307" s="21"/>
      <c r="PUT307" s="21"/>
      <c r="PUU307" s="21"/>
      <c r="PUV307" s="21"/>
      <c r="PUW307" s="21"/>
      <c r="PUX307" s="21"/>
      <c r="PUY307" s="21"/>
      <c r="PUZ307" s="21"/>
      <c r="PVA307" s="21"/>
      <c r="PVB307" s="21"/>
      <c r="PVC307" s="21"/>
      <c r="PVD307" s="21"/>
      <c r="PVE307" s="21"/>
      <c r="PVF307" s="21"/>
      <c r="PVG307" s="21"/>
      <c r="PVH307" s="21"/>
      <c r="PVI307" s="21"/>
      <c r="PVJ307" s="21"/>
      <c r="PVK307" s="21"/>
      <c r="PVL307" s="21"/>
      <c r="PVM307" s="21"/>
      <c r="PVN307" s="21"/>
      <c r="PVO307" s="21"/>
      <c r="PVP307" s="21"/>
      <c r="PVQ307" s="21"/>
      <c r="PVR307" s="21"/>
      <c r="PVS307" s="21"/>
      <c r="PVT307" s="21"/>
      <c r="PVU307" s="21"/>
      <c r="PVV307" s="21"/>
      <c r="PVW307" s="21"/>
      <c r="PVX307" s="21"/>
      <c r="PVY307" s="21"/>
      <c r="PVZ307" s="21"/>
      <c r="PWA307" s="21"/>
      <c r="PWB307" s="21"/>
      <c r="PWC307" s="21"/>
      <c r="PWD307" s="21"/>
      <c r="PWE307" s="21"/>
      <c r="PWF307" s="21"/>
      <c r="PWG307" s="21"/>
      <c r="PWH307" s="21"/>
      <c r="PWI307" s="21"/>
      <c r="PWJ307" s="21"/>
      <c r="PWK307" s="21"/>
      <c r="PWL307" s="21"/>
      <c r="PWM307" s="21"/>
      <c r="PWN307" s="21"/>
      <c r="PWO307" s="21"/>
      <c r="PWP307" s="21"/>
      <c r="PWQ307" s="21"/>
      <c r="PWR307" s="21"/>
      <c r="PWS307" s="21"/>
      <c r="PWT307" s="21"/>
      <c r="PWU307" s="21"/>
      <c r="PWV307" s="21"/>
      <c r="PWW307" s="21"/>
      <c r="PWX307" s="21"/>
      <c r="PWY307" s="21"/>
      <c r="PWZ307" s="21"/>
      <c r="PXA307" s="21"/>
      <c r="PXB307" s="21"/>
      <c r="PXC307" s="21"/>
      <c r="PXD307" s="21"/>
      <c r="PXE307" s="21"/>
      <c r="PXF307" s="21"/>
      <c r="PXG307" s="21"/>
      <c r="PXH307" s="21"/>
      <c r="PXI307" s="21"/>
      <c r="PXJ307" s="21"/>
      <c r="PXK307" s="21"/>
      <c r="PXL307" s="21"/>
      <c r="PXM307" s="21"/>
      <c r="PXN307" s="21"/>
      <c r="PXO307" s="21"/>
      <c r="PXP307" s="21"/>
      <c r="PXQ307" s="21"/>
      <c r="PXR307" s="21"/>
      <c r="PXS307" s="21"/>
      <c r="PXT307" s="21"/>
      <c r="PXU307" s="21"/>
      <c r="PXV307" s="21"/>
      <c r="PXW307" s="21"/>
      <c r="PXX307" s="21"/>
      <c r="PXY307" s="21"/>
      <c r="PXZ307" s="21"/>
      <c r="PYA307" s="21"/>
      <c r="PYB307" s="21"/>
      <c r="PYC307" s="21"/>
      <c r="PYD307" s="21"/>
      <c r="PYE307" s="21"/>
      <c r="PYF307" s="21"/>
      <c r="PYG307" s="21"/>
      <c r="PYH307" s="21"/>
      <c r="PYI307" s="21"/>
      <c r="PYJ307" s="21"/>
      <c r="PYK307" s="21"/>
      <c r="PYL307" s="21"/>
      <c r="PYM307" s="21"/>
      <c r="PYN307" s="21"/>
      <c r="PYO307" s="21"/>
      <c r="PYP307" s="21"/>
      <c r="PYQ307" s="21"/>
      <c r="PYR307" s="21"/>
      <c r="PYS307" s="21"/>
      <c r="PYT307" s="21"/>
      <c r="PYU307" s="21"/>
      <c r="PYV307" s="21"/>
      <c r="PYW307" s="21"/>
      <c r="PYX307" s="21"/>
      <c r="PYY307" s="21"/>
      <c r="PYZ307" s="21"/>
      <c r="PZA307" s="21"/>
      <c r="PZB307" s="21"/>
      <c r="PZC307" s="21"/>
      <c r="PZD307" s="21"/>
      <c r="PZE307" s="21"/>
      <c r="PZF307" s="21"/>
      <c r="PZG307" s="21"/>
      <c r="PZH307" s="21"/>
      <c r="PZI307" s="21"/>
      <c r="PZJ307" s="21"/>
      <c r="PZK307" s="21"/>
      <c r="PZL307" s="21"/>
      <c r="PZM307" s="21"/>
      <c r="PZN307" s="21"/>
      <c r="PZO307" s="21"/>
      <c r="PZP307" s="21"/>
      <c r="PZQ307" s="21"/>
      <c r="PZR307" s="21"/>
      <c r="PZS307" s="21"/>
      <c r="PZT307" s="21"/>
      <c r="PZU307" s="21"/>
      <c r="PZV307" s="21"/>
      <c r="PZW307" s="21"/>
      <c r="PZX307" s="21"/>
      <c r="PZY307" s="21"/>
      <c r="PZZ307" s="21"/>
      <c r="QAA307" s="21"/>
      <c r="QAB307" s="21"/>
      <c r="QAC307" s="21"/>
      <c r="QAD307" s="21"/>
      <c r="QAE307" s="21"/>
      <c r="QAF307" s="21"/>
      <c r="QAG307" s="21"/>
      <c r="QAH307" s="21"/>
      <c r="QAI307" s="21"/>
      <c r="QAJ307" s="21"/>
      <c r="QAK307" s="21"/>
      <c r="QAL307" s="21"/>
      <c r="QAM307" s="21"/>
      <c r="QAN307" s="21"/>
      <c r="QAO307" s="21"/>
      <c r="QAP307" s="21"/>
      <c r="QAQ307" s="21"/>
      <c r="QAR307" s="21"/>
      <c r="QAS307" s="21"/>
      <c r="QAT307" s="21"/>
      <c r="QAU307" s="21"/>
      <c r="QAV307" s="21"/>
      <c r="QAW307" s="21"/>
      <c r="QAX307" s="21"/>
      <c r="QAY307" s="21"/>
      <c r="QAZ307" s="21"/>
      <c r="QBA307" s="21"/>
      <c r="QBB307" s="21"/>
      <c r="QBC307" s="21"/>
      <c r="QBD307" s="21"/>
      <c r="QBE307" s="21"/>
      <c r="QBF307" s="21"/>
      <c r="QBG307" s="21"/>
      <c r="QBH307" s="21"/>
      <c r="QBI307" s="21"/>
      <c r="QBJ307" s="21"/>
      <c r="QBK307" s="21"/>
      <c r="QBL307" s="21"/>
      <c r="QBM307" s="21"/>
      <c r="QBN307" s="21"/>
      <c r="QBO307" s="21"/>
      <c r="QBP307" s="21"/>
      <c r="QBQ307" s="21"/>
      <c r="QBR307" s="21"/>
      <c r="QBS307" s="21"/>
      <c r="QBT307" s="21"/>
      <c r="QBU307" s="21"/>
      <c r="QBV307" s="21"/>
      <c r="QBW307" s="21"/>
      <c r="QBX307" s="21"/>
      <c r="QBY307" s="21"/>
      <c r="QBZ307" s="21"/>
      <c r="QCA307" s="21"/>
      <c r="QCB307" s="21"/>
      <c r="QCC307" s="21"/>
      <c r="QCD307" s="21"/>
      <c r="QCE307" s="21"/>
      <c r="QCF307" s="21"/>
      <c r="QCG307" s="21"/>
      <c r="QCH307" s="21"/>
      <c r="QCI307" s="21"/>
      <c r="QCJ307" s="21"/>
      <c r="QCK307" s="21"/>
      <c r="QCL307" s="21"/>
      <c r="QCM307" s="21"/>
      <c r="QCN307" s="21"/>
      <c r="QCO307" s="21"/>
      <c r="QCP307" s="21"/>
      <c r="QCQ307" s="21"/>
      <c r="QCR307" s="21"/>
      <c r="QCS307" s="21"/>
      <c r="QCT307" s="21"/>
      <c r="QCU307" s="21"/>
      <c r="QCV307" s="21"/>
      <c r="QCW307" s="21"/>
      <c r="QCX307" s="21"/>
      <c r="QCY307" s="21"/>
      <c r="QCZ307" s="21"/>
      <c r="QDA307" s="21"/>
      <c r="QDB307" s="21"/>
      <c r="QDC307" s="21"/>
      <c r="QDD307" s="21"/>
      <c r="QDE307" s="21"/>
      <c r="QDF307" s="21"/>
      <c r="QDG307" s="21"/>
      <c r="QDH307" s="21"/>
      <c r="QDI307" s="21"/>
      <c r="QDJ307" s="21"/>
      <c r="QDK307" s="21"/>
      <c r="QDL307" s="21"/>
      <c r="QDM307" s="21"/>
      <c r="QDN307" s="21"/>
      <c r="QDO307" s="21"/>
      <c r="QDP307" s="21"/>
      <c r="QDQ307" s="21"/>
      <c r="QDR307" s="21"/>
      <c r="QDS307" s="21"/>
      <c r="QDT307" s="21"/>
      <c r="QDU307" s="21"/>
      <c r="QDV307" s="21"/>
      <c r="QDW307" s="21"/>
      <c r="QDX307" s="21"/>
      <c r="QDY307" s="21"/>
      <c r="QDZ307" s="21"/>
      <c r="QEA307" s="21"/>
      <c r="QEB307" s="21"/>
      <c r="QEC307" s="21"/>
      <c r="QED307" s="21"/>
      <c r="QEE307" s="21"/>
      <c r="QEF307" s="21"/>
      <c r="QEG307" s="21"/>
      <c r="QEH307" s="21"/>
      <c r="QEI307" s="21"/>
      <c r="QEJ307" s="21"/>
      <c r="QEK307" s="21"/>
      <c r="QEL307" s="21"/>
      <c r="QEM307" s="21"/>
      <c r="QEN307" s="21"/>
      <c r="QEO307" s="21"/>
      <c r="QEP307" s="21"/>
      <c r="QEQ307" s="21"/>
      <c r="QER307" s="21"/>
      <c r="QES307" s="21"/>
      <c r="QET307" s="21"/>
      <c r="QEU307" s="21"/>
      <c r="QEV307" s="21"/>
      <c r="QEW307" s="21"/>
      <c r="QEX307" s="21"/>
      <c r="QEY307" s="21"/>
      <c r="QEZ307" s="21"/>
      <c r="QFA307" s="21"/>
      <c r="QFB307" s="21"/>
      <c r="QFC307" s="21"/>
      <c r="QFD307" s="21"/>
      <c r="QFE307" s="21"/>
      <c r="QFF307" s="21"/>
      <c r="QFG307" s="21"/>
      <c r="QFH307" s="21"/>
      <c r="QFI307" s="21"/>
      <c r="QFJ307" s="21"/>
      <c r="QFK307" s="21"/>
      <c r="QFL307" s="21"/>
      <c r="QFM307" s="21"/>
      <c r="QFN307" s="21"/>
      <c r="QFO307" s="21"/>
      <c r="QFP307" s="21"/>
      <c r="QFQ307" s="21"/>
      <c r="QFR307" s="21"/>
      <c r="QFS307" s="21"/>
      <c r="QFT307" s="21"/>
      <c r="QFU307" s="21"/>
      <c r="QFV307" s="21"/>
      <c r="QFW307" s="21"/>
      <c r="QFX307" s="21"/>
      <c r="QFY307" s="21"/>
      <c r="QFZ307" s="21"/>
      <c r="QGA307" s="21"/>
      <c r="QGB307" s="21"/>
      <c r="QGC307" s="21"/>
      <c r="QGD307" s="21"/>
      <c r="QGE307" s="21"/>
      <c r="QGF307" s="21"/>
      <c r="QGG307" s="21"/>
      <c r="QGH307" s="21"/>
      <c r="QGI307" s="21"/>
      <c r="QGJ307" s="21"/>
      <c r="QGK307" s="21"/>
      <c r="QGL307" s="21"/>
      <c r="QGM307" s="21"/>
      <c r="QGN307" s="21"/>
      <c r="QGO307" s="21"/>
      <c r="QGP307" s="21"/>
      <c r="QGQ307" s="21"/>
      <c r="QGR307" s="21"/>
      <c r="QGS307" s="21"/>
      <c r="QGT307" s="21"/>
      <c r="QGU307" s="21"/>
      <c r="QGV307" s="21"/>
      <c r="QGW307" s="21"/>
      <c r="QGX307" s="21"/>
      <c r="QGY307" s="21"/>
      <c r="QGZ307" s="21"/>
      <c r="QHA307" s="21"/>
      <c r="QHB307" s="21"/>
      <c r="QHC307" s="21"/>
      <c r="QHD307" s="21"/>
      <c r="QHE307" s="21"/>
      <c r="QHF307" s="21"/>
      <c r="QHG307" s="21"/>
      <c r="QHH307" s="21"/>
      <c r="QHI307" s="21"/>
      <c r="QHJ307" s="21"/>
      <c r="QHK307" s="21"/>
      <c r="QHL307" s="21"/>
      <c r="QHM307" s="21"/>
      <c r="QHN307" s="21"/>
      <c r="QHO307" s="21"/>
      <c r="QHP307" s="21"/>
      <c r="QHQ307" s="21"/>
      <c r="QHR307" s="21"/>
      <c r="QHS307" s="21"/>
      <c r="QHT307" s="21"/>
      <c r="QHU307" s="21"/>
      <c r="QHV307" s="21"/>
      <c r="QHW307" s="21"/>
      <c r="QHX307" s="21"/>
      <c r="QHY307" s="21"/>
      <c r="QHZ307" s="21"/>
      <c r="QIA307" s="21"/>
      <c r="QIB307" s="21"/>
      <c r="QIC307" s="21"/>
      <c r="QID307" s="21"/>
      <c r="QIE307" s="21"/>
      <c r="QIF307" s="21"/>
      <c r="QIG307" s="21"/>
      <c r="QIH307" s="21"/>
      <c r="QII307" s="21"/>
      <c r="QIJ307" s="21"/>
      <c r="QIK307" s="21"/>
      <c r="QIL307" s="21"/>
      <c r="QIM307" s="21"/>
      <c r="QIN307" s="21"/>
      <c r="QIO307" s="21"/>
      <c r="QIP307" s="21"/>
      <c r="QIQ307" s="21"/>
      <c r="QIR307" s="21"/>
      <c r="QIS307" s="21"/>
      <c r="QIT307" s="21"/>
      <c r="QIU307" s="21"/>
      <c r="QIV307" s="21"/>
      <c r="QIW307" s="21"/>
      <c r="QIX307" s="21"/>
      <c r="QIY307" s="21"/>
      <c r="QIZ307" s="21"/>
      <c r="QJA307" s="21"/>
      <c r="QJB307" s="21"/>
      <c r="QJC307" s="21"/>
      <c r="QJD307" s="21"/>
      <c r="QJE307" s="21"/>
      <c r="QJF307" s="21"/>
      <c r="QJG307" s="21"/>
      <c r="QJH307" s="21"/>
      <c r="QJI307" s="21"/>
      <c r="QJJ307" s="21"/>
      <c r="QJK307" s="21"/>
      <c r="QJL307" s="21"/>
      <c r="QJM307" s="21"/>
      <c r="QJN307" s="21"/>
      <c r="QJO307" s="21"/>
      <c r="QJP307" s="21"/>
      <c r="QJQ307" s="21"/>
      <c r="QJR307" s="21"/>
      <c r="QJS307" s="21"/>
      <c r="QJT307" s="21"/>
      <c r="QJU307" s="21"/>
      <c r="QJV307" s="21"/>
      <c r="QJW307" s="21"/>
      <c r="QJX307" s="21"/>
      <c r="QJY307" s="21"/>
      <c r="QJZ307" s="21"/>
      <c r="QKA307" s="21"/>
      <c r="QKB307" s="21"/>
      <c r="QKC307" s="21"/>
      <c r="QKD307" s="21"/>
      <c r="QKE307" s="21"/>
      <c r="QKF307" s="21"/>
      <c r="QKG307" s="21"/>
      <c r="QKH307" s="21"/>
      <c r="QKI307" s="21"/>
      <c r="QKJ307" s="21"/>
      <c r="QKK307" s="21"/>
      <c r="QKL307" s="21"/>
      <c r="QKM307" s="21"/>
      <c r="QKN307" s="21"/>
      <c r="QKO307" s="21"/>
      <c r="QKP307" s="21"/>
      <c r="QKQ307" s="21"/>
      <c r="QKR307" s="21"/>
      <c r="QKS307" s="21"/>
      <c r="QKT307" s="21"/>
      <c r="QKU307" s="21"/>
      <c r="QKV307" s="21"/>
      <c r="QKW307" s="21"/>
      <c r="QKX307" s="21"/>
      <c r="QKY307" s="21"/>
      <c r="QKZ307" s="21"/>
      <c r="QLA307" s="21"/>
      <c r="QLB307" s="21"/>
      <c r="QLC307" s="21"/>
      <c r="QLD307" s="21"/>
      <c r="QLE307" s="21"/>
      <c r="QLF307" s="21"/>
      <c r="QLG307" s="21"/>
      <c r="QLH307" s="21"/>
      <c r="QLI307" s="21"/>
      <c r="QLJ307" s="21"/>
      <c r="QLK307" s="21"/>
      <c r="QLL307" s="21"/>
      <c r="QLM307" s="21"/>
      <c r="QLN307" s="21"/>
      <c r="QLO307" s="21"/>
      <c r="QLP307" s="21"/>
      <c r="QLQ307" s="21"/>
      <c r="QLR307" s="21"/>
      <c r="QLS307" s="21"/>
      <c r="QLT307" s="21"/>
      <c r="QLU307" s="21"/>
      <c r="QLV307" s="21"/>
      <c r="QLW307" s="21"/>
      <c r="QLX307" s="21"/>
      <c r="QLY307" s="21"/>
      <c r="QLZ307" s="21"/>
      <c r="QMA307" s="21"/>
      <c r="QMB307" s="21"/>
      <c r="QMC307" s="21"/>
      <c r="QMD307" s="21"/>
      <c r="QME307" s="21"/>
      <c r="QMF307" s="21"/>
      <c r="QMG307" s="21"/>
      <c r="QMH307" s="21"/>
      <c r="QMI307" s="21"/>
      <c r="QMJ307" s="21"/>
      <c r="QMK307" s="21"/>
      <c r="QML307" s="21"/>
      <c r="QMM307" s="21"/>
      <c r="QMN307" s="21"/>
      <c r="QMO307" s="21"/>
      <c r="QMP307" s="21"/>
      <c r="QMQ307" s="21"/>
      <c r="QMR307" s="21"/>
      <c r="QMS307" s="21"/>
      <c r="QMT307" s="21"/>
      <c r="QMU307" s="21"/>
      <c r="QMV307" s="21"/>
      <c r="QMW307" s="21"/>
      <c r="QMX307" s="21"/>
      <c r="QMY307" s="21"/>
      <c r="QMZ307" s="21"/>
      <c r="QNA307" s="21"/>
      <c r="QNB307" s="21"/>
      <c r="QNC307" s="21"/>
      <c r="QND307" s="21"/>
      <c r="QNE307" s="21"/>
      <c r="QNF307" s="21"/>
      <c r="QNG307" s="21"/>
      <c r="QNH307" s="21"/>
      <c r="QNI307" s="21"/>
      <c r="QNJ307" s="21"/>
      <c r="QNK307" s="21"/>
      <c r="QNL307" s="21"/>
      <c r="QNM307" s="21"/>
      <c r="QNN307" s="21"/>
      <c r="QNO307" s="21"/>
      <c r="QNP307" s="21"/>
      <c r="QNQ307" s="21"/>
      <c r="QNR307" s="21"/>
      <c r="QNS307" s="21"/>
      <c r="QNT307" s="21"/>
      <c r="QNU307" s="21"/>
      <c r="QNV307" s="21"/>
      <c r="QNW307" s="21"/>
      <c r="QNX307" s="21"/>
      <c r="QNY307" s="21"/>
      <c r="QNZ307" s="21"/>
      <c r="QOA307" s="21"/>
      <c r="QOB307" s="21"/>
      <c r="QOC307" s="21"/>
      <c r="QOD307" s="21"/>
      <c r="QOE307" s="21"/>
      <c r="QOF307" s="21"/>
      <c r="QOG307" s="21"/>
      <c r="QOH307" s="21"/>
      <c r="QOI307" s="21"/>
      <c r="QOJ307" s="21"/>
      <c r="QOK307" s="21"/>
      <c r="QOL307" s="21"/>
      <c r="QOM307" s="21"/>
      <c r="QON307" s="21"/>
      <c r="QOO307" s="21"/>
      <c r="QOP307" s="21"/>
      <c r="QOQ307" s="21"/>
      <c r="QOR307" s="21"/>
      <c r="QOS307" s="21"/>
      <c r="QOT307" s="21"/>
      <c r="QOU307" s="21"/>
      <c r="QOV307" s="21"/>
      <c r="QOW307" s="21"/>
      <c r="QOX307" s="21"/>
      <c r="QOY307" s="21"/>
      <c r="QOZ307" s="21"/>
      <c r="QPA307" s="21"/>
      <c r="QPB307" s="21"/>
      <c r="QPC307" s="21"/>
      <c r="QPD307" s="21"/>
      <c r="QPE307" s="21"/>
      <c r="QPF307" s="21"/>
      <c r="QPG307" s="21"/>
      <c r="QPH307" s="21"/>
      <c r="QPI307" s="21"/>
      <c r="QPJ307" s="21"/>
      <c r="QPK307" s="21"/>
      <c r="QPL307" s="21"/>
      <c r="QPM307" s="21"/>
      <c r="QPN307" s="21"/>
      <c r="QPO307" s="21"/>
      <c r="QPP307" s="21"/>
      <c r="QPQ307" s="21"/>
      <c r="QPR307" s="21"/>
      <c r="QPS307" s="21"/>
      <c r="QPT307" s="21"/>
      <c r="QPU307" s="21"/>
      <c r="QPV307" s="21"/>
      <c r="QPW307" s="21"/>
      <c r="QPX307" s="21"/>
      <c r="QPY307" s="21"/>
      <c r="QPZ307" s="21"/>
      <c r="QQA307" s="21"/>
      <c r="QQB307" s="21"/>
      <c r="QQC307" s="21"/>
      <c r="QQD307" s="21"/>
      <c r="QQE307" s="21"/>
      <c r="QQF307" s="21"/>
      <c r="QQG307" s="21"/>
      <c r="QQH307" s="21"/>
      <c r="QQI307" s="21"/>
      <c r="QQJ307" s="21"/>
      <c r="QQK307" s="21"/>
      <c r="QQL307" s="21"/>
      <c r="QQM307" s="21"/>
      <c r="QQN307" s="21"/>
      <c r="QQO307" s="21"/>
      <c r="QQP307" s="21"/>
      <c r="QQQ307" s="21"/>
      <c r="QQR307" s="21"/>
      <c r="QQS307" s="21"/>
      <c r="QQT307" s="21"/>
      <c r="QQU307" s="21"/>
      <c r="QQV307" s="21"/>
      <c r="QQW307" s="21"/>
      <c r="QQX307" s="21"/>
      <c r="QQY307" s="21"/>
      <c r="QQZ307" s="21"/>
      <c r="QRA307" s="21"/>
      <c r="QRB307" s="21"/>
      <c r="QRC307" s="21"/>
      <c r="QRD307" s="21"/>
      <c r="QRE307" s="21"/>
      <c r="QRF307" s="21"/>
      <c r="QRG307" s="21"/>
      <c r="QRH307" s="21"/>
      <c r="QRI307" s="21"/>
      <c r="QRJ307" s="21"/>
      <c r="QRK307" s="21"/>
      <c r="QRL307" s="21"/>
      <c r="QRM307" s="21"/>
      <c r="QRN307" s="21"/>
      <c r="QRO307" s="21"/>
      <c r="QRP307" s="21"/>
      <c r="QRQ307" s="21"/>
      <c r="QRR307" s="21"/>
      <c r="QRS307" s="21"/>
      <c r="QRT307" s="21"/>
      <c r="QRU307" s="21"/>
      <c r="QRV307" s="21"/>
      <c r="QRW307" s="21"/>
      <c r="QRX307" s="21"/>
      <c r="QRY307" s="21"/>
      <c r="QRZ307" s="21"/>
      <c r="QSA307" s="21"/>
      <c r="QSB307" s="21"/>
      <c r="QSC307" s="21"/>
      <c r="QSD307" s="21"/>
      <c r="QSE307" s="21"/>
      <c r="QSF307" s="21"/>
      <c r="QSG307" s="21"/>
      <c r="QSH307" s="21"/>
      <c r="QSI307" s="21"/>
      <c r="QSJ307" s="21"/>
      <c r="QSK307" s="21"/>
      <c r="QSL307" s="21"/>
      <c r="QSM307" s="21"/>
      <c r="QSN307" s="21"/>
      <c r="QSO307" s="21"/>
      <c r="QSP307" s="21"/>
      <c r="QSQ307" s="21"/>
      <c r="QSR307" s="21"/>
      <c r="QSS307" s="21"/>
      <c r="QST307" s="21"/>
      <c r="QSU307" s="21"/>
      <c r="QSV307" s="21"/>
      <c r="QSW307" s="21"/>
      <c r="QSX307" s="21"/>
      <c r="QSY307" s="21"/>
      <c r="QSZ307" s="21"/>
      <c r="QTA307" s="21"/>
      <c r="QTB307" s="21"/>
      <c r="QTC307" s="21"/>
      <c r="QTD307" s="21"/>
      <c r="QTE307" s="21"/>
      <c r="QTF307" s="21"/>
      <c r="QTG307" s="21"/>
      <c r="QTH307" s="21"/>
      <c r="QTI307" s="21"/>
      <c r="QTJ307" s="21"/>
      <c r="QTK307" s="21"/>
      <c r="QTL307" s="21"/>
      <c r="QTM307" s="21"/>
      <c r="QTN307" s="21"/>
      <c r="QTO307" s="21"/>
      <c r="QTP307" s="21"/>
      <c r="QTQ307" s="21"/>
      <c r="QTR307" s="21"/>
      <c r="QTS307" s="21"/>
      <c r="QTT307" s="21"/>
      <c r="QTU307" s="21"/>
      <c r="QTV307" s="21"/>
      <c r="QTW307" s="21"/>
      <c r="QTX307" s="21"/>
      <c r="QTY307" s="21"/>
      <c r="QTZ307" s="21"/>
      <c r="QUA307" s="21"/>
      <c r="QUB307" s="21"/>
      <c r="QUC307" s="21"/>
      <c r="QUD307" s="21"/>
      <c r="QUE307" s="21"/>
      <c r="QUF307" s="21"/>
      <c r="QUG307" s="21"/>
      <c r="QUH307" s="21"/>
      <c r="QUI307" s="21"/>
      <c r="QUJ307" s="21"/>
      <c r="QUK307" s="21"/>
      <c r="QUL307" s="21"/>
      <c r="QUM307" s="21"/>
      <c r="QUN307" s="21"/>
      <c r="QUO307" s="21"/>
      <c r="QUP307" s="21"/>
      <c r="QUQ307" s="21"/>
      <c r="QUR307" s="21"/>
      <c r="QUS307" s="21"/>
      <c r="QUT307" s="21"/>
      <c r="QUU307" s="21"/>
      <c r="QUV307" s="21"/>
      <c r="QUW307" s="21"/>
      <c r="QUX307" s="21"/>
      <c r="QUY307" s="21"/>
      <c r="QUZ307" s="21"/>
      <c r="QVA307" s="21"/>
      <c r="QVB307" s="21"/>
      <c r="QVC307" s="21"/>
      <c r="QVD307" s="21"/>
      <c r="QVE307" s="21"/>
      <c r="QVF307" s="21"/>
      <c r="QVG307" s="21"/>
      <c r="QVH307" s="21"/>
      <c r="QVI307" s="21"/>
      <c r="QVJ307" s="21"/>
      <c r="QVK307" s="21"/>
      <c r="QVL307" s="21"/>
      <c r="QVM307" s="21"/>
      <c r="QVN307" s="21"/>
      <c r="QVO307" s="21"/>
      <c r="QVP307" s="21"/>
      <c r="QVQ307" s="21"/>
      <c r="QVR307" s="21"/>
      <c r="QVS307" s="21"/>
      <c r="QVT307" s="21"/>
      <c r="QVU307" s="21"/>
      <c r="QVV307" s="21"/>
      <c r="QVW307" s="21"/>
      <c r="QVX307" s="21"/>
      <c r="QVY307" s="21"/>
      <c r="QVZ307" s="21"/>
      <c r="QWA307" s="21"/>
      <c r="QWB307" s="21"/>
      <c r="QWC307" s="21"/>
      <c r="QWD307" s="21"/>
      <c r="QWE307" s="21"/>
      <c r="QWF307" s="21"/>
      <c r="QWG307" s="21"/>
      <c r="QWH307" s="21"/>
      <c r="QWI307" s="21"/>
      <c r="QWJ307" s="21"/>
      <c r="QWK307" s="21"/>
      <c r="QWL307" s="21"/>
      <c r="QWM307" s="21"/>
      <c r="QWN307" s="21"/>
      <c r="QWO307" s="21"/>
      <c r="QWP307" s="21"/>
      <c r="QWQ307" s="21"/>
      <c r="QWR307" s="21"/>
      <c r="QWS307" s="21"/>
      <c r="QWT307" s="21"/>
      <c r="QWU307" s="21"/>
      <c r="QWV307" s="21"/>
      <c r="QWW307" s="21"/>
      <c r="QWX307" s="21"/>
      <c r="QWY307" s="21"/>
      <c r="QWZ307" s="21"/>
      <c r="QXA307" s="21"/>
      <c r="QXB307" s="21"/>
      <c r="QXC307" s="21"/>
      <c r="QXD307" s="21"/>
      <c r="QXE307" s="21"/>
      <c r="QXF307" s="21"/>
      <c r="QXG307" s="21"/>
      <c r="QXH307" s="21"/>
      <c r="QXI307" s="21"/>
      <c r="QXJ307" s="21"/>
      <c r="QXK307" s="21"/>
      <c r="QXL307" s="21"/>
      <c r="QXM307" s="21"/>
      <c r="QXN307" s="21"/>
      <c r="QXO307" s="21"/>
      <c r="QXP307" s="21"/>
      <c r="QXQ307" s="21"/>
      <c r="QXR307" s="21"/>
      <c r="QXS307" s="21"/>
      <c r="QXT307" s="21"/>
      <c r="QXU307" s="21"/>
      <c r="QXV307" s="21"/>
      <c r="QXW307" s="21"/>
      <c r="QXX307" s="21"/>
      <c r="QXY307" s="21"/>
      <c r="QXZ307" s="21"/>
      <c r="QYA307" s="21"/>
      <c r="QYB307" s="21"/>
      <c r="QYC307" s="21"/>
      <c r="QYD307" s="21"/>
      <c r="QYE307" s="21"/>
      <c r="QYF307" s="21"/>
      <c r="QYG307" s="21"/>
      <c r="QYH307" s="21"/>
      <c r="QYI307" s="21"/>
      <c r="QYJ307" s="21"/>
      <c r="QYK307" s="21"/>
      <c r="QYL307" s="21"/>
      <c r="QYM307" s="21"/>
      <c r="QYN307" s="21"/>
      <c r="QYO307" s="21"/>
      <c r="QYP307" s="21"/>
      <c r="QYQ307" s="21"/>
      <c r="QYR307" s="21"/>
      <c r="QYS307" s="21"/>
      <c r="QYT307" s="21"/>
      <c r="QYU307" s="21"/>
      <c r="QYV307" s="21"/>
      <c r="QYW307" s="21"/>
      <c r="QYX307" s="21"/>
      <c r="QYY307" s="21"/>
      <c r="QYZ307" s="21"/>
      <c r="QZA307" s="21"/>
      <c r="QZB307" s="21"/>
      <c r="QZC307" s="21"/>
      <c r="QZD307" s="21"/>
      <c r="QZE307" s="21"/>
      <c r="QZF307" s="21"/>
      <c r="QZG307" s="21"/>
      <c r="QZH307" s="21"/>
      <c r="QZI307" s="21"/>
      <c r="QZJ307" s="21"/>
      <c r="QZK307" s="21"/>
      <c r="QZL307" s="21"/>
      <c r="QZM307" s="21"/>
      <c r="QZN307" s="21"/>
      <c r="QZO307" s="21"/>
      <c r="QZP307" s="21"/>
      <c r="QZQ307" s="21"/>
      <c r="QZR307" s="21"/>
      <c r="QZS307" s="21"/>
      <c r="QZT307" s="21"/>
      <c r="QZU307" s="21"/>
      <c r="QZV307" s="21"/>
      <c r="QZW307" s="21"/>
      <c r="QZX307" s="21"/>
      <c r="QZY307" s="21"/>
      <c r="QZZ307" s="21"/>
      <c r="RAA307" s="21"/>
      <c r="RAB307" s="21"/>
      <c r="RAC307" s="21"/>
      <c r="RAD307" s="21"/>
      <c r="RAE307" s="21"/>
      <c r="RAF307" s="21"/>
      <c r="RAG307" s="21"/>
      <c r="RAH307" s="21"/>
      <c r="RAI307" s="21"/>
      <c r="RAJ307" s="21"/>
      <c r="RAK307" s="21"/>
      <c r="RAL307" s="21"/>
      <c r="RAM307" s="21"/>
      <c r="RAN307" s="21"/>
      <c r="RAO307" s="21"/>
      <c r="RAP307" s="21"/>
      <c r="RAQ307" s="21"/>
      <c r="RAR307" s="21"/>
      <c r="RAS307" s="21"/>
      <c r="RAT307" s="21"/>
      <c r="RAU307" s="21"/>
      <c r="RAV307" s="21"/>
      <c r="RAW307" s="21"/>
      <c r="RAX307" s="21"/>
      <c r="RAY307" s="21"/>
      <c r="RAZ307" s="21"/>
      <c r="RBA307" s="21"/>
      <c r="RBB307" s="21"/>
      <c r="RBC307" s="21"/>
      <c r="RBD307" s="21"/>
      <c r="RBE307" s="21"/>
      <c r="RBF307" s="21"/>
      <c r="RBG307" s="21"/>
      <c r="RBH307" s="21"/>
      <c r="RBI307" s="21"/>
      <c r="RBJ307" s="21"/>
      <c r="RBK307" s="21"/>
      <c r="RBL307" s="21"/>
      <c r="RBM307" s="21"/>
      <c r="RBN307" s="21"/>
      <c r="RBO307" s="21"/>
      <c r="RBP307" s="21"/>
      <c r="RBQ307" s="21"/>
      <c r="RBR307" s="21"/>
      <c r="RBS307" s="21"/>
      <c r="RBT307" s="21"/>
      <c r="RBU307" s="21"/>
      <c r="RBV307" s="21"/>
      <c r="RBW307" s="21"/>
      <c r="RBX307" s="21"/>
      <c r="RBY307" s="21"/>
      <c r="RBZ307" s="21"/>
      <c r="RCA307" s="21"/>
      <c r="RCB307" s="21"/>
      <c r="RCC307" s="21"/>
      <c r="RCD307" s="21"/>
      <c r="RCE307" s="21"/>
      <c r="RCF307" s="21"/>
      <c r="RCG307" s="21"/>
      <c r="RCH307" s="21"/>
      <c r="RCI307" s="21"/>
      <c r="RCJ307" s="21"/>
      <c r="RCK307" s="21"/>
      <c r="RCL307" s="21"/>
      <c r="RCM307" s="21"/>
      <c r="RCN307" s="21"/>
      <c r="RCO307" s="21"/>
      <c r="RCP307" s="21"/>
      <c r="RCQ307" s="21"/>
      <c r="RCR307" s="21"/>
      <c r="RCS307" s="21"/>
      <c r="RCT307" s="21"/>
      <c r="RCU307" s="21"/>
      <c r="RCV307" s="21"/>
      <c r="RCW307" s="21"/>
      <c r="RCX307" s="21"/>
      <c r="RCY307" s="21"/>
      <c r="RCZ307" s="21"/>
      <c r="RDA307" s="21"/>
      <c r="RDB307" s="21"/>
      <c r="RDC307" s="21"/>
      <c r="RDD307" s="21"/>
      <c r="RDE307" s="21"/>
      <c r="RDF307" s="21"/>
      <c r="RDG307" s="21"/>
      <c r="RDH307" s="21"/>
      <c r="RDI307" s="21"/>
      <c r="RDJ307" s="21"/>
      <c r="RDK307" s="21"/>
      <c r="RDL307" s="21"/>
      <c r="RDM307" s="21"/>
      <c r="RDN307" s="21"/>
      <c r="RDO307" s="21"/>
      <c r="RDP307" s="21"/>
      <c r="RDQ307" s="21"/>
      <c r="RDR307" s="21"/>
      <c r="RDS307" s="21"/>
      <c r="RDT307" s="21"/>
      <c r="RDU307" s="21"/>
      <c r="RDV307" s="21"/>
      <c r="RDW307" s="21"/>
      <c r="RDX307" s="21"/>
      <c r="RDY307" s="21"/>
      <c r="RDZ307" s="21"/>
      <c r="REA307" s="21"/>
      <c r="REB307" s="21"/>
      <c r="REC307" s="21"/>
      <c r="RED307" s="21"/>
      <c r="REE307" s="21"/>
      <c r="REF307" s="21"/>
      <c r="REG307" s="21"/>
      <c r="REH307" s="21"/>
      <c r="REI307" s="21"/>
      <c r="REJ307" s="21"/>
      <c r="REK307" s="21"/>
      <c r="REL307" s="21"/>
      <c r="REM307" s="21"/>
      <c r="REN307" s="21"/>
      <c r="REO307" s="21"/>
      <c r="REP307" s="21"/>
      <c r="REQ307" s="21"/>
      <c r="RER307" s="21"/>
      <c r="RES307" s="21"/>
      <c r="RET307" s="21"/>
      <c r="REU307" s="21"/>
      <c r="REV307" s="21"/>
      <c r="REW307" s="21"/>
      <c r="REX307" s="21"/>
      <c r="REY307" s="21"/>
      <c r="REZ307" s="21"/>
      <c r="RFA307" s="21"/>
      <c r="RFB307" s="21"/>
      <c r="RFC307" s="21"/>
      <c r="RFD307" s="21"/>
      <c r="RFE307" s="21"/>
      <c r="RFF307" s="21"/>
      <c r="RFG307" s="21"/>
      <c r="RFH307" s="21"/>
      <c r="RFI307" s="21"/>
      <c r="RFJ307" s="21"/>
      <c r="RFK307" s="21"/>
      <c r="RFL307" s="21"/>
      <c r="RFM307" s="21"/>
      <c r="RFN307" s="21"/>
      <c r="RFO307" s="21"/>
      <c r="RFP307" s="21"/>
      <c r="RFQ307" s="21"/>
      <c r="RFR307" s="21"/>
      <c r="RFS307" s="21"/>
      <c r="RFT307" s="21"/>
      <c r="RFU307" s="21"/>
      <c r="RFV307" s="21"/>
      <c r="RFW307" s="21"/>
      <c r="RFX307" s="21"/>
      <c r="RFY307" s="21"/>
      <c r="RFZ307" s="21"/>
      <c r="RGA307" s="21"/>
      <c r="RGB307" s="21"/>
      <c r="RGC307" s="21"/>
      <c r="RGD307" s="21"/>
      <c r="RGE307" s="21"/>
      <c r="RGF307" s="21"/>
      <c r="RGG307" s="21"/>
      <c r="RGH307" s="21"/>
      <c r="RGI307" s="21"/>
      <c r="RGJ307" s="21"/>
      <c r="RGK307" s="21"/>
      <c r="RGL307" s="21"/>
      <c r="RGM307" s="21"/>
      <c r="RGN307" s="21"/>
      <c r="RGO307" s="21"/>
      <c r="RGP307" s="21"/>
      <c r="RGQ307" s="21"/>
      <c r="RGR307" s="21"/>
      <c r="RGS307" s="21"/>
      <c r="RGT307" s="21"/>
      <c r="RGU307" s="21"/>
      <c r="RGV307" s="21"/>
      <c r="RGW307" s="21"/>
      <c r="RGX307" s="21"/>
      <c r="RGY307" s="21"/>
      <c r="RGZ307" s="21"/>
      <c r="RHA307" s="21"/>
      <c r="RHB307" s="21"/>
      <c r="RHC307" s="21"/>
      <c r="RHD307" s="21"/>
      <c r="RHE307" s="21"/>
      <c r="RHF307" s="21"/>
      <c r="RHG307" s="21"/>
      <c r="RHH307" s="21"/>
      <c r="RHI307" s="21"/>
      <c r="RHJ307" s="21"/>
      <c r="RHK307" s="21"/>
      <c r="RHL307" s="21"/>
      <c r="RHM307" s="21"/>
      <c r="RHN307" s="21"/>
      <c r="RHO307" s="21"/>
      <c r="RHP307" s="21"/>
      <c r="RHQ307" s="21"/>
      <c r="RHR307" s="21"/>
      <c r="RHS307" s="21"/>
      <c r="RHT307" s="21"/>
      <c r="RHU307" s="21"/>
      <c r="RHV307" s="21"/>
      <c r="RHW307" s="21"/>
      <c r="RHX307" s="21"/>
      <c r="RHY307" s="21"/>
      <c r="RHZ307" s="21"/>
      <c r="RIA307" s="21"/>
      <c r="RIB307" s="21"/>
      <c r="RIC307" s="21"/>
      <c r="RID307" s="21"/>
      <c r="RIE307" s="21"/>
      <c r="RIF307" s="21"/>
      <c r="RIG307" s="21"/>
      <c r="RIH307" s="21"/>
      <c r="RII307" s="21"/>
      <c r="RIJ307" s="21"/>
      <c r="RIK307" s="21"/>
      <c r="RIL307" s="21"/>
      <c r="RIM307" s="21"/>
      <c r="RIN307" s="21"/>
      <c r="RIO307" s="21"/>
      <c r="RIP307" s="21"/>
      <c r="RIQ307" s="21"/>
      <c r="RIR307" s="21"/>
      <c r="RIS307" s="21"/>
      <c r="RIT307" s="21"/>
      <c r="RIU307" s="21"/>
      <c r="RIV307" s="21"/>
      <c r="RIW307" s="21"/>
      <c r="RIX307" s="21"/>
      <c r="RIY307" s="21"/>
      <c r="RIZ307" s="21"/>
      <c r="RJA307" s="21"/>
      <c r="RJB307" s="21"/>
      <c r="RJC307" s="21"/>
      <c r="RJD307" s="21"/>
      <c r="RJE307" s="21"/>
      <c r="RJF307" s="21"/>
      <c r="RJG307" s="21"/>
      <c r="RJH307" s="21"/>
      <c r="RJI307" s="21"/>
      <c r="RJJ307" s="21"/>
      <c r="RJK307" s="21"/>
      <c r="RJL307" s="21"/>
      <c r="RJM307" s="21"/>
      <c r="RJN307" s="21"/>
      <c r="RJO307" s="21"/>
      <c r="RJP307" s="21"/>
      <c r="RJQ307" s="21"/>
      <c r="RJR307" s="21"/>
      <c r="RJS307" s="21"/>
      <c r="RJT307" s="21"/>
      <c r="RJU307" s="21"/>
      <c r="RJV307" s="21"/>
      <c r="RJW307" s="21"/>
      <c r="RJX307" s="21"/>
      <c r="RJY307" s="21"/>
      <c r="RJZ307" s="21"/>
      <c r="RKA307" s="21"/>
      <c r="RKB307" s="21"/>
      <c r="RKC307" s="21"/>
      <c r="RKD307" s="21"/>
      <c r="RKE307" s="21"/>
      <c r="RKF307" s="21"/>
      <c r="RKG307" s="21"/>
      <c r="RKH307" s="21"/>
      <c r="RKI307" s="21"/>
      <c r="RKJ307" s="21"/>
      <c r="RKK307" s="21"/>
      <c r="RKL307" s="21"/>
      <c r="RKM307" s="21"/>
      <c r="RKN307" s="21"/>
      <c r="RKO307" s="21"/>
      <c r="RKP307" s="21"/>
      <c r="RKQ307" s="21"/>
      <c r="RKR307" s="21"/>
      <c r="RKS307" s="21"/>
      <c r="RKT307" s="21"/>
      <c r="RKU307" s="21"/>
      <c r="RKV307" s="21"/>
      <c r="RKW307" s="21"/>
      <c r="RKX307" s="21"/>
      <c r="RKY307" s="21"/>
      <c r="RKZ307" s="21"/>
      <c r="RLA307" s="21"/>
      <c r="RLB307" s="21"/>
      <c r="RLC307" s="21"/>
      <c r="RLD307" s="21"/>
      <c r="RLE307" s="21"/>
      <c r="RLF307" s="21"/>
      <c r="RLG307" s="21"/>
      <c r="RLH307" s="21"/>
      <c r="RLI307" s="21"/>
      <c r="RLJ307" s="21"/>
      <c r="RLK307" s="21"/>
      <c r="RLL307" s="21"/>
      <c r="RLM307" s="21"/>
      <c r="RLN307" s="21"/>
      <c r="RLO307" s="21"/>
      <c r="RLP307" s="21"/>
      <c r="RLQ307" s="21"/>
      <c r="RLR307" s="21"/>
      <c r="RLS307" s="21"/>
      <c r="RLT307" s="21"/>
      <c r="RLU307" s="21"/>
      <c r="RLV307" s="21"/>
      <c r="RLW307" s="21"/>
      <c r="RLX307" s="21"/>
      <c r="RLY307" s="21"/>
      <c r="RLZ307" s="21"/>
      <c r="RMA307" s="21"/>
      <c r="RMB307" s="21"/>
      <c r="RMC307" s="21"/>
      <c r="RMD307" s="21"/>
      <c r="RME307" s="21"/>
      <c r="RMF307" s="21"/>
      <c r="RMG307" s="21"/>
      <c r="RMH307" s="21"/>
      <c r="RMI307" s="21"/>
      <c r="RMJ307" s="21"/>
      <c r="RMK307" s="21"/>
      <c r="RML307" s="21"/>
      <c r="RMM307" s="21"/>
      <c r="RMN307" s="21"/>
      <c r="RMO307" s="21"/>
      <c r="RMP307" s="21"/>
      <c r="RMQ307" s="21"/>
      <c r="RMR307" s="21"/>
      <c r="RMS307" s="21"/>
      <c r="RMT307" s="21"/>
      <c r="RMU307" s="21"/>
      <c r="RMV307" s="21"/>
      <c r="RMW307" s="21"/>
      <c r="RMX307" s="21"/>
      <c r="RMY307" s="21"/>
      <c r="RMZ307" s="21"/>
      <c r="RNA307" s="21"/>
      <c r="RNB307" s="21"/>
      <c r="RNC307" s="21"/>
      <c r="RND307" s="21"/>
      <c r="RNE307" s="21"/>
      <c r="RNF307" s="21"/>
      <c r="RNG307" s="21"/>
      <c r="RNH307" s="21"/>
      <c r="RNI307" s="21"/>
      <c r="RNJ307" s="21"/>
      <c r="RNK307" s="21"/>
      <c r="RNL307" s="21"/>
      <c r="RNM307" s="21"/>
      <c r="RNN307" s="21"/>
      <c r="RNO307" s="21"/>
      <c r="RNP307" s="21"/>
      <c r="RNQ307" s="21"/>
      <c r="RNR307" s="21"/>
      <c r="RNS307" s="21"/>
      <c r="RNT307" s="21"/>
      <c r="RNU307" s="21"/>
      <c r="RNV307" s="21"/>
      <c r="RNW307" s="21"/>
      <c r="RNX307" s="21"/>
      <c r="RNY307" s="21"/>
      <c r="RNZ307" s="21"/>
      <c r="ROA307" s="21"/>
      <c r="ROB307" s="21"/>
      <c r="ROC307" s="21"/>
      <c r="ROD307" s="21"/>
      <c r="ROE307" s="21"/>
      <c r="ROF307" s="21"/>
      <c r="ROG307" s="21"/>
      <c r="ROH307" s="21"/>
      <c r="ROI307" s="21"/>
      <c r="ROJ307" s="21"/>
      <c r="ROK307" s="21"/>
      <c r="ROL307" s="21"/>
      <c r="ROM307" s="21"/>
      <c r="RON307" s="21"/>
      <c r="ROO307" s="21"/>
      <c r="ROP307" s="21"/>
      <c r="ROQ307" s="21"/>
      <c r="ROR307" s="21"/>
      <c r="ROS307" s="21"/>
      <c r="ROT307" s="21"/>
      <c r="ROU307" s="21"/>
      <c r="ROV307" s="21"/>
      <c r="ROW307" s="21"/>
      <c r="ROX307" s="21"/>
      <c r="ROY307" s="21"/>
      <c r="ROZ307" s="21"/>
      <c r="RPA307" s="21"/>
      <c r="RPB307" s="21"/>
      <c r="RPC307" s="21"/>
      <c r="RPD307" s="21"/>
      <c r="RPE307" s="21"/>
      <c r="RPF307" s="21"/>
      <c r="RPG307" s="21"/>
      <c r="RPH307" s="21"/>
      <c r="RPI307" s="21"/>
      <c r="RPJ307" s="21"/>
      <c r="RPK307" s="21"/>
      <c r="RPL307" s="21"/>
      <c r="RPM307" s="21"/>
      <c r="RPN307" s="21"/>
      <c r="RPO307" s="21"/>
      <c r="RPP307" s="21"/>
      <c r="RPQ307" s="21"/>
      <c r="RPR307" s="21"/>
      <c r="RPS307" s="21"/>
      <c r="RPT307" s="21"/>
      <c r="RPU307" s="21"/>
      <c r="RPV307" s="21"/>
      <c r="RPW307" s="21"/>
      <c r="RPX307" s="21"/>
      <c r="RPY307" s="21"/>
      <c r="RPZ307" s="21"/>
      <c r="RQA307" s="21"/>
      <c r="RQB307" s="21"/>
      <c r="RQC307" s="21"/>
      <c r="RQD307" s="21"/>
      <c r="RQE307" s="21"/>
      <c r="RQF307" s="21"/>
      <c r="RQG307" s="21"/>
      <c r="RQH307" s="21"/>
      <c r="RQI307" s="21"/>
      <c r="RQJ307" s="21"/>
      <c r="RQK307" s="21"/>
      <c r="RQL307" s="21"/>
      <c r="RQM307" s="21"/>
      <c r="RQN307" s="21"/>
      <c r="RQO307" s="21"/>
      <c r="RQP307" s="21"/>
      <c r="RQQ307" s="21"/>
      <c r="RQR307" s="21"/>
      <c r="RQS307" s="21"/>
      <c r="RQT307" s="21"/>
      <c r="RQU307" s="21"/>
      <c r="RQV307" s="21"/>
      <c r="RQW307" s="21"/>
      <c r="RQX307" s="21"/>
      <c r="RQY307" s="21"/>
      <c r="RQZ307" s="21"/>
      <c r="RRA307" s="21"/>
      <c r="RRB307" s="21"/>
      <c r="RRC307" s="21"/>
      <c r="RRD307" s="21"/>
      <c r="RRE307" s="21"/>
      <c r="RRF307" s="21"/>
      <c r="RRG307" s="21"/>
      <c r="RRH307" s="21"/>
      <c r="RRI307" s="21"/>
      <c r="RRJ307" s="21"/>
      <c r="RRK307" s="21"/>
      <c r="RRL307" s="21"/>
      <c r="RRM307" s="21"/>
      <c r="RRN307" s="21"/>
      <c r="RRO307" s="21"/>
      <c r="RRP307" s="21"/>
      <c r="RRQ307" s="21"/>
      <c r="RRR307" s="21"/>
      <c r="RRS307" s="21"/>
      <c r="RRT307" s="21"/>
      <c r="RRU307" s="21"/>
      <c r="RRV307" s="21"/>
      <c r="RRW307" s="21"/>
      <c r="RRX307" s="21"/>
      <c r="RRY307" s="21"/>
      <c r="RRZ307" s="21"/>
      <c r="RSA307" s="21"/>
      <c r="RSB307" s="21"/>
      <c r="RSC307" s="21"/>
      <c r="RSD307" s="21"/>
      <c r="RSE307" s="21"/>
      <c r="RSF307" s="21"/>
      <c r="RSG307" s="21"/>
      <c r="RSH307" s="21"/>
      <c r="RSI307" s="21"/>
      <c r="RSJ307" s="21"/>
      <c r="RSK307" s="21"/>
      <c r="RSL307" s="21"/>
      <c r="RSM307" s="21"/>
      <c r="RSN307" s="21"/>
      <c r="RSO307" s="21"/>
      <c r="RSP307" s="21"/>
      <c r="RSQ307" s="21"/>
      <c r="RSR307" s="21"/>
      <c r="RSS307" s="21"/>
      <c r="RST307" s="21"/>
      <c r="RSU307" s="21"/>
      <c r="RSV307" s="21"/>
      <c r="RSW307" s="21"/>
      <c r="RSX307" s="21"/>
      <c r="RSY307" s="21"/>
      <c r="RSZ307" s="21"/>
      <c r="RTA307" s="21"/>
      <c r="RTB307" s="21"/>
      <c r="RTC307" s="21"/>
      <c r="RTD307" s="21"/>
      <c r="RTE307" s="21"/>
      <c r="RTF307" s="21"/>
      <c r="RTG307" s="21"/>
      <c r="RTH307" s="21"/>
      <c r="RTI307" s="21"/>
      <c r="RTJ307" s="21"/>
      <c r="RTK307" s="21"/>
      <c r="RTL307" s="21"/>
      <c r="RTM307" s="21"/>
      <c r="RTN307" s="21"/>
      <c r="RTO307" s="21"/>
      <c r="RTP307" s="21"/>
      <c r="RTQ307" s="21"/>
      <c r="RTR307" s="21"/>
      <c r="RTS307" s="21"/>
      <c r="RTT307" s="21"/>
      <c r="RTU307" s="21"/>
      <c r="RTV307" s="21"/>
      <c r="RTW307" s="21"/>
      <c r="RTX307" s="21"/>
      <c r="RTY307" s="21"/>
      <c r="RTZ307" s="21"/>
      <c r="RUA307" s="21"/>
      <c r="RUB307" s="21"/>
      <c r="RUC307" s="21"/>
      <c r="RUD307" s="21"/>
      <c r="RUE307" s="21"/>
      <c r="RUF307" s="21"/>
      <c r="RUG307" s="21"/>
      <c r="RUH307" s="21"/>
      <c r="RUI307" s="21"/>
      <c r="RUJ307" s="21"/>
      <c r="RUK307" s="21"/>
      <c r="RUL307" s="21"/>
      <c r="RUM307" s="21"/>
      <c r="RUN307" s="21"/>
      <c r="RUO307" s="21"/>
      <c r="RUP307" s="21"/>
      <c r="RUQ307" s="21"/>
      <c r="RUR307" s="21"/>
      <c r="RUS307" s="21"/>
      <c r="RUT307" s="21"/>
      <c r="RUU307" s="21"/>
      <c r="RUV307" s="21"/>
      <c r="RUW307" s="21"/>
      <c r="RUX307" s="21"/>
      <c r="RUY307" s="21"/>
      <c r="RUZ307" s="21"/>
      <c r="RVA307" s="21"/>
      <c r="RVB307" s="21"/>
      <c r="RVC307" s="21"/>
      <c r="RVD307" s="21"/>
      <c r="RVE307" s="21"/>
      <c r="RVF307" s="21"/>
      <c r="RVG307" s="21"/>
      <c r="RVH307" s="21"/>
      <c r="RVI307" s="21"/>
      <c r="RVJ307" s="21"/>
      <c r="RVK307" s="21"/>
      <c r="RVL307" s="21"/>
      <c r="RVM307" s="21"/>
      <c r="RVN307" s="21"/>
      <c r="RVO307" s="21"/>
      <c r="RVP307" s="21"/>
      <c r="RVQ307" s="21"/>
      <c r="RVR307" s="21"/>
      <c r="RVS307" s="21"/>
      <c r="RVT307" s="21"/>
      <c r="RVU307" s="21"/>
      <c r="RVV307" s="21"/>
      <c r="RVW307" s="21"/>
      <c r="RVX307" s="21"/>
      <c r="RVY307" s="21"/>
      <c r="RVZ307" s="21"/>
      <c r="RWA307" s="21"/>
      <c r="RWB307" s="21"/>
      <c r="RWC307" s="21"/>
      <c r="RWD307" s="21"/>
      <c r="RWE307" s="21"/>
      <c r="RWF307" s="21"/>
      <c r="RWG307" s="21"/>
      <c r="RWH307" s="21"/>
      <c r="RWI307" s="21"/>
      <c r="RWJ307" s="21"/>
      <c r="RWK307" s="21"/>
      <c r="RWL307" s="21"/>
      <c r="RWM307" s="21"/>
      <c r="RWN307" s="21"/>
      <c r="RWO307" s="21"/>
      <c r="RWP307" s="21"/>
      <c r="RWQ307" s="21"/>
      <c r="RWR307" s="21"/>
      <c r="RWS307" s="21"/>
      <c r="RWT307" s="21"/>
      <c r="RWU307" s="21"/>
      <c r="RWV307" s="21"/>
      <c r="RWW307" s="21"/>
      <c r="RWX307" s="21"/>
      <c r="RWY307" s="21"/>
      <c r="RWZ307" s="21"/>
      <c r="RXA307" s="21"/>
      <c r="RXB307" s="21"/>
      <c r="RXC307" s="21"/>
      <c r="RXD307" s="21"/>
      <c r="RXE307" s="21"/>
      <c r="RXF307" s="21"/>
      <c r="RXG307" s="21"/>
      <c r="RXH307" s="21"/>
      <c r="RXI307" s="21"/>
      <c r="RXJ307" s="21"/>
      <c r="RXK307" s="21"/>
      <c r="RXL307" s="21"/>
      <c r="RXM307" s="21"/>
      <c r="RXN307" s="21"/>
      <c r="RXO307" s="21"/>
      <c r="RXP307" s="21"/>
      <c r="RXQ307" s="21"/>
      <c r="RXR307" s="21"/>
      <c r="RXS307" s="21"/>
      <c r="RXT307" s="21"/>
      <c r="RXU307" s="21"/>
      <c r="RXV307" s="21"/>
      <c r="RXW307" s="21"/>
      <c r="RXX307" s="21"/>
      <c r="RXY307" s="21"/>
      <c r="RXZ307" s="21"/>
      <c r="RYA307" s="21"/>
      <c r="RYB307" s="21"/>
      <c r="RYC307" s="21"/>
      <c r="RYD307" s="21"/>
      <c r="RYE307" s="21"/>
      <c r="RYF307" s="21"/>
      <c r="RYG307" s="21"/>
      <c r="RYH307" s="21"/>
      <c r="RYI307" s="21"/>
      <c r="RYJ307" s="21"/>
      <c r="RYK307" s="21"/>
      <c r="RYL307" s="21"/>
      <c r="RYM307" s="21"/>
      <c r="RYN307" s="21"/>
      <c r="RYO307" s="21"/>
      <c r="RYP307" s="21"/>
      <c r="RYQ307" s="21"/>
      <c r="RYR307" s="21"/>
      <c r="RYS307" s="21"/>
      <c r="RYT307" s="21"/>
      <c r="RYU307" s="21"/>
      <c r="RYV307" s="21"/>
      <c r="RYW307" s="21"/>
      <c r="RYX307" s="21"/>
      <c r="RYY307" s="21"/>
      <c r="RYZ307" s="21"/>
      <c r="RZA307" s="21"/>
      <c r="RZB307" s="21"/>
      <c r="RZC307" s="21"/>
      <c r="RZD307" s="21"/>
      <c r="RZE307" s="21"/>
      <c r="RZF307" s="21"/>
      <c r="RZG307" s="21"/>
      <c r="RZH307" s="21"/>
      <c r="RZI307" s="21"/>
      <c r="RZJ307" s="21"/>
      <c r="RZK307" s="21"/>
      <c r="RZL307" s="21"/>
      <c r="RZM307" s="21"/>
      <c r="RZN307" s="21"/>
      <c r="RZO307" s="21"/>
      <c r="RZP307" s="21"/>
      <c r="RZQ307" s="21"/>
      <c r="RZR307" s="21"/>
      <c r="RZS307" s="21"/>
      <c r="RZT307" s="21"/>
      <c r="RZU307" s="21"/>
      <c r="RZV307" s="21"/>
      <c r="RZW307" s="21"/>
      <c r="RZX307" s="21"/>
      <c r="RZY307" s="21"/>
      <c r="RZZ307" s="21"/>
      <c r="SAA307" s="21"/>
      <c r="SAB307" s="21"/>
      <c r="SAC307" s="21"/>
      <c r="SAD307" s="21"/>
      <c r="SAE307" s="21"/>
      <c r="SAF307" s="21"/>
      <c r="SAG307" s="21"/>
      <c r="SAH307" s="21"/>
      <c r="SAI307" s="21"/>
      <c r="SAJ307" s="21"/>
      <c r="SAK307" s="21"/>
      <c r="SAL307" s="21"/>
      <c r="SAM307" s="21"/>
      <c r="SAN307" s="21"/>
      <c r="SAO307" s="21"/>
      <c r="SAP307" s="21"/>
      <c r="SAQ307" s="21"/>
      <c r="SAR307" s="21"/>
      <c r="SAS307" s="21"/>
      <c r="SAT307" s="21"/>
      <c r="SAU307" s="21"/>
      <c r="SAV307" s="21"/>
      <c r="SAW307" s="21"/>
      <c r="SAX307" s="21"/>
      <c r="SAY307" s="21"/>
      <c r="SAZ307" s="21"/>
      <c r="SBA307" s="21"/>
      <c r="SBB307" s="21"/>
      <c r="SBC307" s="21"/>
      <c r="SBD307" s="21"/>
      <c r="SBE307" s="21"/>
      <c r="SBF307" s="21"/>
      <c r="SBG307" s="21"/>
      <c r="SBH307" s="21"/>
      <c r="SBI307" s="21"/>
      <c r="SBJ307" s="21"/>
      <c r="SBK307" s="21"/>
      <c r="SBL307" s="21"/>
      <c r="SBM307" s="21"/>
      <c r="SBN307" s="21"/>
      <c r="SBO307" s="21"/>
      <c r="SBP307" s="21"/>
      <c r="SBQ307" s="21"/>
      <c r="SBR307" s="21"/>
      <c r="SBS307" s="21"/>
      <c r="SBT307" s="21"/>
      <c r="SBU307" s="21"/>
      <c r="SBV307" s="21"/>
      <c r="SBW307" s="21"/>
      <c r="SBX307" s="21"/>
      <c r="SBY307" s="21"/>
      <c r="SBZ307" s="21"/>
      <c r="SCA307" s="21"/>
      <c r="SCB307" s="21"/>
      <c r="SCC307" s="21"/>
      <c r="SCD307" s="21"/>
      <c r="SCE307" s="21"/>
      <c r="SCF307" s="21"/>
      <c r="SCG307" s="21"/>
      <c r="SCH307" s="21"/>
      <c r="SCI307" s="21"/>
      <c r="SCJ307" s="21"/>
      <c r="SCK307" s="21"/>
      <c r="SCL307" s="21"/>
      <c r="SCM307" s="21"/>
      <c r="SCN307" s="21"/>
      <c r="SCO307" s="21"/>
      <c r="SCP307" s="21"/>
      <c r="SCQ307" s="21"/>
      <c r="SCR307" s="21"/>
      <c r="SCS307" s="21"/>
      <c r="SCT307" s="21"/>
      <c r="SCU307" s="21"/>
      <c r="SCV307" s="21"/>
      <c r="SCW307" s="21"/>
      <c r="SCX307" s="21"/>
      <c r="SCY307" s="21"/>
      <c r="SCZ307" s="21"/>
      <c r="SDA307" s="21"/>
      <c r="SDB307" s="21"/>
      <c r="SDC307" s="21"/>
      <c r="SDD307" s="21"/>
      <c r="SDE307" s="21"/>
      <c r="SDF307" s="21"/>
      <c r="SDG307" s="21"/>
      <c r="SDH307" s="21"/>
      <c r="SDI307" s="21"/>
      <c r="SDJ307" s="21"/>
      <c r="SDK307" s="21"/>
      <c r="SDL307" s="21"/>
      <c r="SDM307" s="21"/>
      <c r="SDN307" s="21"/>
      <c r="SDO307" s="21"/>
      <c r="SDP307" s="21"/>
      <c r="SDQ307" s="21"/>
      <c r="SDR307" s="21"/>
      <c r="SDS307" s="21"/>
      <c r="SDT307" s="21"/>
      <c r="SDU307" s="21"/>
      <c r="SDV307" s="21"/>
      <c r="SDW307" s="21"/>
      <c r="SDX307" s="21"/>
      <c r="SDY307" s="21"/>
      <c r="SDZ307" s="21"/>
      <c r="SEA307" s="21"/>
      <c r="SEB307" s="21"/>
      <c r="SEC307" s="21"/>
      <c r="SED307" s="21"/>
      <c r="SEE307" s="21"/>
      <c r="SEF307" s="21"/>
      <c r="SEG307" s="21"/>
      <c r="SEH307" s="21"/>
      <c r="SEI307" s="21"/>
      <c r="SEJ307" s="21"/>
      <c r="SEK307" s="21"/>
      <c r="SEL307" s="21"/>
      <c r="SEM307" s="21"/>
      <c r="SEN307" s="21"/>
      <c r="SEO307" s="21"/>
      <c r="SEP307" s="21"/>
      <c r="SEQ307" s="21"/>
      <c r="SER307" s="21"/>
      <c r="SES307" s="21"/>
      <c r="SET307" s="21"/>
      <c r="SEU307" s="21"/>
      <c r="SEV307" s="21"/>
      <c r="SEW307" s="21"/>
      <c r="SEX307" s="21"/>
      <c r="SEY307" s="21"/>
      <c r="SEZ307" s="21"/>
      <c r="SFA307" s="21"/>
      <c r="SFB307" s="21"/>
      <c r="SFC307" s="21"/>
      <c r="SFD307" s="21"/>
      <c r="SFE307" s="21"/>
      <c r="SFF307" s="21"/>
      <c r="SFG307" s="21"/>
      <c r="SFH307" s="21"/>
      <c r="SFI307" s="21"/>
      <c r="SFJ307" s="21"/>
      <c r="SFK307" s="21"/>
      <c r="SFL307" s="21"/>
      <c r="SFM307" s="21"/>
      <c r="SFN307" s="21"/>
      <c r="SFO307" s="21"/>
      <c r="SFP307" s="21"/>
      <c r="SFQ307" s="21"/>
      <c r="SFR307" s="21"/>
      <c r="SFS307" s="21"/>
      <c r="SFT307" s="21"/>
      <c r="SFU307" s="21"/>
      <c r="SFV307" s="21"/>
      <c r="SFW307" s="21"/>
      <c r="SFX307" s="21"/>
      <c r="SFY307" s="21"/>
      <c r="SFZ307" s="21"/>
      <c r="SGA307" s="21"/>
      <c r="SGB307" s="21"/>
      <c r="SGC307" s="21"/>
      <c r="SGD307" s="21"/>
      <c r="SGE307" s="21"/>
      <c r="SGF307" s="21"/>
      <c r="SGG307" s="21"/>
      <c r="SGH307" s="21"/>
      <c r="SGI307" s="21"/>
      <c r="SGJ307" s="21"/>
      <c r="SGK307" s="21"/>
      <c r="SGL307" s="21"/>
      <c r="SGM307" s="21"/>
      <c r="SGN307" s="21"/>
      <c r="SGO307" s="21"/>
      <c r="SGP307" s="21"/>
      <c r="SGQ307" s="21"/>
      <c r="SGR307" s="21"/>
      <c r="SGS307" s="21"/>
      <c r="SGT307" s="21"/>
      <c r="SGU307" s="21"/>
      <c r="SGV307" s="21"/>
      <c r="SGW307" s="21"/>
      <c r="SGX307" s="21"/>
      <c r="SGY307" s="21"/>
      <c r="SGZ307" s="21"/>
      <c r="SHA307" s="21"/>
      <c r="SHB307" s="21"/>
      <c r="SHC307" s="21"/>
      <c r="SHD307" s="21"/>
      <c r="SHE307" s="21"/>
      <c r="SHF307" s="21"/>
      <c r="SHG307" s="21"/>
      <c r="SHH307" s="21"/>
      <c r="SHI307" s="21"/>
      <c r="SHJ307" s="21"/>
      <c r="SHK307" s="21"/>
      <c r="SHL307" s="21"/>
      <c r="SHM307" s="21"/>
      <c r="SHN307" s="21"/>
      <c r="SHO307" s="21"/>
      <c r="SHP307" s="21"/>
      <c r="SHQ307" s="21"/>
      <c r="SHR307" s="21"/>
      <c r="SHS307" s="21"/>
      <c r="SHT307" s="21"/>
      <c r="SHU307" s="21"/>
      <c r="SHV307" s="21"/>
      <c r="SHW307" s="21"/>
      <c r="SHX307" s="21"/>
      <c r="SHY307" s="21"/>
      <c r="SHZ307" s="21"/>
      <c r="SIA307" s="21"/>
      <c r="SIB307" s="21"/>
      <c r="SIC307" s="21"/>
      <c r="SID307" s="21"/>
      <c r="SIE307" s="21"/>
      <c r="SIF307" s="21"/>
      <c r="SIG307" s="21"/>
      <c r="SIH307" s="21"/>
      <c r="SII307" s="21"/>
      <c r="SIJ307" s="21"/>
      <c r="SIK307" s="21"/>
      <c r="SIL307" s="21"/>
      <c r="SIM307" s="21"/>
      <c r="SIN307" s="21"/>
      <c r="SIO307" s="21"/>
      <c r="SIP307" s="21"/>
      <c r="SIQ307" s="21"/>
      <c r="SIR307" s="21"/>
      <c r="SIS307" s="21"/>
      <c r="SIT307" s="21"/>
      <c r="SIU307" s="21"/>
      <c r="SIV307" s="21"/>
      <c r="SIW307" s="21"/>
      <c r="SIX307" s="21"/>
      <c r="SIY307" s="21"/>
      <c r="SIZ307" s="21"/>
      <c r="SJA307" s="21"/>
      <c r="SJB307" s="21"/>
      <c r="SJC307" s="21"/>
      <c r="SJD307" s="21"/>
      <c r="SJE307" s="21"/>
      <c r="SJF307" s="21"/>
      <c r="SJG307" s="21"/>
      <c r="SJH307" s="21"/>
      <c r="SJI307" s="21"/>
      <c r="SJJ307" s="21"/>
      <c r="SJK307" s="21"/>
      <c r="SJL307" s="21"/>
      <c r="SJM307" s="21"/>
      <c r="SJN307" s="21"/>
      <c r="SJO307" s="21"/>
      <c r="SJP307" s="21"/>
      <c r="SJQ307" s="21"/>
      <c r="SJR307" s="21"/>
      <c r="SJS307" s="21"/>
      <c r="SJT307" s="21"/>
      <c r="SJU307" s="21"/>
      <c r="SJV307" s="21"/>
      <c r="SJW307" s="21"/>
      <c r="SJX307" s="21"/>
      <c r="SJY307" s="21"/>
      <c r="SJZ307" s="21"/>
      <c r="SKA307" s="21"/>
      <c r="SKB307" s="21"/>
      <c r="SKC307" s="21"/>
      <c r="SKD307" s="21"/>
      <c r="SKE307" s="21"/>
      <c r="SKF307" s="21"/>
      <c r="SKG307" s="21"/>
      <c r="SKH307" s="21"/>
      <c r="SKI307" s="21"/>
      <c r="SKJ307" s="21"/>
      <c r="SKK307" s="21"/>
      <c r="SKL307" s="21"/>
      <c r="SKM307" s="21"/>
      <c r="SKN307" s="21"/>
      <c r="SKO307" s="21"/>
      <c r="SKP307" s="21"/>
      <c r="SKQ307" s="21"/>
      <c r="SKR307" s="21"/>
      <c r="SKS307" s="21"/>
      <c r="SKT307" s="21"/>
      <c r="SKU307" s="21"/>
      <c r="SKV307" s="21"/>
      <c r="SKW307" s="21"/>
      <c r="SKX307" s="21"/>
      <c r="SKY307" s="21"/>
      <c r="SKZ307" s="21"/>
      <c r="SLA307" s="21"/>
      <c r="SLB307" s="21"/>
      <c r="SLC307" s="21"/>
      <c r="SLD307" s="21"/>
      <c r="SLE307" s="21"/>
      <c r="SLF307" s="21"/>
      <c r="SLG307" s="21"/>
      <c r="SLH307" s="21"/>
      <c r="SLI307" s="21"/>
      <c r="SLJ307" s="21"/>
      <c r="SLK307" s="21"/>
      <c r="SLL307" s="21"/>
      <c r="SLM307" s="21"/>
      <c r="SLN307" s="21"/>
      <c r="SLO307" s="21"/>
      <c r="SLP307" s="21"/>
      <c r="SLQ307" s="21"/>
      <c r="SLR307" s="21"/>
      <c r="SLS307" s="21"/>
      <c r="SLT307" s="21"/>
      <c r="SLU307" s="21"/>
      <c r="SLV307" s="21"/>
      <c r="SLW307" s="21"/>
      <c r="SLX307" s="21"/>
      <c r="SLY307" s="21"/>
      <c r="SLZ307" s="21"/>
      <c r="SMA307" s="21"/>
      <c r="SMB307" s="21"/>
      <c r="SMC307" s="21"/>
      <c r="SMD307" s="21"/>
      <c r="SME307" s="21"/>
      <c r="SMF307" s="21"/>
      <c r="SMG307" s="21"/>
      <c r="SMH307" s="21"/>
      <c r="SMI307" s="21"/>
      <c r="SMJ307" s="21"/>
      <c r="SMK307" s="21"/>
      <c r="SML307" s="21"/>
      <c r="SMM307" s="21"/>
      <c r="SMN307" s="21"/>
      <c r="SMO307" s="21"/>
      <c r="SMP307" s="21"/>
      <c r="SMQ307" s="21"/>
      <c r="SMR307" s="21"/>
      <c r="SMS307" s="21"/>
      <c r="SMT307" s="21"/>
      <c r="SMU307" s="21"/>
      <c r="SMV307" s="21"/>
      <c r="SMW307" s="21"/>
      <c r="SMX307" s="21"/>
      <c r="SMY307" s="21"/>
      <c r="SMZ307" s="21"/>
      <c r="SNA307" s="21"/>
      <c r="SNB307" s="21"/>
      <c r="SNC307" s="21"/>
      <c r="SND307" s="21"/>
      <c r="SNE307" s="21"/>
      <c r="SNF307" s="21"/>
      <c r="SNG307" s="21"/>
      <c r="SNH307" s="21"/>
      <c r="SNI307" s="21"/>
      <c r="SNJ307" s="21"/>
      <c r="SNK307" s="21"/>
      <c r="SNL307" s="21"/>
      <c r="SNM307" s="21"/>
      <c r="SNN307" s="21"/>
      <c r="SNO307" s="21"/>
      <c r="SNP307" s="21"/>
      <c r="SNQ307" s="21"/>
      <c r="SNR307" s="21"/>
      <c r="SNS307" s="21"/>
      <c r="SNT307" s="21"/>
      <c r="SNU307" s="21"/>
      <c r="SNV307" s="21"/>
      <c r="SNW307" s="21"/>
      <c r="SNX307" s="21"/>
      <c r="SNY307" s="21"/>
      <c r="SNZ307" s="21"/>
      <c r="SOA307" s="21"/>
      <c r="SOB307" s="21"/>
      <c r="SOC307" s="21"/>
      <c r="SOD307" s="21"/>
      <c r="SOE307" s="21"/>
      <c r="SOF307" s="21"/>
      <c r="SOG307" s="21"/>
      <c r="SOH307" s="21"/>
      <c r="SOI307" s="21"/>
      <c r="SOJ307" s="21"/>
      <c r="SOK307" s="21"/>
      <c r="SOL307" s="21"/>
      <c r="SOM307" s="21"/>
      <c r="SON307" s="21"/>
      <c r="SOO307" s="21"/>
      <c r="SOP307" s="21"/>
      <c r="SOQ307" s="21"/>
      <c r="SOR307" s="21"/>
      <c r="SOS307" s="21"/>
      <c r="SOT307" s="21"/>
      <c r="SOU307" s="21"/>
      <c r="SOV307" s="21"/>
      <c r="SOW307" s="21"/>
      <c r="SOX307" s="21"/>
      <c r="SOY307" s="21"/>
      <c r="SOZ307" s="21"/>
      <c r="SPA307" s="21"/>
      <c r="SPB307" s="21"/>
      <c r="SPC307" s="21"/>
      <c r="SPD307" s="21"/>
      <c r="SPE307" s="21"/>
      <c r="SPF307" s="21"/>
      <c r="SPG307" s="21"/>
      <c r="SPH307" s="21"/>
      <c r="SPI307" s="21"/>
      <c r="SPJ307" s="21"/>
      <c r="SPK307" s="21"/>
      <c r="SPL307" s="21"/>
      <c r="SPM307" s="21"/>
      <c r="SPN307" s="21"/>
      <c r="SPO307" s="21"/>
      <c r="SPP307" s="21"/>
      <c r="SPQ307" s="21"/>
      <c r="SPR307" s="21"/>
      <c r="SPS307" s="21"/>
      <c r="SPT307" s="21"/>
      <c r="SPU307" s="21"/>
      <c r="SPV307" s="21"/>
      <c r="SPW307" s="21"/>
      <c r="SPX307" s="21"/>
      <c r="SPY307" s="21"/>
      <c r="SPZ307" s="21"/>
      <c r="SQA307" s="21"/>
      <c r="SQB307" s="21"/>
      <c r="SQC307" s="21"/>
      <c r="SQD307" s="21"/>
      <c r="SQE307" s="21"/>
      <c r="SQF307" s="21"/>
      <c r="SQG307" s="21"/>
      <c r="SQH307" s="21"/>
      <c r="SQI307" s="21"/>
      <c r="SQJ307" s="21"/>
      <c r="SQK307" s="21"/>
      <c r="SQL307" s="21"/>
      <c r="SQM307" s="21"/>
      <c r="SQN307" s="21"/>
      <c r="SQO307" s="21"/>
      <c r="SQP307" s="21"/>
      <c r="SQQ307" s="21"/>
      <c r="SQR307" s="21"/>
      <c r="SQS307" s="21"/>
      <c r="SQT307" s="21"/>
      <c r="SQU307" s="21"/>
      <c r="SQV307" s="21"/>
      <c r="SQW307" s="21"/>
      <c r="SQX307" s="21"/>
      <c r="SQY307" s="21"/>
      <c r="SQZ307" s="21"/>
      <c r="SRA307" s="21"/>
      <c r="SRB307" s="21"/>
      <c r="SRC307" s="21"/>
      <c r="SRD307" s="21"/>
      <c r="SRE307" s="21"/>
      <c r="SRF307" s="21"/>
      <c r="SRG307" s="21"/>
      <c r="SRH307" s="21"/>
      <c r="SRI307" s="21"/>
      <c r="SRJ307" s="21"/>
      <c r="SRK307" s="21"/>
      <c r="SRL307" s="21"/>
      <c r="SRM307" s="21"/>
      <c r="SRN307" s="21"/>
      <c r="SRO307" s="21"/>
      <c r="SRP307" s="21"/>
      <c r="SRQ307" s="21"/>
      <c r="SRR307" s="21"/>
      <c r="SRS307" s="21"/>
      <c r="SRT307" s="21"/>
      <c r="SRU307" s="21"/>
      <c r="SRV307" s="21"/>
      <c r="SRW307" s="21"/>
      <c r="SRX307" s="21"/>
      <c r="SRY307" s="21"/>
      <c r="SRZ307" s="21"/>
      <c r="SSA307" s="21"/>
      <c r="SSB307" s="21"/>
      <c r="SSC307" s="21"/>
      <c r="SSD307" s="21"/>
      <c r="SSE307" s="21"/>
      <c r="SSF307" s="21"/>
      <c r="SSG307" s="21"/>
      <c r="SSH307" s="21"/>
      <c r="SSI307" s="21"/>
      <c r="SSJ307" s="21"/>
      <c r="SSK307" s="21"/>
      <c r="SSL307" s="21"/>
      <c r="SSM307" s="21"/>
      <c r="SSN307" s="21"/>
      <c r="SSO307" s="21"/>
      <c r="SSP307" s="21"/>
      <c r="SSQ307" s="21"/>
      <c r="SSR307" s="21"/>
      <c r="SSS307" s="21"/>
      <c r="SST307" s="21"/>
      <c r="SSU307" s="21"/>
      <c r="SSV307" s="21"/>
      <c r="SSW307" s="21"/>
      <c r="SSX307" s="21"/>
      <c r="SSY307" s="21"/>
      <c r="SSZ307" s="21"/>
      <c r="STA307" s="21"/>
      <c r="STB307" s="21"/>
      <c r="STC307" s="21"/>
      <c r="STD307" s="21"/>
      <c r="STE307" s="21"/>
      <c r="STF307" s="21"/>
      <c r="STG307" s="21"/>
      <c r="STH307" s="21"/>
      <c r="STI307" s="21"/>
      <c r="STJ307" s="21"/>
      <c r="STK307" s="21"/>
      <c r="STL307" s="21"/>
      <c r="STM307" s="21"/>
      <c r="STN307" s="21"/>
      <c r="STO307" s="21"/>
      <c r="STP307" s="21"/>
      <c r="STQ307" s="21"/>
      <c r="STR307" s="21"/>
      <c r="STS307" s="21"/>
      <c r="STT307" s="21"/>
      <c r="STU307" s="21"/>
      <c r="STV307" s="21"/>
      <c r="STW307" s="21"/>
      <c r="STX307" s="21"/>
      <c r="STY307" s="21"/>
      <c r="STZ307" s="21"/>
      <c r="SUA307" s="21"/>
      <c r="SUB307" s="21"/>
      <c r="SUC307" s="21"/>
      <c r="SUD307" s="21"/>
      <c r="SUE307" s="21"/>
      <c r="SUF307" s="21"/>
      <c r="SUG307" s="21"/>
      <c r="SUH307" s="21"/>
      <c r="SUI307" s="21"/>
      <c r="SUJ307" s="21"/>
      <c r="SUK307" s="21"/>
      <c r="SUL307" s="21"/>
      <c r="SUM307" s="21"/>
      <c r="SUN307" s="21"/>
      <c r="SUO307" s="21"/>
      <c r="SUP307" s="21"/>
      <c r="SUQ307" s="21"/>
      <c r="SUR307" s="21"/>
      <c r="SUS307" s="21"/>
      <c r="SUT307" s="21"/>
      <c r="SUU307" s="21"/>
      <c r="SUV307" s="21"/>
      <c r="SUW307" s="21"/>
      <c r="SUX307" s="21"/>
      <c r="SUY307" s="21"/>
      <c r="SUZ307" s="21"/>
      <c r="SVA307" s="21"/>
      <c r="SVB307" s="21"/>
      <c r="SVC307" s="21"/>
      <c r="SVD307" s="21"/>
      <c r="SVE307" s="21"/>
      <c r="SVF307" s="21"/>
      <c r="SVG307" s="21"/>
      <c r="SVH307" s="21"/>
      <c r="SVI307" s="21"/>
      <c r="SVJ307" s="21"/>
      <c r="SVK307" s="21"/>
      <c r="SVL307" s="21"/>
      <c r="SVM307" s="21"/>
      <c r="SVN307" s="21"/>
      <c r="SVO307" s="21"/>
      <c r="SVP307" s="21"/>
      <c r="SVQ307" s="21"/>
      <c r="SVR307" s="21"/>
      <c r="SVS307" s="21"/>
      <c r="SVT307" s="21"/>
      <c r="SVU307" s="21"/>
      <c r="SVV307" s="21"/>
      <c r="SVW307" s="21"/>
      <c r="SVX307" s="21"/>
      <c r="SVY307" s="21"/>
      <c r="SVZ307" s="21"/>
      <c r="SWA307" s="21"/>
      <c r="SWB307" s="21"/>
      <c r="SWC307" s="21"/>
      <c r="SWD307" s="21"/>
      <c r="SWE307" s="21"/>
      <c r="SWF307" s="21"/>
      <c r="SWG307" s="21"/>
      <c r="SWH307" s="21"/>
      <c r="SWI307" s="21"/>
      <c r="SWJ307" s="21"/>
      <c r="SWK307" s="21"/>
      <c r="SWL307" s="21"/>
      <c r="SWM307" s="21"/>
      <c r="SWN307" s="21"/>
      <c r="SWO307" s="21"/>
      <c r="SWP307" s="21"/>
      <c r="SWQ307" s="21"/>
      <c r="SWR307" s="21"/>
      <c r="SWS307" s="21"/>
      <c r="SWT307" s="21"/>
      <c r="SWU307" s="21"/>
      <c r="SWV307" s="21"/>
      <c r="SWW307" s="21"/>
      <c r="SWX307" s="21"/>
      <c r="SWY307" s="21"/>
      <c r="SWZ307" s="21"/>
      <c r="SXA307" s="21"/>
      <c r="SXB307" s="21"/>
      <c r="SXC307" s="21"/>
      <c r="SXD307" s="21"/>
      <c r="SXE307" s="21"/>
      <c r="SXF307" s="21"/>
      <c r="SXG307" s="21"/>
      <c r="SXH307" s="21"/>
      <c r="SXI307" s="21"/>
      <c r="SXJ307" s="21"/>
      <c r="SXK307" s="21"/>
      <c r="SXL307" s="21"/>
      <c r="SXM307" s="21"/>
      <c r="SXN307" s="21"/>
      <c r="SXO307" s="21"/>
      <c r="SXP307" s="21"/>
      <c r="SXQ307" s="21"/>
      <c r="SXR307" s="21"/>
      <c r="SXS307" s="21"/>
      <c r="SXT307" s="21"/>
      <c r="SXU307" s="21"/>
      <c r="SXV307" s="21"/>
      <c r="SXW307" s="21"/>
      <c r="SXX307" s="21"/>
      <c r="SXY307" s="21"/>
      <c r="SXZ307" s="21"/>
      <c r="SYA307" s="21"/>
      <c r="SYB307" s="21"/>
      <c r="SYC307" s="21"/>
      <c r="SYD307" s="21"/>
      <c r="SYE307" s="21"/>
      <c r="SYF307" s="21"/>
      <c r="SYG307" s="21"/>
      <c r="SYH307" s="21"/>
      <c r="SYI307" s="21"/>
      <c r="SYJ307" s="21"/>
      <c r="SYK307" s="21"/>
      <c r="SYL307" s="21"/>
      <c r="SYM307" s="21"/>
      <c r="SYN307" s="21"/>
      <c r="SYO307" s="21"/>
      <c r="SYP307" s="21"/>
      <c r="SYQ307" s="21"/>
      <c r="SYR307" s="21"/>
      <c r="SYS307" s="21"/>
      <c r="SYT307" s="21"/>
      <c r="SYU307" s="21"/>
      <c r="SYV307" s="21"/>
      <c r="SYW307" s="21"/>
      <c r="SYX307" s="21"/>
      <c r="SYY307" s="21"/>
      <c r="SYZ307" s="21"/>
      <c r="SZA307" s="21"/>
      <c r="SZB307" s="21"/>
      <c r="SZC307" s="21"/>
      <c r="SZD307" s="21"/>
      <c r="SZE307" s="21"/>
      <c r="SZF307" s="21"/>
      <c r="SZG307" s="21"/>
      <c r="SZH307" s="21"/>
      <c r="SZI307" s="21"/>
      <c r="SZJ307" s="21"/>
      <c r="SZK307" s="21"/>
      <c r="SZL307" s="21"/>
      <c r="SZM307" s="21"/>
      <c r="SZN307" s="21"/>
      <c r="SZO307" s="21"/>
      <c r="SZP307" s="21"/>
      <c r="SZQ307" s="21"/>
      <c r="SZR307" s="21"/>
      <c r="SZS307" s="21"/>
      <c r="SZT307" s="21"/>
      <c r="SZU307" s="21"/>
      <c r="SZV307" s="21"/>
      <c r="SZW307" s="21"/>
      <c r="SZX307" s="21"/>
      <c r="SZY307" s="21"/>
      <c r="SZZ307" s="21"/>
      <c r="TAA307" s="21"/>
      <c r="TAB307" s="21"/>
      <c r="TAC307" s="21"/>
      <c r="TAD307" s="21"/>
      <c r="TAE307" s="21"/>
      <c r="TAF307" s="21"/>
      <c r="TAG307" s="21"/>
      <c r="TAH307" s="21"/>
      <c r="TAI307" s="21"/>
      <c r="TAJ307" s="21"/>
      <c r="TAK307" s="21"/>
      <c r="TAL307" s="21"/>
      <c r="TAM307" s="21"/>
      <c r="TAN307" s="21"/>
      <c r="TAO307" s="21"/>
      <c r="TAP307" s="21"/>
      <c r="TAQ307" s="21"/>
      <c r="TAR307" s="21"/>
      <c r="TAS307" s="21"/>
      <c r="TAT307" s="21"/>
      <c r="TAU307" s="21"/>
      <c r="TAV307" s="21"/>
      <c r="TAW307" s="21"/>
      <c r="TAX307" s="21"/>
      <c r="TAY307" s="21"/>
      <c r="TAZ307" s="21"/>
      <c r="TBA307" s="21"/>
      <c r="TBB307" s="21"/>
      <c r="TBC307" s="21"/>
      <c r="TBD307" s="21"/>
      <c r="TBE307" s="21"/>
      <c r="TBF307" s="21"/>
      <c r="TBG307" s="21"/>
      <c r="TBH307" s="21"/>
      <c r="TBI307" s="21"/>
      <c r="TBJ307" s="21"/>
      <c r="TBK307" s="21"/>
      <c r="TBL307" s="21"/>
      <c r="TBM307" s="21"/>
      <c r="TBN307" s="21"/>
      <c r="TBO307" s="21"/>
      <c r="TBP307" s="21"/>
      <c r="TBQ307" s="21"/>
      <c r="TBR307" s="21"/>
      <c r="TBS307" s="21"/>
      <c r="TBT307" s="21"/>
      <c r="TBU307" s="21"/>
      <c r="TBV307" s="21"/>
      <c r="TBW307" s="21"/>
      <c r="TBX307" s="21"/>
      <c r="TBY307" s="21"/>
      <c r="TBZ307" s="21"/>
      <c r="TCA307" s="21"/>
      <c r="TCB307" s="21"/>
      <c r="TCC307" s="21"/>
      <c r="TCD307" s="21"/>
      <c r="TCE307" s="21"/>
      <c r="TCF307" s="21"/>
      <c r="TCG307" s="21"/>
      <c r="TCH307" s="21"/>
      <c r="TCI307" s="21"/>
      <c r="TCJ307" s="21"/>
      <c r="TCK307" s="21"/>
      <c r="TCL307" s="21"/>
      <c r="TCM307" s="21"/>
      <c r="TCN307" s="21"/>
      <c r="TCO307" s="21"/>
      <c r="TCP307" s="21"/>
      <c r="TCQ307" s="21"/>
      <c r="TCR307" s="21"/>
      <c r="TCS307" s="21"/>
      <c r="TCT307" s="21"/>
      <c r="TCU307" s="21"/>
      <c r="TCV307" s="21"/>
      <c r="TCW307" s="21"/>
      <c r="TCX307" s="21"/>
      <c r="TCY307" s="21"/>
      <c r="TCZ307" s="21"/>
      <c r="TDA307" s="21"/>
      <c r="TDB307" s="21"/>
      <c r="TDC307" s="21"/>
      <c r="TDD307" s="21"/>
      <c r="TDE307" s="21"/>
      <c r="TDF307" s="21"/>
      <c r="TDG307" s="21"/>
      <c r="TDH307" s="21"/>
      <c r="TDI307" s="21"/>
      <c r="TDJ307" s="21"/>
      <c r="TDK307" s="21"/>
      <c r="TDL307" s="21"/>
      <c r="TDM307" s="21"/>
      <c r="TDN307" s="21"/>
      <c r="TDO307" s="21"/>
      <c r="TDP307" s="21"/>
      <c r="TDQ307" s="21"/>
      <c r="TDR307" s="21"/>
      <c r="TDS307" s="21"/>
      <c r="TDT307" s="21"/>
      <c r="TDU307" s="21"/>
      <c r="TDV307" s="21"/>
      <c r="TDW307" s="21"/>
      <c r="TDX307" s="21"/>
      <c r="TDY307" s="21"/>
      <c r="TDZ307" s="21"/>
      <c r="TEA307" s="21"/>
      <c r="TEB307" s="21"/>
      <c r="TEC307" s="21"/>
      <c r="TED307" s="21"/>
      <c r="TEE307" s="21"/>
      <c r="TEF307" s="21"/>
      <c r="TEG307" s="21"/>
      <c r="TEH307" s="21"/>
      <c r="TEI307" s="21"/>
      <c r="TEJ307" s="21"/>
      <c r="TEK307" s="21"/>
      <c r="TEL307" s="21"/>
      <c r="TEM307" s="21"/>
      <c r="TEN307" s="21"/>
      <c r="TEO307" s="21"/>
      <c r="TEP307" s="21"/>
      <c r="TEQ307" s="21"/>
      <c r="TER307" s="21"/>
      <c r="TES307" s="21"/>
      <c r="TET307" s="21"/>
      <c r="TEU307" s="21"/>
      <c r="TEV307" s="21"/>
      <c r="TEW307" s="21"/>
      <c r="TEX307" s="21"/>
      <c r="TEY307" s="21"/>
      <c r="TEZ307" s="21"/>
      <c r="TFA307" s="21"/>
      <c r="TFB307" s="21"/>
      <c r="TFC307" s="21"/>
      <c r="TFD307" s="21"/>
      <c r="TFE307" s="21"/>
      <c r="TFF307" s="21"/>
      <c r="TFG307" s="21"/>
      <c r="TFH307" s="21"/>
      <c r="TFI307" s="21"/>
      <c r="TFJ307" s="21"/>
      <c r="TFK307" s="21"/>
      <c r="TFL307" s="21"/>
      <c r="TFM307" s="21"/>
      <c r="TFN307" s="21"/>
      <c r="TFO307" s="21"/>
      <c r="TFP307" s="21"/>
      <c r="TFQ307" s="21"/>
      <c r="TFR307" s="21"/>
      <c r="TFS307" s="21"/>
      <c r="TFT307" s="21"/>
      <c r="TFU307" s="21"/>
      <c r="TFV307" s="21"/>
      <c r="TFW307" s="21"/>
      <c r="TFX307" s="21"/>
      <c r="TFY307" s="21"/>
      <c r="TFZ307" s="21"/>
      <c r="TGA307" s="21"/>
      <c r="TGB307" s="21"/>
      <c r="TGC307" s="21"/>
      <c r="TGD307" s="21"/>
      <c r="TGE307" s="21"/>
      <c r="TGF307" s="21"/>
      <c r="TGG307" s="21"/>
      <c r="TGH307" s="21"/>
      <c r="TGI307" s="21"/>
      <c r="TGJ307" s="21"/>
      <c r="TGK307" s="21"/>
      <c r="TGL307" s="21"/>
      <c r="TGM307" s="21"/>
      <c r="TGN307" s="21"/>
      <c r="TGO307" s="21"/>
      <c r="TGP307" s="21"/>
      <c r="TGQ307" s="21"/>
      <c r="TGR307" s="21"/>
      <c r="TGS307" s="21"/>
      <c r="TGT307" s="21"/>
      <c r="TGU307" s="21"/>
      <c r="TGV307" s="21"/>
      <c r="TGW307" s="21"/>
      <c r="TGX307" s="21"/>
      <c r="TGY307" s="21"/>
      <c r="TGZ307" s="21"/>
      <c r="THA307" s="21"/>
      <c r="THB307" s="21"/>
      <c r="THC307" s="21"/>
      <c r="THD307" s="21"/>
      <c r="THE307" s="21"/>
      <c r="THF307" s="21"/>
      <c r="THG307" s="21"/>
      <c r="THH307" s="21"/>
      <c r="THI307" s="21"/>
      <c r="THJ307" s="21"/>
      <c r="THK307" s="21"/>
      <c r="THL307" s="21"/>
      <c r="THM307" s="21"/>
      <c r="THN307" s="21"/>
      <c r="THO307" s="21"/>
      <c r="THP307" s="21"/>
      <c r="THQ307" s="21"/>
      <c r="THR307" s="21"/>
      <c r="THS307" s="21"/>
      <c r="THT307" s="21"/>
      <c r="THU307" s="21"/>
      <c r="THV307" s="21"/>
      <c r="THW307" s="21"/>
      <c r="THX307" s="21"/>
      <c r="THY307" s="21"/>
      <c r="THZ307" s="21"/>
      <c r="TIA307" s="21"/>
      <c r="TIB307" s="21"/>
      <c r="TIC307" s="21"/>
      <c r="TID307" s="21"/>
      <c r="TIE307" s="21"/>
      <c r="TIF307" s="21"/>
      <c r="TIG307" s="21"/>
      <c r="TIH307" s="21"/>
      <c r="TII307" s="21"/>
      <c r="TIJ307" s="21"/>
      <c r="TIK307" s="21"/>
      <c r="TIL307" s="21"/>
      <c r="TIM307" s="21"/>
      <c r="TIN307" s="21"/>
      <c r="TIO307" s="21"/>
      <c r="TIP307" s="21"/>
      <c r="TIQ307" s="21"/>
      <c r="TIR307" s="21"/>
      <c r="TIS307" s="21"/>
      <c r="TIT307" s="21"/>
      <c r="TIU307" s="21"/>
      <c r="TIV307" s="21"/>
      <c r="TIW307" s="21"/>
      <c r="TIX307" s="21"/>
      <c r="TIY307" s="21"/>
      <c r="TIZ307" s="21"/>
      <c r="TJA307" s="21"/>
      <c r="TJB307" s="21"/>
      <c r="TJC307" s="21"/>
      <c r="TJD307" s="21"/>
      <c r="TJE307" s="21"/>
      <c r="TJF307" s="21"/>
      <c r="TJG307" s="21"/>
      <c r="TJH307" s="21"/>
      <c r="TJI307" s="21"/>
      <c r="TJJ307" s="21"/>
      <c r="TJK307" s="21"/>
      <c r="TJL307" s="21"/>
      <c r="TJM307" s="21"/>
      <c r="TJN307" s="21"/>
      <c r="TJO307" s="21"/>
      <c r="TJP307" s="21"/>
      <c r="TJQ307" s="21"/>
      <c r="TJR307" s="21"/>
      <c r="TJS307" s="21"/>
      <c r="TJT307" s="21"/>
      <c r="TJU307" s="21"/>
      <c r="TJV307" s="21"/>
      <c r="TJW307" s="21"/>
      <c r="TJX307" s="21"/>
      <c r="TJY307" s="21"/>
      <c r="TJZ307" s="21"/>
      <c r="TKA307" s="21"/>
      <c r="TKB307" s="21"/>
      <c r="TKC307" s="21"/>
      <c r="TKD307" s="21"/>
      <c r="TKE307" s="21"/>
      <c r="TKF307" s="21"/>
      <c r="TKG307" s="21"/>
      <c r="TKH307" s="21"/>
      <c r="TKI307" s="21"/>
      <c r="TKJ307" s="21"/>
      <c r="TKK307" s="21"/>
      <c r="TKL307" s="21"/>
      <c r="TKM307" s="21"/>
      <c r="TKN307" s="21"/>
      <c r="TKO307" s="21"/>
      <c r="TKP307" s="21"/>
      <c r="TKQ307" s="21"/>
      <c r="TKR307" s="21"/>
      <c r="TKS307" s="21"/>
      <c r="TKT307" s="21"/>
      <c r="TKU307" s="21"/>
      <c r="TKV307" s="21"/>
      <c r="TKW307" s="21"/>
      <c r="TKX307" s="21"/>
      <c r="TKY307" s="21"/>
      <c r="TKZ307" s="21"/>
      <c r="TLA307" s="21"/>
      <c r="TLB307" s="21"/>
      <c r="TLC307" s="21"/>
      <c r="TLD307" s="21"/>
      <c r="TLE307" s="21"/>
      <c r="TLF307" s="21"/>
      <c r="TLG307" s="21"/>
      <c r="TLH307" s="21"/>
      <c r="TLI307" s="21"/>
      <c r="TLJ307" s="21"/>
      <c r="TLK307" s="21"/>
      <c r="TLL307" s="21"/>
      <c r="TLM307" s="21"/>
      <c r="TLN307" s="21"/>
      <c r="TLO307" s="21"/>
      <c r="TLP307" s="21"/>
      <c r="TLQ307" s="21"/>
      <c r="TLR307" s="21"/>
      <c r="TLS307" s="21"/>
      <c r="TLT307" s="21"/>
      <c r="TLU307" s="21"/>
      <c r="TLV307" s="21"/>
      <c r="TLW307" s="21"/>
      <c r="TLX307" s="21"/>
      <c r="TLY307" s="21"/>
      <c r="TLZ307" s="21"/>
      <c r="TMA307" s="21"/>
      <c r="TMB307" s="21"/>
      <c r="TMC307" s="21"/>
      <c r="TMD307" s="21"/>
      <c r="TME307" s="21"/>
      <c r="TMF307" s="21"/>
      <c r="TMG307" s="21"/>
      <c r="TMH307" s="21"/>
      <c r="TMI307" s="21"/>
      <c r="TMJ307" s="21"/>
      <c r="TMK307" s="21"/>
      <c r="TML307" s="21"/>
      <c r="TMM307" s="21"/>
      <c r="TMN307" s="21"/>
      <c r="TMO307" s="21"/>
      <c r="TMP307" s="21"/>
      <c r="TMQ307" s="21"/>
      <c r="TMR307" s="21"/>
      <c r="TMS307" s="21"/>
      <c r="TMT307" s="21"/>
      <c r="TMU307" s="21"/>
      <c r="TMV307" s="21"/>
      <c r="TMW307" s="21"/>
      <c r="TMX307" s="21"/>
      <c r="TMY307" s="21"/>
      <c r="TMZ307" s="21"/>
      <c r="TNA307" s="21"/>
      <c r="TNB307" s="21"/>
      <c r="TNC307" s="21"/>
      <c r="TND307" s="21"/>
      <c r="TNE307" s="21"/>
      <c r="TNF307" s="21"/>
      <c r="TNG307" s="21"/>
      <c r="TNH307" s="21"/>
      <c r="TNI307" s="21"/>
      <c r="TNJ307" s="21"/>
      <c r="TNK307" s="21"/>
      <c r="TNL307" s="21"/>
      <c r="TNM307" s="21"/>
      <c r="TNN307" s="21"/>
      <c r="TNO307" s="21"/>
      <c r="TNP307" s="21"/>
      <c r="TNQ307" s="21"/>
      <c r="TNR307" s="21"/>
      <c r="TNS307" s="21"/>
      <c r="TNT307" s="21"/>
      <c r="TNU307" s="21"/>
      <c r="TNV307" s="21"/>
      <c r="TNW307" s="21"/>
      <c r="TNX307" s="21"/>
      <c r="TNY307" s="21"/>
      <c r="TNZ307" s="21"/>
      <c r="TOA307" s="21"/>
      <c r="TOB307" s="21"/>
      <c r="TOC307" s="21"/>
      <c r="TOD307" s="21"/>
      <c r="TOE307" s="21"/>
      <c r="TOF307" s="21"/>
      <c r="TOG307" s="21"/>
      <c r="TOH307" s="21"/>
      <c r="TOI307" s="21"/>
      <c r="TOJ307" s="21"/>
      <c r="TOK307" s="21"/>
      <c r="TOL307" s="21"/>
      <c r="TOM307" s="21"/>
      <c r="TON307" s="21"/>
      <c r="TOO307" s="21"/>
      <c r="TOP307" s="21"/>
      <c r="TOQ307" s="21"/>
      <c r="TOR307" s="21"/>
      <c r="TOS307" s="21"/>
      <c r="TOT307" s="21"/>
      <c r="TOU307" s="21"/>
      <c r="TOV307" s="21"/>
      <c r="TOW307" s="21"/>
      <c r="TOX307" s="21"/>
      <c r="TOY307" s="21"/>
      <c r="TOZ307" s="21"/>
      <c r="TPA307" s="21"/>
      <c r="TPB307" s="21"/>
      <c r="TPC307" s="21"/>
      <c r="TPD307" s="21"/>
      <c r="TPE307" s="21"/>
      <c r="TPF307" s="21"/>
      <c r="TPG307" s="21"/>
      <c r="TPH307" s="21"/>
      <c r="TPI307" s="21"/>
      <c r="TPJ307" s="21"/>
      <c r="TPK307" s="21"/>
      <c r="TPL307" s="21"/>
      <c r="TPM307" s="21"/>
      <c r="TPN307" s="21"/>
      <c r="TPO307" s="21"/>
      <c r="TPP307" s="21"/>
      <c r="TPQ307" s="21"/>
      <c r="TPR307" s="21"/>
      <c r="TPS307" s="21"/>
      <c r="TPT307" s="21"/>
      <c r="TPU307" s="21"/>
      <c r="TPV307" s="21"/>
      <c r="TPW307" s="21"/>
      <c r="TPX307" s="21"/>
      <c r="TPY307" s="21"/>
      <c r="TPZ307" s="21"/>
      <c r="TQA307" s="21"/>
      <c r="TQB307" s="21"/>
      <c r="TQC307" s="21"/>
      <c r="TQD307" s="21"/>
      <c r="TQE307" s="21"/>
      <c r="TQF307" s="21"/>
      <c r="TQG307" s="21"/>
      <c r="TQH307" s="21"/>
      <c r="TQI307" s="21"/>
      <c r="TQJ307" s="21"/>
      <c r="TQK307" s="21"/>
      <c r="TQL307" s="21"/>
      <c r="TQM307" s="21"/>
      <c r="TQN307" s="21"/>
      <c r="TQO307" s="21"/>
      <c r="TQP307" s="21"/>
      <c r="TQQ307" s="21"/>
      <c r="TQR307" s="21"/>
      <c r="TQS307" s="21"/>
      <c r="TQT307" s="21"/>
      <c r="TQU307" s="21"/>
      <c r="TQV307" s="21"/>
      <c r="TQW307" s="21"/>
      <c r="TQX307" s="21"/>
      <c r="TQY307" s="21"/>
      <c r="TQZ307" s="21"/>
      <c r="TRA307" s="21"/>
      <c r="TRB307" s="21"/>
      <c r="TRC307" s="21"/>
      <c r="TRD307" s="21"/>
      <c r="TRE307" s="21"/>
      <c r="TRF307" s="21"/>
      <c r="TRG307" s="21"/>
      <c r="TRH307" s="21"/>
      <c r="TRI307" s="21"/>
      <c r="TRJ307" s="21"/>
      <c r="TRK307" s="21"/>
      <c r="TRL307" s="21"/>
      <c r="TRM307" s="21"/>
      <c r="TRN307" s="21"/>
      <c r="TRO307" s="21"/>
      <c r="TRP307" s="21"/>
      <c r="TRQ307" s="21"/>
      <c r="TRR307" s="21"/>
      <c r="TRS307" s="21"/>
      <c r="TRT307" s="21"/>
      <c r="TRU307" s="21"/>
      <c r="TRV307" s="21"/>
      <c r="TRW307" s="21"/>
      <c r="TRX307" s="21"/>
      <c r="TRY307" s="21"/>
      <c r="TRZ307" s="21"/>
      <c r="TSA307" s="21"/>
      <c r="TSB307" s="21"/>
      <c r="TSC307" s="21"/>
      <c r="TSD307" s="21"/>
      <c r="TSE307" s="21"/>
      <c r="TSF307" s="21"/>
      <c r="TSG307" s="21"/>
      <c r="TSH307" s="21"/>
      <c r="TSI307" s="21"/>
      <c r="TSJ307" s="21"/>
      <c r="TSK307" s="21"/>
      <c r="TSL307" s="21"/>
      <c r="TSM307" s="21"/>
      <c r="TSN307" s="21"/>
      <c r="TSO307" s="21"/>
      <c r="TSP307" s="21"/>
      <c r="TSQ307" s="21"/>
      <c r="TSR307" s="21"/>
      <c r="TSS307" s="21"/>
      <c r="TST307" s="21"/>
      <c r="TSU307" s="21"/>
      <c r="TSV307" s="21"/>
      <c r="TSW307" s="21"/>
      <c r="TSX307" s="21"/>
      <c r="TSY307" s="21"/>
      <c r="TSZ307" s="21"/>
      <c r="TTA307" s="21"/>
      <c r="TTB307" s="21"/>
      <c r="TTC307" s="21"/>
      <c r="TTD307" s="21"/>
      <c r="TTE307" s="21"/>
      <c r="TTF307" s="21"/>
      <c r="TTG307" s="21"/>
      <c r="TTH307" s="21"/>
      <c r="TTI307" s="21"/>
      <c r="TTJ307" s="21"/>
      <c r="TTK307" s="21"/>
      <c r="TTL307" s="21"/>
      <c r="TTM307" s="21"/>
      <c r="TTN307" s="21"/>
      <c r="TTO307" s="21"/>
      <c r="TTP307" s="21"/>
      <c r="TTQ307" s="21"/>
      <c r="TTR307" s="21"/>
      <c r="TTS307" s="21"/>
      <c r="TTT307" s="21"/>
      <c r="TTU307" s="21"/>
      <c r="TTV307" s="21"/>
      <c r="TTW307" s="21"/>
      <c r="TTX307" s="21"/>
      <c r="TTY307" s="21"/>
      <c r="TTZ307" s="21"/>
      <c r="TUA307" s="21"/>
      <c r="TUB307" s="21"/>
      <c r="TUC307" s="21"/>
      <c r="TUD307" s="21"/>
      <c r="TUE307" s="21"/>
      <c r="TUF307" s="21"/>
      <c r="TUG307" s="21"/>
      <c r="TUH307" s="21"/>
      <c r="TUI307" s="21"/>
      <c r="TUJ307" s="21"/>
      <c r="TUK307" s="21"/>
      <c r="TUL307" s="21"/>
      <c r="TUM307" s="21"/>
      <c r="TUN307" s="21"/>
      <c r="TUO307" s="21"/>
      <c r="TUP307" s="21"/>
      <c r="TUQ307" s="21"/>
      <c r="TUR307" s="21"/>
      <c r="TUS307" s="21"/>
      <c r="TUT307" s="21"/>
      <c r="TUU307" s="21"/>
      <c r="TUV307" s="21"/>
      <c r="TUW307" s="21"/>
      <c r="TUX307" s="21"/>
      <c r="TUY307" s="21"/>
      <c r="TUZ307" s="21"/>
      <c r="TVA307" s="21"/>
      <c r="TVB307" s="21"/>
      <c r="TVC307" s="21"/>
      <c r="TVD307" s="21"/>
      <c r="TVE307" s="21"/>
      <c r="TVF307" s="21"/>
      <c r="TVG307" s="21"/>
      <c r="TVH307" s="21"/>
      <c r="TVI307" s="21"/>
      <c r="TVJ307" s="21"/>
      <c r="TVK307" s="21"/>
      <c r="TVL307" s="21"/>
      <c r="TVM307" s="21"/>
      <c r="TVN307" s="21"/>
      <c r="TVO307" s="21"/>
      <c r="TVP307" s="21"/>
      <c r="TVQ307" s="21"/>
      <c r="TVR307" s="21"/>
      <c r="TVS307" s="21"/>
      <c r="TVT307" s="21"/>
      <c r="TVU307" s="21"/>
      <c r="TVV307" s="21"/>
      <c r="TVW307" s="21"/>
      <c r="TVX307" s="21"/>
      <c r="TVY307" s="21"/>
      <c r="TVZ307" s="21"/>
      <c r="TWA307" s="21"/>
      <c r="TWB307" s="21"/>
      <c r="TWC307" s="21"/>
      <c r="TWD307" s="21"/>
      <c r="TWE307" s="21"/>
      <c r="TWF307" s="21"/>
      <c r="TWG307" s="21"/>
      <c r="TWH307" s="21"/>
      <c r="TWI307" s="21"/>
      <c r="TWJ307" s="21"/>
      <c r="TWK307" s="21"/>
      <c r="TWL307" s="21"/>
      <c r="TWM307" s="21"/>
      <c r="TWN307" s="21"/>
      <c r="TWO307" s="21"/>
      <c r="TWP307" s="21"/>
      <c r="TWQ307" s="21"/>
      <c r="TWR307" s="21"/>
      <c r="TWS307" s="21"/>
      <c r="TWT307" s="21"/>
      <c r="TWU307" s="21"/>
      <c r="TWV307" s="21"/>
      <c r="TWW307" s="21"/>
      <c r="TWX307" s="21"/>
      <c r="TWY307" s="21"/>
      <c r="TWZ307" s="21"/>
      <c r="TXA307" s="21"/>
      <c r="TXB307" s="21"/>
      <c r="TXC307" s="21"/>
      <c r="TXD307" s="21"/>
      <c r="TXE307" s="21"/>
      <c r="TXF307" s="21"/>
      <c r="TXG307" s="21"/>
      <c r="TXH307" s="21"/>
      <c r="TXI307" s="21"/>
      <c r="TXJ307" s="21"/>
      <c r="TXK307" s="21"/>
      <c r="TXL307" s="21"/>
      <c r="TXM307" s="21"/>
      <c r="TXN307" s="21"/>
      <c r="TXO307" s="21"/>
      <c r="TXP307" s="21"/>
      <c r="TXQ307" s="21"/>
      <c r="TXR307" s="21"/>
      <c r="TXS307" s="21"/>
      <c r="TXT307" s="21"/>
      <c r="TXU307" s="21"/>
      <c r="TXV307" s="21"/>
      <c r="TXW307" s="21"/>
      <c r="TXX307" s="21"/>
      <c r="TXY307" s="21"/>
      <c r="TXZ307" s="21"/>
      <c r="TYA307" s="21"/>
      <c r="TYB307" s="21"/>
      <c r="TYC307" s="21"/>
      <c r="TYD307" s="21"/>
      <c r="TYE307" s="21"/>
      <c r="TYF307" s="21"/>
      <c r="TYG307" s="21"/>
      <c r="TYH307" s="21"/>
      <c r="TYI307" s="21"/>
      <c r="TYJ307" s="21"/>
      <c r="TYK307" s="21"/>
      <c r="TYL307" s="21"/>
      <c r="TYM307" s="21"/>
      <c r="TYN307" s="21"/>
      <c r="TYO307" s="21"/>
      <c r="TYP307" s="21"/>
      <c r="TYQ307" s="21"/>
      <c r="TYR307" s="21"/>
      <c r="TYS307" s="21"/>
      <c r="TYT307" s="21"/>
      <c r="TYU307" s="21"/>
      <c r="TYV307" s="21"/>
      <c r="TYW307" s="21"/>
      <c r="TYX307" s="21"/>
      <c r="TYY307" s="21"/>
      <c r="TYZ307" s="21"/>
      <c r="TZA307" s="21"/>
      <c r="TZB307" s="21"/>
      <c r="TZC307" s="21"/>
      <c r="TZD307" s="21"/>
      <c r="TZE307" s="21"/>
      <c r="TZF307" s="21"/>
      <c r="TZG307" s="21"/>
      <c r="TZH307" s="21"/>
      <c r="TZI307" s="21"/>
      <c r="TZJ307" s="21"/>
      <c r="TZK307" s="21"/>
      <c r="TZL307" s="21"/>
      <c r="TZM307" s="21"/>
      <c r="TZN307" s="21"/>
      <c r="TZO307" s="21"/>
      <c r="TZP307" s="21"/>
      <c r="TZQ307" s="21"/>
      <c r="TZR307" s="21"/>
      <c r="TZS307" s="21"/>
      <c r="TZT307" s="21"/>
      <c r="TZU307" s="21"/>
      <c r="TZV307" s="21"/>
      <c r="TZW307" s="21"/>
      <c r="TZX307" s="21"/>
      <c r="TZY307" s="21"/>
      <c r="TZZ307" s="21"/>
      <c r="UAA307" s="21"/>
      <c r="UAB307" s="21"/>
      <c r="UAC307" s="21"/>
      <c r="UAD307" s="21"/>
      <c r="UAE307" s="21"/>
      <c r="UAF307" s="21"/>
      <c r="UAG307" s="21"/>
      <c r="UAH307" s="21"/>
      <c r="UAI307" s="21"/>
      <c r="UAJ307" s="21"/>
      <c r="UAK307" s="21"/>
      <c r="UAL307" s="21"/>
      <c r="UAM307" s="21"/>
      <c r="UAN307" s="21"/>
      <c r="UAO307" s="21"/>
      <c r="UAP307" s="21"/>
      <c r="UAQ307" s="21"/>
      <c r="UAR307" s="21"/>
      <c r="UAS307" s="21"/>
      <c r="UAT307" s="21"/>
      <c r="UAU307" s="21"/>
      <c r="UAV307" s="21"/>
      <c r="UAW307" s="21"/>
      <c r="UAX307" s="21"/>
      <c r="UAY307" s="21"/>
      <c r="UAZ307" s="21"/>
      <c r="UBA307" s="21"/>
      <c r="UBB307" s="21"/>
      <c r="UBC307" s="21"/>
      <c r="UBD307" s="21"/>
      <c r="UBE307" s="21"/>
      <c r="UBF307" s="21"/>
      <c r="UBG307" s="21"/>
      <c r="UBH307" s="21"/>
      <c r="UBI307" s="21"/>
      <c r="UBJ307" s="21"/>
      <c r="UBK307" s="21"/>
      <c r="UBL307" s="21"/>
      <c r="UBM307" s="21"/>
      <c r="UBN307" s="21"/>
      <c r="UBO307" s="21"/>
      <c r="UBP307" s="21"/>
      <c r="UBQ307" s="21"/>
      <c r="UBR307" s="21"/>
      <c r="UBS307" s="21"/>
      <c r="UBT307" s="21"/>
      <c r="UBU307" s="21"/>
      <c r="UBV307" s="21"/>
      <c r="UBW307" s="21"/>
      <c r="UBX307" s="21"/>
      <c r="UBY307" s="21"/>
      <c r="UBZ307" s="21"/>
      <c r="UCA307" s="21"/>
      <c r="UCB307" s="21"/>
      <c r="UCC307" s="21"/>
      <c r="UCD307" s="21"/>
      <c r="UCE307" s="21"/>
      <c r="UCF307" s="21"/>
      <c r="UCG307" s="21"/>
      <c r="UCH307" s="21"/>
      <c r="UCI307" s="21"/>
      <c r="UCJ307" s="21"/>
      <c r="UCK307" s="21"/>
      <c r="UCL307" s="21"/>
      <c r="UCM307" s="21"/>
      <c r="UCN307" s="21"/>
      <c r="UCO307" s="21"/>
      <c r="UCP307" s="21"/>
      <c r="UCQ307" s="21"/>
      <c r="UCR307" s="21"/>
      <c r="UCS307" s="21"/>
      <c r="UCT307" s="21"/>
      <c r="UCU307" s="21"/>
      <c r="UCV307" s="21"/>
      <c r="UCW307" s="21"/>
      <c r="UCX307" s="21"/>
      <c r="UCY307" s="21"/>
      <c r="UCZ307" s="21"/>
      <c r="UDA307" s="21"/>
      <c r="UDB307" s="21"/>
      <c r="UDC307" s="21"/>
      <c r="UDD307" s="21"/>
      <c r="UDE307" s="21"/>
      <c r="UDF307" s="21"/>
      <c r="UDG307" s="21"/>
      <c r="UDH307" s="21"/>
      <c r="UDI307" s="21"/>
      <c r="UDJ307" s="21"/>
      <c r="UDK307" s="21"/>
      <c r="UDL307" s="21"/>
      <c r="UDM307" s="21"/>
      <c r="UDN307" s="21"/>
      <c r="UDO307" s="21"/>
      <c r="UDP307" s="21"/>
      <c r="UDQ307" s="21"/>
      <c r="UDR307" s="21"/>
      <c r="UDS307" s="21"/>
      <c r="UDT307" s="21"/>
      <c r="UDU307" s="21"/>
      <c r="UDV307" s="21"/>
      <c r="UDW307" s="21"/>
      <c r="UDX307" s="21"/>
      <c r="UDY307" s="21"/>
      <c r="UDZ307" s="21"/>
      <c r="UEA307" s="21"/>
      <c r="UEB307" s="21"/>
      <c r="UEC307" s="21"/>
      <c r="UED307" s="21"/>
      <c r="UEE307" s="21"/>
      <c r="UEF307" s="21"/>
      <c r="UEG307" s="21"/>
      <c r="UEH307" s="21"/>
      <c r="UEI307" s="21"/>
      <c r="UEJ307" s="21"/>
      <c r="UEK307" s="21"/>
      <c r="UEL307" s="21"/>
      <c r="UEM307" s="21"/>
      <c r="UEN307" s="21"/>
      <c r="UEO307" s="21"/>
      <c r="UEP307" s="21"/>
      <c r="UEQ307" s="21"/>
      <c r="UER307" s="21"/>
      <c r="UES307" s="21"/>
      <c r="UET307" s="21"/>
      <c r="UEU307" s="21"/>
      <c r="UEV307" s="21"/>
      <c r="UEW307" s="21"/>
      <c r="UEX307" s="21"/>
      <c r="UEY307" s="21"/>
      <c r="UEZ307" s="21"/>
      <c r="UFA307" s="21"/>
      <c r="UFB307" s="21"/>
      <c r="UFC307" s="21"/>
      <c r="UFD307" s="21"/>
      <c r="UFE307" s="21"/>
      <c r="UFF307" s="21"/>
      <c r="UFG307" s="21"/>
      <c r="UFH307" s="21"/>
      <c r="UFI307" s="21"/>
      <c r="UFJ307" s="21"/>
      <c r="UFK307" s="21"/>
      <c r="UFL307" s="21"/>
      <c r="UFM307" s="21"/>
      <c r="UFN307" s="21"/>
      <c r="UFO307" s="21"/>
      <c r="UFP307" s="21"/>
      <c r="UFQ307" s="21"/>
      <c r="UFR307" s="21"/>
      <c r="UFS307" s="21"/>
      <c r="UFT307" s="21"/>
      <c r="UFU307" s="21"/>
      <c r="UFV307" s="21"/>
      <c r="UFW307" s="21"/>
      <c r="UFX307" s="21"/>
      <c r="UFY307" s="21"/>
      <c r="UFZ307" s="21"/>
      <c r="UGA307" s="21"/>
      <c r="UGB307" s="21"/>
      <c r="UGC307" s="21"/>
      <c r="UGD307" s="21"/>
      <c r="UGE307" s="21"/>
      <c r="UGF307" s="21"/>
      <c r="UGG307" s="21"/>
      <c r="UGH307" s="21"/>
      <c r="UGI307" s="21"/>
      <c r="UGJ307" s="21"/>
      <c r="UGK307" s="21"/>
      <c r="UGL307" s="21"/>
      <c r="UGM307" s="21"/>
      <c r="UGN307" s="21"/>
      <c r="UGO307" s="21"/>
      <c r="UGP307" s="21"/>
      <c r="UGQ307" s="21"/>
      <c r="UGR307" s="21"/>
      <c r="UGS307" s="21"/>
      <c r="UGT307" s="21"/>
      <c r="UGU307" s="21"/>
      <c r="UGV307" s="21"/>
      <c r="UGW307" s="21"/>
      <c r="UGX307" s="21"/>
      <c r="UGY307" s="21"/>
      <c r="UGZ307" s="21"/>
      <c r="UHA307" s="21"/>
      <c r="UHB307" s="21"/>
      <c r="UHC307" s="21"/>
      <c r="UHD307" s="21"/>
      <c r="UHE307" s="21"/>
      <c r="UHF307" s="21"/>
      <c r="UHG307" s="21"/>
      <c r="UHH307" s="21"/>
      <c r="UHI307" s="21"/>
      <c r="UHJ307" s="21"/>
      <c r="UHK307" s="21"/>
      <c r="UHL307" s="21"/>
      <c r="UHM307" s="21"/>
      <c r="UHN307" s="21"/>
      <c r="UHO307" s="21"/>
      <c r="UHP307" s="21"/>
      <c r="UHQ307" s="21"/>
      <c r="UHR307" s="21"/>
      <c r="UHS307" s="21"/>
      <c r="UHT307" s="21"/>
      <c r="UHU307" s="21"/>
      <c r="UHV307" s="21"/>
      <c r="UHW307" s="21"/>
      <c r="UHX307" s="21"/>
      <c r="UHY307" s="21"/>
      <c r="UHZ307" s="21"/>
      <c r="UIA307" s="21"/>
      <c r="UIB307" s="21"/>
      <c r="UIC307" s="21"/>
      <c r="UID307" s="21"/>
      <c r="UIE307" s="21"/>
      <c r="UIF307" s="21"/>
      <c r="UIG307" s="21"/>
      <c r="UIH307" s="21"/>
      <c r="UII307" s="21"/>
      <c r="UIJ307" s="21"/>
      <c r="UIK307" s="21"/>
      <c r="UIL307" s="21"/>
      <c r="UIM307" s="21"/>
      <c r="UIN307" s="21"/>
      <c r="UIO307" s="21"/>
      <c r="UIP307" s="21"/>
      <c r="UIQ307" s="21"/>
      <c r="UIR307" s="21"/>
      <c r="UIS307" s="21"/>
      <c r="UIT307" s="21"/>
      <c r="UIU307" s="21"/>
      <c r="UIV307" s="21"/>
      <c r="UIW307" s="21"/>
      <c r="UIX307" s="21"/>
      <c r="UIY307" s="21"/>
      <c r="UIZ307" s="21"/>
      <c r="UJA307" s="21"/>
      <c r="UJB307" s="21"/>
      <c r="UJC307" s="21"/>
      <c r="UJD307" s="21"/>
      <c r="UJE307" s="21"/>
      <c r="UJF307" s="21"/>
      <c r="UJG307" s="21"/>
      <c r="UJH307" s="21"/>
      <c r="UJI307" s="21"/>
      <c r="UJJ307" s="21"/>
      <c r="UJK307" s="21"/>
      <c r="UJL307" s="21"/>
      <c r="UJM307" s="21"/>
      <c r="UJN307" s="21"/>
      <c r="UJO307" s="21"/>
      <c r="UJP307" s="21"/>
      <c r="UJQ307" s="21"/>
      <c r="UJR307" s="21"/>
      <c r="UJS307" s="21"/>
      <c r="UJT307" s="21"/>
      <c r="UJU307" s="21"/>
      <c r="UJV307" s="21"/>
      <c r="UJW307" s="21"/>
      <c r="UJX307" s="21"/>
      <c r="UJY307" s="21"/>
      <c r="UJZ307" s="21"/>
      <c r="UKA307" s="21"/>
      <c r="UKB307" s="21"/>
      <c r="UKC307" s="21"/>
      <c r="UKD307" s="21"/>
      <c r="UKE307" s="21"/>
      <c r="UKF307" s="21"/>
      <c r="UKG307" s="21"/>
      <c r="UKH307" s="21"/>
      <c r="UKI307" s="21"/>
      <c r="UKJ307" s="21"/>
      <c r="UKK307" s="21"/>
      <c r="UKL307" s="21"/>
      <c r="UKM307" s="21"/>
      <c r="UKN307" s="21"/>
      <c r="UKO307" s="21"/>
      <c r="UKP307" s="21"/>
      <c r="UKQ307" s="21"/>
      <c r="UKR307" s="21"/>
      <c r="UKS307" s="21"/>
      <c r="UKT307" s="21"/>
      <c r="UKU307" s="21"/>
      <c r="UKV307" s="21"/>
      <c r="UKW307" s="21"/>
      <c r="UKX307" s="21"/>
      <c r="UKY307" s="21"/>
      <c r="UKZ307" s="21"/>
      <c r="ULA307" s="21"/>
      <c r="ULB307" s="21"/>
      <c r="ULC307" s="21"/>
      <c r="ULD307" s="21"/>
      <c r="ULE307" s="21"/>
      <c r="ULF307" s="21"/>
      <c r="ULG307" s="21"/>
      <c r="ULH307" s="21"/>
      <c r="ULI307" s="21"/>
      <c r="ULJ307" s="21"/>
      <c r="ULK307" s="21"/>
      <c r="ULL307" s="21"/>
      <c r="ULM307" s="21"/>
      <c r="ULN307" s="21"/>
      <c r="ULO307" s="21"/>
      <c r="ULP307" s="21"/>
      <c r="ULQ307" s="21"/>
      <c r="ULR307" s="21"/>
      <c r="ULS307" s="21"/>
      <c r="ULT307" s="21"/>
      <c r="ULU307" s="21"/>
      <c r="ULV307" s="21"/>
      <c r="ULW307" s="21"/>
      <c r="ULX307" s="21"/>
      <c r="ULY307" s="21"/>
      <c r="ULZ307" s="21"/>
      <c r="UMA307" s="21"/>
      <c r="UMB307" s="21"/>
      <c r="UMC307" s="21"/>
      <c r="UMD307" s="21"/>
      <c r="UME307" s="21"/>
      <c r="UMF307" s="21"/>
      <c r="UMG307" s="21"/>
      <c r="UMH307" s="21"/>
      <c r="UMI307" s="21"/>
      <c r="UMJ307" s="21"/>
      <c r="UMK307" s="21"/>
      <c r="UML307" s="21"/>
      <c r="UMM307" s="21"/>
      <c r="UMN307" s="21"/>
      <c r="UMO307" s="21"/>
      <c r="UMP307" s="21"/>
      <c r="UMQ307" s="21"/>
      <c r="UMR307" s="21"/>
      <c r="UMS307" s="21"/>
      <c r="UMT307" s="21"/>
      <c r="UMU307" s="21"/>
      <c r="UMV307" s="21"/>
      <c r="UMW307" s="21"/>
      <c r="UMX307" s="21"/>
      <c r="UMY307" s="21"/>
      <c r="UMZ307" s="21"/>
      <c r="UNA307" s="21"/>
      <c r="UNB307" s="21"/>
      <c r="UNC307" s="21"/>
      <c r="UND307" s="21"/>
      <c r="UNE307" s="21"/>
      <c r="UNF307" s="21"/>
      <c r="UNG307" s="21"/>
      <c r="UNH307" s="21"/>
      <c r="UNI307" s="21"/>
      <c r="UNJ307" s="21"/>
      <c r="UNK307" s="21"/>
      <c r="UNL307" s="21"/>
      <c r="UNM307" s="21"/>
      <c r="UNN307" s="21"/>
      <c r="UNO307" s="21"/>
      <c r="UNP307" s="21"/>
      <c r="UNQ307" s="21"/>
      <c r="UNR307" s="21"/>
      <c r="UNS307" s="21"/>
      <c r="UNT307" s="21"/>
      <c r="UNU307" s="21"/>
      <c r="UNV307" s="21"/>
      <c r="UNW307" s="21"/>
      <c r="UNX307" s="21"/>
      <c r="UNY307" s="21"/>
      <c r="UNZ307" s="21"/>
      <c r="UOA307" s="21"/>
      <c r="UOB307" s="21"/>
      <c r="UOC307" s="21"/>
      <c r="UOD307" s="21"/>
      <c r="UOE307" s="21"/>
      <c r="UOF307" s="21"/>
      <c r="UOG307" s="21"/>
      <c r="UOH307" s="21"/>
      <c r="UOI307" s="21"/>
      <c r="UOJ307" s="21"/>
      <c r="UOK307" s="21"/>
      <c r="UOL307" s="21"/>
      <c r="UOM307" s="21"/>
      <c r="UON307" s="21"/>
      <c r="UOO307" s="21"/>
      <c r="UOP307" s="21"/>
      <c r="UOQ307" s="21"/>
      <c r="UOR307" s="21"/>
      <c r="UOS307" s="21"/>
      <c r="UOT307" s="21"/>
      <c r="UOU307" s="21"/>
      <c r="UOV307" s="21"/>
      <c r="UOW307" s="21"/>
      <c r="UOX307" s="21"/>
      <c r="UOY307" s="21"/>
      <c r="UOZ307" s="21"/>
      <c r="UPA307" s="21"/>
      <c r="UPB307" s="21"/>
      <c r="UPC307" s="21"/>
      <c r="UPD307" s="21"/>
      <c r="UPE307" s="21"/>
      <c r="UPF307" s="21"/>
      <c r="UPG307" s="21"/>
      <c r="UPH307" s="21"/>
      <c r="UPI307" s="21"/>
      <c r="UPJ307" s="21"/>
      <c r="UPK307" s="21"/>
      <c r="UPL307" s="21"/>
      <c r="UPM307" s="21"/>
      <c r="UPN307" s="21"/>
      <c r="UPO307" s="21"/>
      <c r="UPP307" s="21"/>
      <c r="UPQ307" s="21"/>
      <c r="UPR307" s="21"/>
      <c r="UPS307" s="21"/>
      <c r="UPT307" s="21"/>
      <c r="UPU307" s="21"/>
      <c r="UPV307" s="21"/>
      <c r="UPW307" s="21"/>
      <c r="UPX307" s="21"/>
      <c r="UPY307" s="21"/>
      <c r="UPZ307" s="21"/>
      <c r="UQA307" s="21"/>
      <c r="UQB307" s="21"/>
      <c r="UQC307" s="21"/>
      <c r="UQD307" s="21"/>
      <c r="UQE307" s="21"/>
      <c r="UQF307" s="21"/>
      <c r="UQG307" s="21"/>
      <c r="UQH307" s="21"/>
      <c r="UQI307" s="21"/>
      <c r="UQJ307" s="21"/>
      <c r="UQK307" s="21"/>
      <c r="UQL307" s="21"/>
      <c r="UQM307" s="21"/>
      <c r="UQN307" s="21"/>
      <c r="UQO307" s="21"/>
      <c r="UQP307" s="21"/>
      <c r="UQQ307" s="21"/>
      <c r="UQR307" s="21"/>
      <c r="UQS307" s="21"/>
      <c r="UQT307" s="21"/>
      <c r="UQU307" s="21"/>
      <c r="UQV307" s="21"/>
      <c r="UQW307" s="21"/>
      <c r="UQX307" s="21"/>
      <c r="UQY307" s="21"/>
      <c r="UQZ307" s="21"/>
      <c r="URA307" s="21"/>
      <c r="URB307" s="21"/>
      <c r="URC307" s="21"/>
      <c r="URD307" s="21"/>
      <c r="URE307" s="21"/>
      <c r="URF307" s="21"/>
      <c r="URG307" s="21"/>
      <c r="URH307" s="21"/>
      <c r="URI307" s="21"/>
      <c r="URJ307" s="21"/>
      <c r="URK307" s="21"/>
      <c r="URL307" s="21"/>
      <c r="URM307" s="21"/>
      <c r="URN307" s="21"/>
      <c r="URO307" s="21"/>
      <c r="URP307" s="21"/>
      <c r="URQ307" s="21"/>
      <c r="URR307" s="21"/>
      <c r="URS307" s="21"/>
      <c r="URT307" s="21"/>
      <c r="URU307" s="21"/>
      <c r="URV307" s="21"/>
      <c r="URW307" s="21"/>
      <c r="URX307" s="21"/>
      <c r="URY307" s="21"/>
      <c r="URZ307" s="21"/>
      <c r="USA307" s="21"/>
      <c r="USB307" s="21"/>
      <c r="USC307" s="21"/>
      <c r="USD307" s="21"/>
      <c r="USE307" s="21"/>
      <c r="USF307" s="21"/>
      <c r="USG307" s="21"/>
      <c r="USH307" s="21"/>
      <c r="USI307" s="21"/>
      <c r="USJ307" s="21"/>
      <c r="USK307" s="21"/>
      <c r="USL307" s="21"/>
      <c r="USM307" s="21"/>
      <c r="USN307" s="21"/>
      <c r="USO307" s="21"/>
      <c r="USP307" s="21"/>
      <c r="USQ307" s="21"/>
      <c r="USR307" s="21"/>
      <c r="USS307" s="21"/>
      <c r="UST307" s="21"/>
      <c r="USU307" s="21"/>
      <c r="USV307" s="21"/>
      <c r="USW307" s="21"/>
      <c r="USX307" s="21"/>
      <c r="USY307" s="21"/>
      <c r="USZ307" s="21"/>
      <c r="UTA307" s="21"/>
      <c r="UTB307" s="21"/>
      <c r="UTC307" s="21"/>
      <c r="UTD307" s="21"/>
      <c r="UTE307" s="21"/>
      <c r="UTF307" s="21"/>
      <c r="UTG307" s="21"/>
      <c r="UTH307" s="21"/>
      <c r="UTI307" s="21"/>
      <c r="UTJ307" s="21"/>
      <c r="UTK307" s="21"/>
      <c r="UTL307" s="21"/>
      <c r="UTM307" s="21"/>
      <c r="UTN307" s="21"/>
      <c r="UTO307" s="21"/>
      <c r="UTP307" s="21"/>
      <c r="UTQ307" s="21"/>
      <c r="UTR307" s="21"/>
      <c r="UTS307" s="21"/>
      <c r="UTT307" s="21"/>
      <c r="UTU307" s="21"/>
      <c r="UTV307" s="21"/>
      <c r="UTW307" s="21"/>
      <c r="UTX307" s="21"/>
      <c r="UTY307" s="21"/>
      <c r="UTZ307" s="21"/>
      <c r="UUA307" s="21"/>
      <c r="UUB307" s="21"/>
      <c r="UUC307" s="21"/>
      <c r="UUD307" s="21"/>
      <c r="UUE307" s="21"/>
      <c r="UUF307" s="21"/>
      <c r="UUG307" s="21"/>
      <c r="UUH307" s="21"/>
      <c r="UUI307" s="21"/>
      <c r="UUJ307" s="21"/>
      <c r="UUK307" s="21"/>
      <c r="UUL307" s="21"/>
      <c r="UUM307" s="21"/>
      <c r="UUN307" s="21"/>
      <c r="UUO307" s="21"/>
      <c r="UUP307" s="21"/>
      <c r="UUQ307" s="21"/>
      <c r="UUR307" s="21"/>
      <c r="UUS307" s="21"/>
      <c r="UUT307" s="21"/>
      <c r="UUU307" s="21"/>
      <c r="UUV307" s="21"/>
      <c r="UUW307" s="21"/>
      <c r="UUX307" s="21"/>
      <c r="UUY307" s="21"/>
      <c r="UUZ307" s="21"/>
      <c r="UVA307" s="21"/>
      <c r="UVB307" s="21"/>
      <c r="UVC307" s="21"/>
      <c r="UVD307" s="21"/>
      <c r="UVE307" s="21"/>
      <c r="UVF307" s="21"/>
      <c r="UVG307" s="21"/>
      <c r="UVH307" s="21"/>
      <c r="UVI307" s="21"/>
      <c r="UVJ307" s="21"/>
      <c r="UVK307" s="21"/>
      <c r="UVL307" s="21"/>
      <c r="UVM307" s="21"/>
      <c r="UVN307" s="21"/>
      <c r="UVO307" s="21"/>
      <c r="UVP307" s="21"/>
      <c r="UVQ307" s="21"/>
      <c r="UVR307" s="21"/>
      <c r="UVS307" s="21"/>
      <c r="UVT307" s="21"/>
      <c r="UVU307" s="21"/>
      <c r="UVV307" s="21"/>
      <c r="UVW307" s="21"/>
      <c r="UVX307" s="21"/>
      <c r="UVY307" s="21"/>
      <c r="UVZ307" s="21"/>
      <c r="UWA307" s="21"/>
      <c r="UWB307" s="21"/>
      <c r="UWC307" s="21"/>
      <c r="UWD307" s="21"/>
      <c r="UWE307" s="21"/>
      <c r="UWF307" s="21"/>
      <c r="UWG307" s="21"/>
      <c r="UWH307" s="21"/>
      <c r="UWI307" s="21"/>
      <c r="UWJ307" s="21"/>
      <c r="UWK307" s="21"/>
      <c r="UWL307" s="21"/>
      <c r="UWM307" s="21"/>
      <c r="UWN307" s="21"/>
      <c r="UWO307" s="21"/>
      <c r="UWP307" s="21"/>
      <c r="UWQ307" s="21"/>
      <c r="UWR307" s="21"/>
      <c r="UWS307" s="21"/>
      <c r="UWT307" s="21"/>
      <c r="UWU307" s="21"/>
      <c r="UWV307" s="21"/>
      <c r="UWW307" s="21"/>
      <c r="UWX307" s="21"/>
      <c r="UWY307" s="21"/>
      <c r="UWZ307" s="21"/>
      <c r="UXA307" s="21"/>
      <c r="UXB307" s="21"/>
      <c r="UXC307" s="21"/>
      <c r="UXD307" s="21"/>
      <c r="UXE307" s="21"/>
      <c r="UXF307" s="21"/>
      <c r="UXG307" s="21"/>
      <c r="UXH307" s="21"/>
      <c r="UXI307" s="21"/>
      <c r="UXJ307" s="21"/>
      <c r="UXK307" s="21"/>
      <c r="UXL307" s="21"/>
      <c r="UXM307" s="21"/>
      <c r="UXN307" s="21"/>
      <c r="UXO307" s="21"/>
      <c r="UXP307" s="21"/>
      <c r="UXQ307" s="21"/>
      <c r="UXR307" s="21"/>
      <c r="UXS307" s="21"/>
      <c r="UXT307" s="21"/>
      <c r="UXU307" s="21"/>
      <c r="UXV307" s="21"/>
      <c r="UXW307" s="21"/>
      <c r="UXX307" s="21"/>
      <c r="UXY307" s="21"/>
      <c r="UXZ307" s="21"/>
      <c r="UYA307" s="21"/>
      <c r="UYB307" s="21"/>
      <c r="UYC307" s="21"/>
      <c r="UYD307" s="21"/>
      <c r="UYE307" s="21"/>
      <c r="UYF307" s="21"/>
      <c r="UYG307" s="21"/>
      <c r="UYH307" s="21"/>
      <c r="UYI307" s="21"/>
      <c r="UYJ307" s="21"/>
      <c r="UYK307" s="21"/>
      <c r="UYL307" s="21"/>
      <c r="UYM307" s="21"/>
      <c r="UYN307" s="21"/>
      <c r="UYO307" s="21"/>
      <c r="UYP307" s="21"/>
      <c r="UYQ307" s="21"/>
      <c r="UYR307" s="21"/>
      <c r="UYS307" s="21"/>
      <c r="UYT307" s="21"/>
      <c r="UYU307" s="21"/>
      <c r="UYV307" s="21"/>
      <c r="UYW307" s="21"/>
      <c r="UYX307" s="21"/>
      <c r="UYY307" s="21"/>
      <c r="UYZ307" s="21"/>
      <c r="UZA307" s="21"/>
      <c r="UZB307" s="21"/>
      <c r="UZC307" s="21"/>
      <c r="UZD307" s="21"/>
      <c r="UZE307" s="21"/>
      <c r="UZF307" s="21"/>
      <c r="UZG307" s="21"/>
      <c r="UZH307" s="21"/>
      <c r="UZI307" s="21"/>
      <c r="UZJ307" s="21"/>
      <c r="UZK307" s="21"/>
      <c r="UZL307" s="21"/>
      <c r="UZM307" s="21"/>
      <c r="UZN307" s="21"/>
      <c r="UZO307" s="21"/>
      <c r="UZP307" s="21"/>
      <c r="UZQ307" s="21"/>
      <c r="UZR307" s="21"/>
      <c r="UZS307" s="21"/>
      <c r="UZT307" s="21"/>
      <c r="UZU307" s="21"/>
      <c r="UZV307" s="21"/>
      <c r="UZW307" s="21"/>
      <c r="UZX307" s="21"/>
      <c r="UZY307" s="21"/>
      <c r="UZZ307" s="21"/>
      <c r="VAA307" s="21"/>
      <c r="VAB307" s="21"/>
      <c r="VAC307" s="21"/>
      <c r="VAD307" s="21"/>
      <c r="VAE307" s="21"/>
      <c r="VAF307" s="21"/>
      <c r="VAG307" s="21"/>
      <c r="VAH307" s="21"/>
      <c r="VAI307" s="21"/>
      <c r="VAJ307" s="21"/>
      <c r="VAK307" s="21"/>
      <c r="VAL307" s="21"/>
      <c r="VAM307" s="21"/>
      <c r="VAN307" s="21"/>
      <c r="VAO307" s="21"/>
      <c r="VAP307" s="21"/>
      <c r="VAQ307" s="21"/>
      <c r="VAR307" s="21"/>
      <c r="VAS307" s="21"/>
      <c r="VAT307" s="21"/>
      <c r="VAU307" s="21"/>
      <c r="VAV307" s="21"/>
      <c r="VAW307" s="21"/>
      <c r="VAX307" s="21"/>
      <c r="VAY307" s="21"/>
      <c r="VAZ307" s="21"/>
      <c r="VBA307" s="21"/>
      <c r="VBB307" s="21"/>
      <c r="VBC307" s="21"/>
      <c r="VBD307" s="21"/>
      <c r="VBE307" s="21"/>
      <c r="VBF307" s="21"/>
      <c r="VBG307" s="21"/>
      <c r="VBH307" s="21"/>
      <c r="VBI307" s="21"/>
      <c r="VBJ307" s="21"/>
      <c r="VBK307" s="21"/>
      <c r="VBL307" s="21"/>
      <c r="VBM307" s="21"/>
      <c r="VBN307" s="21"/>
      <c r="VBO307" s="21"/>
      <c r="VBP307" s="21"/>
      <c r="VBQ307" s="21"/>
      <c r="VBR307" s="21"/>
      <c r="VBS307" s="21"/>
      <c r="VBT307" s="21"/>
      <c r="VBU307" s="21"/>
      <c r="VBV307" s="21"/>
      <c r="VBW307" s="21"/>
      <c r="VBX307" s="21"/>
      <c r="VBY307" s="21"/>
      <c r="VBZ307" s="21"/>
      <c r="VCA307" s="21"/>
      <c r="VCB307" s="21"/>
      <c r="VCC307" s="21"/>
      <c r="VCD307" s="21"/>
      <c r="VCE307" s="21"/>
      <c r="VCF307" s="21"/>
      <c r="VCG307" s="21"/>
      <c r="VCH307" s="21"/>
      <c r="VCI307" s="21"/>
      <c r="VCJ307" s="21"/>
      <c r="VCK307" s="21"/>
      <c r="VCL307" s="21"/>
      <c r="VCM307" s="21"/>
      <c r="VCN307" s="21"/>
      <c r="VCO307" s="21"/>
      <c r="VCP307" s="21"/>
      <c r="VCQ307" s="21"/>
      <c r="VCR307" s="21"/>
      <c r="VCS307" s="21"/>
      <c r="VCT307" s="21"/>
      <c r="VCU307" s="21"/>
      <c r="VCV307" s="21"/>
      <c r="VCW307" s="21"/>
      <c r="VCX307" s="21"/>
      <c r="VCY307" s="21"/>
      <c r="VCZ307" s="21"/>
      <c r="VDA307" s="21"/>
      <c r="VDB307" s="21"/>
      <c r="VDC307" s="21"/>
      <c r="VDD307" s="21"/>
      <c r="VDE307" s="21"/>
      <c r="VDF307" s="21"/>
      <c r="VDG307" s="21"/>
      <c r="VDH307" s="21"/>
      <c r="VDI307" s="21"/>
      <c r="VDJ307" s="21"/>
      <c r="VDK307" s="21"/>
      <c r="VDL307" s="21"/>
      <c r="VDM307" s="21"/>
      <c r="VDN307" s="21"/>
      <c r="VDO307" s="21"/>
      <c r="VDP307" s="21"/>
      <c r="VDQ307" s="21"/>
      <c r="VDR307" s="21"/>
      <c r="VDS307" s="21"/>
      <c r="VDT307" s="21"/>
      <c r="VDU307" s="21"/>
      <c r="VDV307" s="21"/>
      <c r="VDW307" s="21"/>
      <c r="VDX307" s="21"/>
      <c r="VDY307" s="21"/>
      <c r="VDZ307" s="21"/>
      <c r="VEA307" s="21"/>
      <c r="VEB307" s="21"/>
      <c r="VEC307" s="21"/>
      <c r="VED307" s="21"/>
      <c r="VEE307" s="21"/>
      <c r="VEF307" s="21"/>
      <c r="VEG307" s="21"/>
      <c r="VEH307" s="21"/>
      <c r="VEI307" s="21"/>
      <c r="VEJ307" s="21"/>
      <c r="VEK307" s="21"/>
      <c r="VEL307" s="21"/>
      <c r="VEM307" s="21"/>
      <c r="VEN307" s="21"/>
      <c r="VEO307" s="21"/>
      <c r="VEP307" s="21"/>
      <c r="VEQ307" s="21"/>
      <c r="VER307" s="21"/>
      <c r="VES307" s="21"/>
      <c r="VET307" s="21"/>
      <c r="VEU307" s="21"/>
      <c r="VEV307" s="21"/>
      <c r="VEW307" s="21"/>
      <c r="VEX307" s="21"/>
      <c r="VEY307" s="21"/>
      <c r="VEZ307" s="21"/>
      <c r="VFA307" s="21"/>
      <c r="VFB307" s="21"/>
      <c r="VFC307" s="21"/>
      <c r="VFD307" s="21"/>
      <c r="VFE307" s="21"/>
      <c r="VFF307" s="21"/>
      <c r="VFG307" s="21"/>
      <c r="VFH307" s="21"/>
      <c r="VFI307" s="21"/>
      <c r="VFJ307" s="21"/>
      <c r="VFK307" s="21"/>
      <c r="VFL307" s="21"/>
      <c r="VFM307" s="21"/>
      <c r="VFN307" s="21"/>
      <c r="VFO307" s="21"/>
      <c r="VFP307" s="21"/>
      <c r="VFQ307" s="21"/>
      <c r="VFR307" s="21"/>
      <c r="VFS307" s="21"/>
      <c r="VFT307" s="21"/>
      <c r="VFU307" s="21"/>
      <c r="VFV307" s="21"/>
      <c r="VFW307" s="21"/>
      <c r="VFX307" s="21"/>
      <c r="VFY307" s="21"/>
      <c r="VFZ307" s="21"/>
      <c r="VGA307" s="21"/>
      <c r="VGB307" s="21"/>
      <c r="VGC307" s="21"/>
      <c r="VGD307" s="21"/>
      <c r="VGE307" s="21"/>
      <c r="VGF307" s="21"/>
      <c r="VGG307" s="21"/>
      <c r="VGH307" s="21"/>
      <c r="VGI307" s="21"/>
      <c r="VGJ307" s="21"/>
      <c r="VGK307" s="21"/>
      <c r="VGL307" s="21"/>
      <c r="VGM307" s="21"/>
      <c r="VGN307" s="21"/>
      <c r="VGO307" s="21"/>
      <c r="VGP307" s="21"/>
      <c r="VGQ307" s="21"/>
      <c r="VGR307" s="21"/>
      <c r="VGS307" s="21"/>
      <c r="VGT307" s="21"/>
      <c r="VGU307" s="21"/>
      <c r="VGV307" s="21"/>
      <c r="VGW307" s="21"/>
      <c r="VGX307" s="21"/>
      <c r="VGY307" s="21"/>
      <c r="VGZ307" s="21"/>
      <c r="VHA307" s="21"/>
      <c r="VHB307" s="21"/>
      <c r="VHC307" s="21"/>
      <c r="VHD307" s="21"/>
      <c r="VHE307" s="21"/>
      <c r="VHF307" s="21"/>
      <c r="VHG307" s="21"/>
      <c r="VHH307" s="21"/>
      <c r="VHI307" s="21"/>
      <c r="VHJ307" s="21"/>
      <c r="VHK307" s="21"/>
      <c r="VHL307" s="21"/>
      <c r="VHM307" s="21"/>
      <c r="VHN307" s="21"/>
      <c r="VHO307" s="21"/>
      <c r="VHP307" s="21"/>
      <c r="VHQ307" s="21"/>
      <c r="VHR307" s="21"/>
      <c r="VHS307" s="21"/>
      <c r="VHT307" s="21"/>
      <c r="VHU307" s="21"/>
      <c r="VHV307" s="21"/>
      <c r="VHW307" s="21"/>
      <c r="VHX307" s="21"/>
      <c r="VHY307" s="21"/>
      <c r="VHZ307" s="21"/>
      <c r="VIA307" s="21"/>
      <c r="VIB307" s="21"/>
      <c r="VIC307" s="21"/>
      <c r="VID307" s="21"/>
      <c r="VIE307" s="21"/>
      <c r="VIF307" s="21"/>
      <c r="VIG307" s="21"/>
      <c r="VIH307" s="21"/>
      <c r="VII307" s="21"/>
      <c r="VIJ307" s="21"/>
      <c r="VIK307" s="21"/>
      <c r="VIL307" s="21"/>
      <c r="VIM307" s="21"/>
      <c r="VIN307" s="21"/>
      <c r="VIO307" s="21"/>
      <c r="VIP307" s="21"/>
      <c r="VIQ307" s="21"/>
      <c r="VIR307" s="21"/>
      <c r="VIS307" s="21"/>
      <c r="VIT307" s="21"/>
      <c r="VIU307" s="21"/>
      <c r="VIV307" s="21"/>
      <c r="VIW307" s="21"/>
      <c r="VIX307" s="21"/>
      <c r="VIY307" s="21"/>
      <c r="VIZ307" s="21"/>
      <c r="VJA307" s="21"/>
      <c r="VJB307" s="21"/>
      <c r="VJC307" s="21"/>
      <c r="VJD307" s="21"/>
      <c r="VJE307" s="21"/>
      <c r="VJF307" s="21"/>
      <c r="VJG307" s="21"/>
      <c r="VJH307" s="21"/>
      <c r="VJI307" s="21"/>
      <c r="VJJ307" s="21"/>
      <c r="VJK307" s="21"/>
      <c r="VJL307" s="21"/>
      <c r="VJM307" s="21"/>
      <c r="VJN307" s="21"/>
      <c r="VJO307" s="21"/>
      <c r="VJP307" s="21"/>
      <c r="VJQ307" s="21"/>
      <c r="VJR307" s="21"/>
      <c r="VJS307" s="21"/>
      <c r="VJT307" s="21"/>
      <c r="VJU307" s="21"/>
      <c r="VJV307" s="21"/>
      <c r="VJW307" s="21"/>
      <c r="VJX307" s="21"/>
      <c r="VJY307" s="21"/>
      <c r="VJZ307" s="21"/>
      <c r="VKA307" s="21"/>
      <c r="VKB307" s="21"/>
      <c r="VKC307" s="21"/>
      <c r="VKD307" s="21"/>
      <c r="VKE307" s="21"/>
      <c r="VKF307" s="21"/>
      <c r="VKG307" s="21"/>
      <c r="VKH307" s="21"/>
      <c r="VKI307" s="21"/>
      <c r="VKJ307" s="21"/>
      <c r="VKK307" s="21"/>
      <c r="VKL307" s="21"/>
      <c r="VKM307" s="21"/>
      <c r="VKN307" s="21"/>
      <c r="VKO307" s="21"/>
      <c r="VKP307" s="21"/>
      <c r="VKQ307" s="21"/>
      <c r="VKR307" s="21"/>
      <c r="VKS307" s="21"/>
      <c r="VKT307" s="21"/>
      <c r="VKU307" s="21"/>
      <c r="VKV307" s="21"/>
      <c r="VKW307" s="21"/>
      <c r="VKX307" s="21"/>
      <c r="VKY307" s="21"/>
      <c r="VKZ307" s="21"/>
      <c r="VLA307" s="21"/>
      <c r="VLB307" s="21"/>
      <c r="VLC307" s="21"/>
      <c r="VLD307" s="21"/>
      <c r="VLE307" s="21"/>
      <c r="VLF307" s="21"/>
      <c r="VLG307" s="21"/>
      <c r="VLH307" s="21"/>
      <c r="VLI307" s="21"/>
      <c r="VLJ307" s="21"/>
      <c r="VLK307" s="21"/>
      <c r="VLL307" s="21"/>
      <c r="VLM307" s="21"/>
      <c r="VLN307" s="21"/>
      <c r="VLO307" s="21"/>
      <c r="VLP307" s="21"/>
      <c r="VLQ307" s="21"/>
      <c r="VLR307" s="21"/>
      <c r="VLS307" s="21"/>
      <c r="VLT307" s="21"/>
      <c r="VLU307" s="21"/>
      <c r="VLV307" s="21"/>
      <c r="VLW307" s="21"/>
      <c r="VLX307" s="21"/>
      <c r="VLY307" s="21"/>
      <c r="VLZ307" s="21"/>
      <c r="VMA307" s="21"/>
      <c r="VMB307" s="21"/>
      <c r="VMC307" s="21"/>
      <c r="VMD307" s="21"/>
      <c r="VME307" s="21"/>
      <c r="VMF307" s="21"/>
      <c r="VMG307" s="21"/>
      <c r="VMH307" s="21"/>
      <c r="VMI307" s="21"/>
      <c r="VMJ307" s="21"/>
      <c r="VMK307" s="21"/>
      <c r="VML307" s="21"/>
      <c r="VMM307" s="21"/>
      <c r="VMN307" s="21"/>
      <c r="VMO307" s="21"/>
      <c r="VMP307" s="21"/>
      <c r="VMQ307" s="21"/>
      <c r="VMR307" s="21"/>
      <c r="VMS307" s="21"/>
      <c r="VMT307" s="21"/>
      <c r="VMU307" s="21"/>
      <c r="VMV307" s="21"/>
      <c r="VMW307" s="21"/>
      <c r="VMX307" s="21"/>
      <c r="VMY307" s="21"/>
      <c r="VMZ307" s="21"/>
      <c r="VNA307" s="21"/>
      <c r="VNB307" s="21"/>
      <c r="VNC307" s="21"/>
      <c r="VND307" s="21"/>
      <c r="VNE307" s="21"/>
      <c r="VNF307" s="21"/>
      <c r="VNG307" s="21"/>
      <c r="VNH307" s="21"/>
      <c r="VNI307" s="21"/>
      <c r="VNJ307" s="21"/>
      <c r="VNK307" s="21"/>
      <c r="VNL307" s="21"/>
      <c r="VNM307" s="21"/>
      <c r="VNN307" s="21"/>
      <c r="VNO307" s="21"/>
      <c r="VNP307" s="21"/>
      <c r="VNQ307" s="21"/>
      <c r="VNR307" s="21"/>
      <c r="VNS307" s="21"/>
      <c r="VNT307" s="21"/>
      <c r="VNU307" s="21"/>
      <c r="VNV307" s="21"/>
      <c r="VNW307" s="21"/>
      <c r="VNX307" s="21"/>
      <c r="VNY307" s="21"/>
      <c r="VNZ307" s="21"/>
      <c r="VOA307" s="21"/>
      <c r="VOB307" s="21"/>
      <c r="VOC307" s="21"/>
      <c r="VOD307" s="21"/>
      <c r="VOE307" s="21"/>
      <c r="VOF307" s="21"/>
      <c r="VOG307" s="21"/>
      <c r="VOH307" s="21"/>
      <c r="VOI307" s="21"/>
      <c r="VOJ307" s="21"/>
      <c r="VOK307" s="21"/>
      <c r="VOL307" s="21"/>
      <c r="VOM307" s="21"/>
      <c r="VON307" s="21"/>
      <c r="VOO307" s="21"/>
      <c r="VOP307" s="21"/>
      <c r="VOQ307" s="21"/>
      <c r="VOR307" s="21"/>
      <c r="VOS307" s="21"/>
      <c r="VOT307" s="21"/>
      <c r="VOU307" s="21"/>
      <c r="VOV307" s="21"/>
      <c r="VOW307" s="21"/>
      <c r="VOX307" s="21"/>
      <c r="VOY307" s="21"/>
      <c r="VOZ307" s="21"/>
      <c r="VPA307" s="21"/>
      <c r="VPB307" s="21"/>
      <c r="VPC307" s="21"/>
      <c r="VPD307" s="21"/>
      <c r="VPE307" s="21"/>
      <c r="VPF307" s="21"/>
      <c r="VPG307" s="21"/>
      <c r="VPH307" s="21"/>
      <c r="VPI307" s="21"/>
      <c r="VPJ307" s="21"/>
      <c r="VPK307" s="21"/>
      <c r="VPL307" s="21"/>
      <c r="VPM307" s="21"/>
      <c r="VPN307" s="21"/>
      <c r="VPO307" s="21"/>
      <c r="VPP307" s="21"/>
      <c r="VPQ307" s="21"/>
      <c r="VPR307" s="21"/>
      <c r="VPS307" s="21"/>
      <c r="VPT307" s="21"/>
      <c r="VPU307" s="21"/>
      <c r="VPV307" s="21"/>
      <c r="VPW307" s="21"/>
      <c r="VPX307" s="21"/>
      <c r="VPY307" s="21"/>
      <c r="VPZ307" s="21"/>
      <c r="VQA307" s="21"/>
      <c r="VQB307" s="21"/>
      <c r="VQC307" s="21"/>
      <c r="VQD307" s="21"/>
      <c r="VQE307" s="21"/>
      <c r="VQF307" s="21"/>
      <c r="VQG307" s="21"/>
      <c r="VQH307" s="21"/>
      <c r="VQI307" s="21"/>
      <c r="VQJ307" s="21"/>
      <c r="VQK307" s="21"/>
      <c r="VQL307" s="21"/>
      <c r="VQM307" s="21"/>
      <c r="VQN307" s="21"/>
      <c r="VQO307" s="21"/>
      <c r="VQP307" s="21"/>
      <c r="VQQ307" s="21"/>
      <c r="VQR307" s="21"/>
      <c r="VQS307" s="21"/>
      <c r="VQT307" s="21"/>
      <c r="VQU307" s="21"/>
      <c r="VQV307" s="21"/>
      <c r="VQW307" s="21"/>
      <c r="VQX307" s="21"/>
      <c r="VQY307" s="21"/>
      <c r="VQZ307" s="21"/>
      <c r="VRA307" s="21"/>
      <c r="VRB307" s="21"/>
      <c r="VRC307" s="21"/>
      <c r="VRD307" s="21"/>
      <c r="VRE307" s="21"/>
      <c r="VRF307" s="21"/>
      <c r="VRG307" s="21"/>
      <c r="VRH307" s="21"/>
      <c r="VRI307" s="21"/>
      <c r="VRJ307" s="21"/>
      <c r="VRK307" s="21"/>
      <c r="VRL307" s="21"/>
      <c r="VRM307" s="21"/>
      <c r="VRN307" s="21"/>
      <c r="VRO307" s="21"/>
      <c r="VRP307" s="21"/>
      <c r="VRQ307" s="21"/>
      <c r="VRR307" s="21"/>
      <c r="VRS307" s="21"/>
      <c r="VRT307" s="21"/>
      <c r="VRU307" s="21"/>
      <c r="VRV307" s="21"/>
      <c r="VRW307" s="21"/>
      <c r="VRX307" s="21"/>
      <c r="VRY307" s="21"/>
      <c r="VRZ307" s="21"/>
      <c r="VSA307" s="21"/>
      <c r="VSB307" s="21"/>
      <c r="VSC307" s="21"/>
      <c r="VSD307" s="21"/>
      <c r="VSE307" s="21"/>
      <c r="VSF307" s="21"/>
      <c r="VSG307" s="21"/>
      <c r="VSH307" s="21"/>
      <c r="VSI307" s="21"/>
      <c r="VSJ307" s="21"/>
      <c r="VSK307" s="21"/>
      <c r="VSL307" s="21"/>
      <c r="VSM307" s="21"/>
      <c r="VSN307" s="21"/>
      <c r="VSO307" s="21"/>
      <c r="VSP307" s="21"/>
      <c r="VSQ307" s="21"/>
      <c r="VSR307" s="21"/>
      <c r="VSS307" s="21"/>
      <c r="VST307" s="21"/>
      <c r="VSU307" s="21"/>
      <c r="VSV307" s="21"/>
      <c r="VSW307" s="21"/>
      <c r="VSX307" s="21"/>
      <c r="VSY307" s="21"/>
      <c r="VSZ307" s="21"/>
      <c r="VTA307" s="21"/>
      <c r="VTB307" s="21"/>
      <c r="VTC307" s="21"/>
      <c r="VTD307" s="21"/>
      <c r="VTE307" s="21"/>
      <c r="VTF307" s="21"/>
      <c r="VTG307" s="21"/>
      <c r="VTH307" s="21"/>
      <c r="VTI307" s="21"/>
      <c r="VTJ307" s="21"/>
      <c r="VTK307" s="21"/>
      <c r="VTL307" s="21"/>
      <c r="VTM307" s="21"/>
      <c r="VTN307" s="21"/>
      <c r="VTO307" s="21"/>
      <c r="VTP307" s="21"/>
      <c r="VTQ307" s="21"/>
      <c r="VTR307" s="21"/>
      <c r="VTS307" s="21"/>
      <c r="VTT307" s="21"/>
      <c r="VTU307" s="21"/>
      <c r="VTV307" s="21"/>
      <c r="VTW307" s="21"/>
      <c r="VTX307" s="21"/>
      <c r="VTY307" s="21"/>
      <c r="VTZ307" s="21"/>
      <c r="VUA307" s="21"/>
      <c r="VUB307" s="21"/>
      <c r="VUC307" s="21"/>
      <c r="VUD307" s="21"/>
      <c r="VUE307" s="21"/>
      <c r="VUF307" s="21"/>
      <c r="VUG307" s="21"/>
      <c r="VUH307" s="21"/>
      <c r="VUI307" s="21"/>
      <c r="VUJ307" s="21"/>
      <c r="VUK307" s="21"/>
      <c r="VUL307" s="21"/>
      <c r="VUM307" s="21"/>
      <c r="VUN307" s="21"/>
      <c r="VUO307" s="21"/>
      <c r="VUP307" s="21"/>
      <c r="VUQ307" s="21"/>
      <c r="VUR307" s="21"/>
      <c r="VUS307" s="21"/>
      <c r="VUT307" s="21"/>
      <c r="VUU307" s="21"/>
      <c r="VUV307" s="21"/>
      <c r="VUW307" s="21"/>
      <c r="VUX307" s="21"/>
      <c r="VUY307" s="21"/>
      <c r="VUZ307" s="21"/>
      <c r="VVA307" s="21"/>
      <c r="VVB307" s="21"/>
      <c r="VVC307" s="21"/>
      <c r="VVD307" s="21"/>
      <c r="VVE307" s="21"/>
      <c r="VVF307" s="21"/>
      <c r="VVG307" s="21"/>
      <c r="VVH307" s="21"/>
      <c r="VVI307" s="21"/>
      <c r="VVJ307" s="21"/>
      <c r="VVK307" s="21"/>
      <c r="VVL307" s="21"/>
      <c r="VVM307" s="21"/>
      <c r="VVN307" s="21"/>
      <c r="VVO307" s="21"/>
      <c r="VVP307" s="21"/>
      <c r="VVQ307" s="21"/>
      <c r="VVR307" s="21"/>
      <c r="VVS307" s="21"/>
      <c r="VVT307" s="21"/>
      <c r="VVU307" s="21"/>
      <c r="VVV307" s="21"/>
      <c r="VVW307" s="21"/>
      <c r="VVX307" s="21"/>
      <c r="VVY307" s="21"/>
      <c r="VVZ307" s="21"/>
      <c r="VWA307" s="21"/>
      <c r="VWB307" s="21"/>
      <c r="VWC307" s="21"/>
      <c r="VWD307" s="21"/>
      <c r="VWE307" s="21"/>
      <c r="VWF307" s="21"/>
      <c r="VWG307" s="21"/>
      <c r="VWH307" s="21"/>
      <c r="VWI307" s="21"/>
      <c r="VWJ307" s="21"/>
      <c r="VWK307" s="21"/>
      <c r="VWL307" s="21"/>
      <c r="VWM307" s="21"/>
      <c r="VWN307" s="21"/>
      <c r="VWO307" s="21"/>
      <c r="VWP307" s="21"/>
      <c r="VWQ307" s="21"/>
      <c r="VWR307" s="21"/>
      <c r="VWS307" s="21"/>
      <c r="VWT307" s="21"/>
      <c r="VWU307" s="21"/>
      <c r="VWV307" s="21"/>
      <c r="VWW307" s="21"/>
      <c r="VWX307" s="21"/>
      <c r="VWY307" s="21"/>
      <c r="VWZ307" s="21"/>
      <c r="VXA307" s="21"/>
      <c r="VXB307" s="21"/>
      <c r="VXC307" s="21"/>
      <c r="VXD307" s="21"/>
      <c r="VXE307" s="21"/>
      <c r="VXF307" s="21"/>
      <c r="VXG307" s="21"/>
      <c r="VXH307" s="21"/>
      <c r="VXI307" s="21"/>
      <c r="VXJ307" s="21"/>
      <c r="VXK307" s="21"/>
      <c r="VXL307" s="21"/>
      <c r="VXM307" s="21"/>
      <c r="VXN307" s="21"/>
      <c r="VXO307" s="21"/>
      <c r="VXP307" s="21"/>
      <c r="VXQ307" s="21"/>
      <c r="VXR307" s="21"/>
      <c r="VXS307" s="21"/>
      <c r="VXT307" s="21"/>
      <c r="VXU307" s="21"/>
      <c r="VXV307" s="21"/>
      <c r="VXW307" s="21"/>
      <c r="VXX307" s="21"/>
      <c r="VXY307" s="21"/>
      <c r="VXZ307" s="21"/>
      <c r="VYA307" s="21"/>
      <c r="VYB307" s="21"/>
      <c r="VYC307" s="21"/>
      <c r="VYD307" s="21"/>
      <c r="VYE307" s="21"/>
      <c r="VYF307" s="21"/>
      <c r="VYG307" s="21"/>
      <c r="VYH307" s="21"/>
      <c r="VYI307" s="21"/>
      <c r="VYJ307" s="21"/>
      <c r="VYK307" s="21"/>
      <c r="VYL307" s="21"/>
      <c r="VYM307" s="21"/>
      <c r="VYN307" s="21"/>
      <c r="VYO307" s="21"/>
      <c r="VYP307" s="21"/>
      <c r="VYQ307" s="21"/>
      <c r="VYR307" s="21"/>
      <c r="VYS307" s="21"/>
      <c r="VYT307" s="21"/>
      <c r="VYU307" s="21"/>
      <c r="VYV307" s="21"/>
      <c r="VYW307" s="21"/>
      <c r="VYX307" s="21"/>
      <c r="VYY307" s="21"/>
      <c r="VYZ307" s="21"/>
      <c r="VZA307" s="21"/>
      <c r="VZB307" s="21"/>
      <c r="VZC307" s="21"/>
      <c r="VZD307" s="21"/>
      <c r="VZE307" s="21"/>
      <c r="VZF307" s="21"/>
      <c r="VZG307" s="21"/>
      <c r="VZH307" s="21"/>
      <c r="VZI307" s="21"/>
      <c r="VZJ307" s="21"/>
      <c r="VZK307" s="21"/>
      <c r="VZL307" s="21"/>
      <c r="VZM307" s="21"/>
      <c r="VZN307" s="21"/>
      <c r="VZO307" s="21"/>
      <c r="VZP307" s="21"/>
      <c r="VZQ307" s="21"/>
      <c r="VZR307" s="21"/>
      <c r="VZS307" s="21"/>
      <c r="VZT307" s="21"/>
      <c r="VZU307" s="21"/>
      <c r="VZV307" s="21"/>
      <c r="VZW307" s="21"/>
      <c r="VZX307" s="21"/>
      <c r="VZY307" s="21"/>
      <c r="VZZ307" s="21"/>
      <c r="WAA307" s="21"/>
      <c r="WAB307" s="21"/>
      <c r="WAC307" s="21"/>
      <c r="WAD307" s="21"/>
      <c r="WAE307" s="21"/>
      <c r="WAF307" s="21"/>
      <c r="WAG307" s="21"/>
      <c r="WAH307" s="21"/>
      <c r="WAI307" s="21"/>
      <c r="WAJ307" s="21"/>
      <c r="WAK307" s="21"/>
      <c r="WAL307" s="21"/>
      <c r="WAM307" s="21"/>
      <c r="WAN307" s="21"/>
      <c r="WAO307" s="21"/>
      <c r="WAP307" s="21"/>
      <c r="WAQ307" s="21"/>
      <c r="WAR307" s="21"/>
      <c r="WAS307" s="21"/>
      <c r="WAT307" s="21"/>
      <c r="WAU307" s="21"/>
      <c r="WAV307" s="21"/>
      <c r="WAW307" s="21"/>
      <c r="WAX307" s="21"/>
      <c r="WAY307" s="21"/>
      <c r="WAZ307" s="21"/>
      <c r="WBA307" s="21"/>
      <c r="WBB307" s="21"/>
      <c r="WBC307" s="21"/>
      <c r="WBD307" s="21"/>
      <c r="WBE307" s="21"/>
      <c r="WBF307" s="21"/>
      <c r="WBG307" s="21"/>
      <c r="WBH307" s="21"/>
      <c r="WBI307" s="21"/>
      <c r="WBJ307" s="21"/>
      <c r="WBK307" s="21"/>
      <c r="WBL307" s="21"/>
      <c r="WBM307" s="21"/>
      <c r="WBN307" s="21"/>
      <c r="WBO307" s="21"/>
      <c r="WBP307" s="21"/>
      <c r="WBQ307" s="21"/>
      <c r="WBR307" s="21"/>
      <c r="WBS307" s="21"/>
      <c r="WBT307" s="21"/>
      <c r="WBU307" s="21"/>
      <c r="WBV307" s="21"/>
      <c r="WBW307" s="21"/>
      <c r="WBX307" s="21"/>
      <c r="WBY307" s="21"/>
      <c r="WBZ307" s="21"/>
      <c r="WCA307" s="21"/>
      <c r="WCB307" s="21"/>
      <c r="WCC307" s="21"/>
      <c r="WCD307" s="21"/>
      <c r="WCE307" s="21"/>
      <c r="WCF307" s="21"/>
      <c r="WCG307" s="21"/>
      <c r="WCH307" s="21"/>
      <c r="WCI307" s="21"/>
      <c r="WCJ307" s="21"/>
      <c r="WCK307" s="21"/>
      <c r="WCL307" s="21"/>
      <c r="WCM307" s="21"/>
      <c r="WCN307" s="21"/>
      <c r="WCO307" s="21"/>
      <c r="WCP307" s="21"/>
      <c r="WCQ307" s="21"/>
      <c r="WCR307" s="21"/>
      <c r="WCS307" s="21"/>
      <c r="WCT307" s="21"/>
      <c r="WCU307" s="21"/>
      <c r="WCV307" s="21"/>
      <c r="WCW307" s="21"/>
      <c r="WCX307" s="21"/>
      <c r="WCY307" s="21"/>
      <c r="WCZ307" s="21"/>
      <c r="WDA307" s="21"/>
      <c r="WDB307" s="21"/>
      <c r="WDC307" s="21"/>
      <c r="WDD307" s="21"/>
      <c r="WDE307" s="21"/>
      <c r="WDF307" s="21"/>
      <c r="WDG307" s="21"/>
      <c r="WDH307" s="21"/>
      <c r="WDI307" s="21"/>
      <c r="WDJ307" s="21"/>
      <c r="WDK307" s="21"/>
      <c r="WDL307" s="21"/>
      <c r="WDM307" s="21"/>
      <c r="WDN307" s="21"/>
      <c r="WDO307" s="21"/>
      <c r="WDP307" s="21"/>
      <c r="WDQ307" s="21"/>
      <c r="WDR307" s="21"/>
      <c r="WDS307" s="21"/>
      <c r="WDT307" s="21"/>
      <c r="WDU307" s="21"/>
      <c r="WDV307" s="21"/>
      <c r="WDW307" s="21"/>
      <c r="WDX307" s="21"/>
      <c r="WDY307" s="21"/>
      <c r="WDZ307" s="21"/>
      <c r="WEA307" s="21"/>
      <c r="WEB307" s="21"/>
      <c r="WEC307" s="21"/>
      <c r="WED307" s="21"/>
      <c r="WEE307" s="21"/>
      <c r="WEF307" s="21"/>
      <c r="WEG307" s="21"/>
      <c r="WEH307" s="21"/>
      <c r="WEI307" s="21"/>
      <c r="WEJ307" s="21"/>
      <c r="WEK307" s="21"/>
      <c r="WEL307" s="21"/>
      <c r="WEM307" s="21"/>
      <c r="WEN307" s="21"/>
      <c r="WEO307" s="21"/>
      <c r="WEP307" s="21"/>
      <c r="WEQ307" s="21"/>
      <c r="WER307" s="21"/>
      <c r="WES307" s="21"/>
      <c r="WET307" s="21"/>
      <c r="WEU307" s="21"/>
      <c r="WEV307" s="21"/>
      <c r="WEW307" s="21"/>
      <c r="WEX307" s="21"/>
      <c r="WEY307" s="21"/>
      <c r="WEZ307" s="21"/>
      <c r="WFA307" s="21"/>
      <c r="WFB307" s="21"/>
      <c r="WFC307" s="21"/>
      <c r="WFD307" s="21"/>
      <c r="WFE307" s="21"/>
      <c r="WFF307" s="21"/>
      <c r="WFG307" s="21"/>
      <c r="WFH307" s="21"/>
      <c r="WFI307" s="21"/>
      <c r="WFJ307" s="21"/>
      <c r="WFK307" s="21"/>
      <c r="WFL307" s="21"/>
      <c r="WFM307" s="21"/>
      <c r="WFN307" s="21"/>
      <c r="WFO307" s="21"/>
      <c r="WFP307" s="21"/>
      <c r="WFQ307" s="21"/>
      <c r="WFR307" s="21"/>
      <c r="WFS307" s="21"/>
      <c r="WFT307" s="21"/>
      <c r="WFU307" s="21"/>
      <c r="WFV307" s="21"/>
      <c r="WFW307" s="21"/>
      <c r="WFX307" s="21"/>
      <c r="WFY307" s="21"/>
      <c r="WFZ307" s="21"/>
      <c r="WGA307" s="21"/>
      <c r="WGB307" s="21"/>
      <c r="WGC307" s="21"/>
      <c r="WGD307" s="21"/>
      <c r="WGE307" s="21"/>
      <c r="WGF307" s="21"/>
      <c r="WGG307" s="21"/>
      <c r="WGH307" s="21"/>
      <c r="WGI307" s="21"/>
      <c r="WGJ307" s="21"/>
      <c r="WGK307" s="21"/>
      <c r="WGL307" s="21"/>
      <c r="WGM307" s="21"/>
      <c r="WGN307" s="21"/>
      <c r="WGO307" s="21"/>
      <c r="WGP307" s="21"/>
      <c r="WGQ307" s="21"/>
      <c r="WGR307" s="21"/>
      <c r="WGS307" s="21"/>
      <c r="WGT307" s="21"/>
      <c r="WGU307" s="21"/>
      <c r="WGV307" s="21"/>
      <c r="WGW307" s="21"/>
      <c r="WGX307" s="21"/>
      <c r="WGY307" s="21"/>
      <c r="WGZ307" s="21"/>
      <c r="WHA307" s="21"/>
      <c r="WHB307" s="21"/>
      <c r="WHC307" s="21"/>
      <c r="WHD307" s="21"/>
      <c r="WHE307" s="21"/>
      <c r="WHF307" s="21"/>
      <c r="WHG307" s="21"/>
      <c r="WHH307" s="21"/>
      <c r="WHI307" s="21"/>
      <c r="WHJ307" s="21"/>
      <c r="WHK307" s="21"/>
      <c r="WHL307" s="21"/>
      <c r="WHM307" s="21"/>
      <c r="WHN307" s="21"/>
      <c r="WHO307" s="21"/>
      <c r="WHP307" s="21"/>
      <c r="WHQ307" s="21"/>
      <c r="WHR307" s="21"/>
      <c r="WHS307" s="21"/>
      <c r="WHT307" s="21"/>
      <c r="WHU307" s="21"/>
      <c r="WHV307" s="21"/>
      <c r="WHW307" s="21"/>
      <c r="WHX307" s="21"/>
      <c r="WHY307" s="21"/>
      <c r="WHZ307" s="21"/>
      <c r="WIA307" s="21"/>
      <c r="WIB307" s="21"/>
      <c r="WIC307" s="21"/>
      <c r="WID307" s="21"/>
      <c r="WIE307" s="21"/>
      <c r="WIF307" s="21"/>
      <c r="WIG307" s="21"/>
      <c r="WIH307" s="21"/>
      <c r="WII307" s="21"/>
      <c r="WIJ307" s="21"/>
      <c r="WIK307" s="21"/>
      <c r="WIL307" s="21"/>
      <c r="WIM307" s="21"/>
      <c r="WIN307" s="21"/>
      <c r="WIO307" s="21"/>
      <c r="WIP307" s="21"/>
      <c r="WIQ307" s="21"/>
      <c r="WIR307" s="21"/>
      <c r="WIS307" s="21"/>
      <c r="WIT307" s="21"/>
      <c r="WIU307" s="21"/>
      <c r="WIV307" s="21"/>
      <c r="WIW307" s="21"/>
      <c r="WIX307" s="21"/>
      <c r="WIY307" s="21"/>
      <c r="WIZ307" s="21"/>
      <c r="WJA307" s="21"/>
      <c r="WJB307" s="21"/>
      <c r="WJC307" s="21"/>
      <c r="WJD307" s="21"/>
      <c r="WJE307" s="21"/>
      <c r="WJF307" s="21"/>
      <c r="WJG307" s="21"/>
      <c r="WJH307" s="21"/>
      <c r="WJI307" s="21"/>
      <c r="WJJ307" s="21"/>
      <c r="WJK307" s="21"/>
      <c r="WJL307" s="21"/>
      <c r="WJM307" s="21"/>
      <c r="WJN307" s="21"/>
      <c r="WJO307" s="21"/>
      <c r="WJP307" s="21"/>
      <c r="WJQ307" s="21"/>
      <c r="WJR307" s="21"/>
      <c r="WJS307" s="21"/>
      <c r="WJT307" s="21"/>
      <c r="WJU307" s="21"/>
      <c r="WJV307" s="21"/>
      <c r="WJW307" s="21"/>
      <c r="WJX307" s="21"/>
      <c r="WJY307" s="21"/>
      <c r="WJZ307" s="21"/>
      <c r="WKA307" s="21"/>
      <c r="WKB307" s="21"/>
      <c r="WKC307" s="21"/>
      <c r="WKD307" s="21"/>
      <c r="WKE307" s="21"/>
      <c r="WKF307" s="21"/>
      <c r="WKG307" s="21"/>
      <c r="WKH307" s="21"/>
      <c r="WKI307" s="21"/>
      <c r="WKJ307" s="21"/>
      <c r="WKK307" s="21"/>
      <c r="WKL307" s="21"/>
      <c r="WKM307" s="21"/>
      <c r="WKN307" s="21"/>
      <c r="WKO307" s="21"/>
      <c r="WKP307" s="21"/>
      <c r="WKQ307" s="21"/>
      <c r="WKR307" s="21"/>
      <c r="WKS307" s="21"/>
      <c r="WKT307" s="21"/>
      <c r="WKU307" s="21"/>
      <c r="WKV307" s="21"/>
      <c r="WKW307" s="21"/>
      <c r="WKX307" s="21"/>
      <c r="WKY307" s="21"/>
      <c r="WKZ307" s="21"/>
      <c r="WLA307" s="21"/>
      <c r="WLB307" s="21"/>
      <c r="WLC307" s="21"/>
      <c r="WLD307" s="21"/>
      <c r="WLE307" s="21"/>
      <c r="WLF307" s="21"/>
      <c r="WLG307" s="21"/>
      <c r="WLH307" s="21"/>
      <c r="WLI307" s="21"/>
      <c r="WLJ307" s="21"/>
      <c r="WLK307" s="21"/>
      <c r="WLL307" s="21"/>
      <c r="WLM307" s="21"/>
      <c r="WLN307" s="21"/>
      <c r="WLO307" s="21"/>
      <c r="WLP307" s="21"/>
      <c r="WLQ307" s="21"/>
      <c r="WLR307" s="21"/>
      <c r="WLS307" s="21"/>
      <c r="WLT307" s="21"/>
      <c r="WLU307" s="21"/>
      <c r="WLV307" s="21"/>
      <c r="WLW307" s="21"/>
      <c r="WLX307" s="21"/>
      <c r="WLY307" s="21"/>
      <c r="WLZ307" s="21"/>
      <c r="WMA307" s="21"/>
      <c r="WMB307" s="21"/>
      <c r="WMC307" s="21"/>
      <c r="WMD307" s="21"/>
      <c r="WME307" s="21"/>
      <c r="WMF307" s="21"/>
      <c r="WMG307" s="21"/>
      <c r="WMH307" s="21"/>
      <c r="WMI307" s="21"/>
      <c r="WMJ307" s="21"/>
      <c r="WMK307" s="21"/>
      <c r="WML307" s="21"/>
      <c r="WMM307" s="21"/>
      <c r="WMN307" s="21"/>
      <c r="WMO307" s="21"/>
      <c r="WMP307" s="21"/>
      <c r="WMQ307" s="21"/>
      <c r="WMR307" s="21"/>
      <c r="WMS307" s="21"/>
      <c r="WMT307" s="21"/>
      <c r="WMU307" s="21"/>
      <c r="WMV307" s="21"/>
      <c r="WMW307" s="21"/>
      <c r="WMX307" s="21"/>
      <c r="WMY307" s="21"/>
      <c r="WMZ307" s="21"/>
      <c r="WNA307" s="21"/>
      <c r="WNB307" s="21"/>
      <c r="WNC307" s="21"/>
      <c r="WND307" s="21"/>
      <c r="WNE307" s="21"/>
      <c r="WNF307" s="21"/>
      <c r="WNG307" s="21"/>
      <c r="WNH307" s="21"/>
      <c r="WNI307" s="21"/>
      <c r="WNJ307" s="21"/>
      <c r="WNK307" s="21"/>
      <c r="WNL307" s="21"/>
      <c r="WNM307" s="21"/>
      <c r="WNN307" s="21"/>
      <c r="WNO307" s="21"/>
      <c r="WNP307" s="21"/>
      <c r="WNQ307" s="21"/>
      <c r="WNR307" s="21"/>
      <c r="WNS307" s="21"/>
      <c r="WNT307" s="21"/>
      <c r="WNU307" s="21"/>
      <c r="WNV307" s="21"/>
      <c r="WNW307" s="21"/>
      <c r="WNX307" s="21"/>
      <c r="WNY307" s="21"/>
      <c r="WNZ307" s="21"/>
      <c r="WOA307" s="21"/>
      <c r="WOB307" s="21"/>
      <c r="WOC307" s="21"/>
      <c r="WOD307" s="21"/>
      <c r="WOE307" s="21"/>
      <c r="WOF307" s="21"/>
      <c r="WOG307" s="21"/>
      <c r="WOH307" s="21"/>
      <c r="WOI307" s="21"/>
      <c r="WOJ307" s="21"/>
      <c r="WOK307" s="21"/>
      <c r="WOL307" s="21"/>
      <c r="WOM307" s="21"/>
      <c r="WON307" s="21"/>
      <c r="WOO307" s="21"/>
      <c r="WOP307" s="21"/>
      <c r="WOQ307" s="21"/>
      <c r="WOR307" s="21"/>
      <c r="WOS307" s="21"/>
      <c r="WOT307" s="21"/>
      <c r="WOU307" s="21"/>
      <c r="WOV307" s="21"/>
      <c r="WOW307" s="21"/>
      <c r="WOX307" s="21"/>
      <c r="WOY307" s="21"/>
      <c r="WOZ307" s="21"/>
      <c r="WPA307" s="21"/>
      <c r="WPB307" s="21"/>
      <c r="WPC307" s="21"/>
      <c r="WPD307" s="21"/>
      <c r="WPE307" s="21"/>
      <c r="WPF307" s="21"/>
      <c r="WPG307" s="21"/>
      <c r="WPH307" s="21"/>
      <c r="WPI307" s="21"/>
      <c r="WPJ307" s="21"/>
      <c r="WPK307" s="21"/>
      <c r="WPL307" s="21"/>
      <c r="WPM307" s="21"/>
      <c r="WPN307" s="21"/>
      <c r="WPO307" s="21"/>
      <c r="WPP307" s="21"/>
      <c r="WPQ307" s="21"/>
      <c r="WPR307" s="21"/>
      <c r="WPS307" s="21"/>
      <c r="WPT307" s="21"/>
      <c r="WPU307" s="21"/>
      <c r="WPV307" s="21"/>
      <c r="WPW307" s="21"/>
      <c r="WPX307" s="21"/>
      <c r="WPY307" s="21"/>
      <c r="WPZ307" s="21"/>
      <c r="WQA307" s="21"/>
      <c r="WQB307" s="21"/>
      <c r="WQC307" s="21"/>
      <c r="WQD307" s="21"/>
      <c r="WQE307" s="21"/>
      <c r="WQF307" s="21"/>
      <c r="WQG307" s="21"/>
      <c r="WQH307" s="21"/>
      <c r="WQI307" s="21"/>
      <c r="WQJ307" s="21"/>
      <c r="WQK307" s="21"/>
      <c r="WQL307" s="21"/>
      <c r="WQM307" s="21"/>
      <c r="WQN307" s="21"/>
      <c r="WQO307" s="21"/>
      <c r="WQP307" s="21"/>
      <c r="WQQ307" s="21"/>
      <c r="WQR307" s="21"/>
      <c r="WQS307" s="21"/>
      <c r="WQT307" s="21"/>
      <c r="WQU307" s="21"/>
      <c r="WQV307" s="21"/>
      <c r="WQW307" s="21"/>
      <c r="WQX307" s="21"/>
      <c r="WQY307" s="21"/>
      <c r="WQZ307" s="21"/>
      <c r="WRA307" s="21"/>
      <c r="WRB307" s="21"/>
      <c r="WRC307" s="21"/>
      <c r="WRD307" s="21"/>
      <c r="WRE307" s="21"/>
      <c r="WRF307" s="21"/>
      <c r="WRG307" s="21"/>
      <c r="WRH307" s="21"/>
      <c r="WRI307" s="21"/>
      <c r="WRJ307" s="21"/>
      <c r="WRK307" s="21"/>
      <c r="WRL307" s="21"/>
      <c r="WRM307" s="21"/>
      <c r="WRN307" s="21"/>
      <c r="WRO307" s="21"/>
      <c r="WRP307" s="21"/>
      <c r="WRQ307" s="21"/>
      <c r="WRR307" s="21"/>
      <c r="WRS307" s="21"/>
      <c r="WRT307" s="21"/>
      <c r="WRU307" s="21"/>
      <c r="WRV307" s="21"/>
      <c r="WRW307" s="21"/>
      <c r="WRX307" s="21"/>
      <c r="WRY307" s="21"/>
      <c r="WRZ307" s="21"/>
      <c r="WSA307" s="21"/>
      <c r="WSB307" s="21"/>
      <c r="WSC307" s="21"/>
      <c r="WSD307" s="21"/>
      <c r="WSE307" s="21"/>
      <c r="WSF307" s="21"/>
      <c r="WSG307" s="21"/>
      <c r="WSH307" s="21"/>
      <c r="WSI307" s="21"/>
      <c r="WSJ307" s="21"/>
      <c r="WSK307" s="21"/>
      <c r="WSL307" s="21"/>
      <c r="WSM307" s="21"/>
      <c r="WSN307" s="21"/>
      <c r="WSO307" s="21"/>
      <c r="WSP307" s="21"/>
      <c r="WSQ307" s="21"/>
      <c r="WSR307" s="21"/>
      <c r="WSS307" s="21"/>
      <c r="WST307" s="21"/>
      <c r="WSU307" s="21"/>
      <c r="WSV307" s="21"/>
      <c r="WSW307" s="21"/>
      <c r="WSX307" s="21"/>
      <c r="WSY307" s="21"/>
      <c r="WSZ307" s="21"/>
      <c r="WTA307" s="21"/>
      <c r="WTB307" s="21"/>
      <c r="WTC307" s="21"/>
      <c r="WTD307" s="21"/>
      <c r="WTE307" s="21"/>
      <c r="WTF307" s="21"/>
      <c r="WTG307" s="21"/>
      <c r="WTH307" s="21"/>
      <c r="WTI307" s="21"/>
      <c r="WTJ307" s="21"/>
      <c r="WTK307" s="21"/>
      <c r="WTL307" s="21"/>
      <c r="WTM307" s="21"/>
      <c r="WTN307" s="21"/>
      <c r="WTO307" s="21"/>
      <c r="WTP307" s="21"/>
      <c r="WTQ307" s="21"/>
      <c r="WTR307" s="21"/>
      <c r="WTS307" s="21"/>
      <c r="WTT307" s="21"/>
      <c r="WTU307" s="21"/>
      <c r="WTV307" s="21"/>
      <c r="WTW307" s="21"/>
      <c r="WTX307" s="21"/>
      <c r="WTY307" s="21"/>
      <c r="WTZ307" s="21"/>
      <c r="WUA307" s="21"/>
      <c r="WUB307" s="21"/>
      <c r="WUC307" s="21"/>
      <c r="WUD307" s="21"/>
      <c r="WUE307" s="21"/>
      <c r="WUF307" s="21"/>
      <c r="WUG307" s="21"/>
      <c r="WUH307" s="21"/>
      <c r="WUI307" s="21"/>
      <c r="WUJ307" s="21"/>
      <c r="WUK307" s="21"/>
      <c r="WUL307" s="21"/>
      <c r="WUM307" s="21"/>
      <c r="WUN307" s="21"/>
      <c r="WUO307" s="21"/>
      <c r="WUP307" s="21"/>
      <c r="WUQ307" s="21"/>
      <c r="WUR307" s="21"/>
      <c r="WUS307" s="21"/>
      <c r="WUT307" s="21"/>
      <c r="WUU307" s="21"/>
      <c r="WUV307" s="21"/>
      <c r="WUW307" s="21"/>
      <c r="WUX307" s="21"/>
      <c r="WUY307" s="21"/>
      <c r="WUZ307" s="21"/>
      <c r="WVA307" s="21"/>
      <c r="WVB307" s="21"/>
      <c r="WVC307" s="21"/>
      <c r="WVD307" s="21"/>
      <c r="WVE307" s="21"/>
      <c r="WVF307" s="21"/>
      <c r="WVG307" s="21"/>
      <c r="WVH307" s="21"/>
      <c r="WVI307" s="21"/>
      <c r="WVJ307" s="21"/>
      <c r="WVK307" s="21"/>
      <c r="WVL307" s="21"/>
      <c r="WVM307" s="21"/>
      <c r="WVN307" s="21"/>
      <c r="WVO307" s="21"/>
      <c r="WVP307" s="21"/>
      <c r="WVQ307" s="21"/>
      <c r="WVR307" s="21"/>
      <c r="WVS307" s="21"/>
      <c r="WVT307" s="21"/>
      <c r="WVU307" s="21"/>
      <c r="WVV307" s="21"/>
      <c r="WVW307" s="21"/>
      <c r="WVX307" s="21"/>
      <c r="WVY307" s="21"/>
      <c r="WVZ307" s="21"/>
      <c r="WWA307" s="21"/>
      <c r="WWB307" s="21"/>
      <c r="WWC307" s="21"/>
      <c r="WWD307" s="21"/>
      <c r="WWE307" s="21"/>
      <c r="WWF307" s="21"/>
      <c r="WWG307" s="21"/>
      <c r="WWH307" s="21"/>
      <c r="WWI307" s="21"/>
      <c r="WWJ307" s="21"/>
      <c r="WWK307" s="21"/>
      <c r="WWL307" s="21"/>
      <c r="WWM307" s="21"/>
      <c r="WWN307" s="21"/>
      <c r="WWO307" s="21"/>
      <c r="WWP307" s="21"/>
      <c r="WWQ307" s="21"/>
      <c r="WWR307" s="21"/>
      <c r="WWS307" s="21"/>
      <c r="WWT307" s="21"/>
      <c r="WWU307" s="21"/>
      <c r="WWV307" s="21"/>
      <c r="WWW307" s="21"/>
      <c r="WWX307" s="21"/>
      <c r="WWY307" s="21"/>
      <c r="WWZ307" s="21"/>
      <c r="WXA307" s="21"/>
      <c r="WXB307" s="21"/>
      <c r="WXC307" s="21"/>
      <c r="WXD307" s="21"/>
      <c r="WXE307" s="21"/>
      <c r="WXF307" s="21"/>
      <c r="WXG307" s="21"/>
      <c r="WXH307" s="21"/>
      <c r="WXI307" s="21"/>
      <c r="WXJ307" s="21"/>
      <c r="WXK307" s="21"/>
      <c r="WXL307" s="21"/>
      <c r="WXM307" s="21"/>
      <c r="WXN307" s="21"/>
      <c r="WXO307" s="21"/>
      <c r="WXP307" s="21"/>
      <c r="WXQ307" s="21"/>
      <c r="WXR307" s="21"/>
      <c r="WXS307" s="21"/>
      <c r="WXT307" s="21"/>
      <c r="WXU307" s="21"/>
      <c r="WXV307" s="21"/>
      <c r="WXW307" s="21"/>
      <c r="WXX307" s="21"/>
      <c r="WXY307" s="21"/>
      <c r="WXZ307" s="21"/>
      <c r="WYA307" s="21"/>
      <c r="WYB307" s="21"/>
      <c r="WYC307" s="21"/>
      <c r="WYD307" s="21"/>
      <c r="WYE307" s="21"/>
      <c r="WYF307" s="21"/>
      <c r="WYG307" s="21"/>
      <c r="WYH307" s="21"/>
      <c r="WYI307" s="21"/>
      <c r="WYJ307" s="21"/>
      <c r="WYK307" s="21"/>
      <c r="WYL307" s="21"/>
      <c r="WYM307" s="21"/>
      <c r="WYN307" s="21"/>
      <c r="WYO307" s="21"/>
      <c r="WYP307" s="21"/>
      <c r="WYQ307" s="21"/>
      <c r="WYR307" s="21"/>
      <c r="WYS307" s="21"/>
      <c r="WYT307" s="21"/>
      <c r="WYU307" s="21"/>
      <c r="WYV307" s="21"/>
      <c r="WYW307" s="21"/>
      <c r="WYX307" s="21"/>
      <c r="WYY307" s="21"/>
      <c r="WYZ307" s="21"/>
      <c r="WZA307" s="21"/>
      <c r="WZB307" s="21"/>
      <c r="WZC307" s="21"/>
      <c r="WZD307" s="21"/>
      <c r="WZE307" s="21"/>
      <c r="WZF307" s="21"/>
      <c r="WZG307" s="21"/>
      <c r="WZH307" s="21"/>
      <c r="WZI307" s="21"/>
      <c r="WZJ307" s="21"/>
      <c r="WZK307" s="21"/>
      <c r="WZL307" s="21"/>
      <c r="WZM307" s="21"/>
      <c r="WZN307" s="21"/>
      <c r="WZO307" s="21"/>
      <c r="WZP307" s="21"/>
      <c r="WZQ307" s="21"/>
      <c r="WZR307" s="21"/>
      <c r="WZS307" s="21"/>
      <c r="WZT307" s="21"/>
      <c r="WZU307" s="21"/>
      <c r="WZV307" s="21"/>
      <c r="WZW307" s="21"/>
      <c r="WZX307" s="21"/>
      <c r="WZY307" s="21"/>
      <c r="WZZ307" s="21"/>
      <c r="XAA307" s="21"/>
      <c r="XAB307" s="21"/>
      <c r="XAC307" s="21"/>
      <c r="XAD307" s="21"/>
      <c r="XAE307" s="21"/>
      <c r="XAF307" s="21"/>
      <c r="XAG307" s="21"/>
      <c r="XAH307" s="21"/>
      <c r="XAI307" s="21"/>
      <c r="XAJ307" s="21"/>
      <c r="XAK307" s="21"/>
      <c r="XAL307" s="21"/>
      <c r="XAM307" s="21"/>
      <c r="XAN307" s="21"/>
      <c r="XAO307" s="21"/>
      <c r="XAP307" s="21"/>
      <c r="XAQ307" s="21"/>
      <c r="XAR307" s="21"/>
      <c r="XAS307" s="21"/>
      <c r="XAT307" s="21"/>
      <c r="XAU307" s="21"/>
      <c r="XAV307" s="21"/>
      <c r="XAW307" s="21"/>
      <c r="XAX307" s="21"/>
      <c r="XAY307" s="21"/>
      <c r="XAZ307" s="21"/>
      <c r="XBA307" s="21"/>
      <c r="XBB307" s="21"/>
      <c r="XBC307" s="21"/>
      <c r="XBD307" s="21"/>
      <c r="XBE307" s="21"/>
      <c r="XBF307" s="21"/>
      <c r="XBG307" s="21"/>
      <c r="XBH307" s="21"/>
      <c r="XBI307" s="21"/>
      <c r="XBJ307" s="21"/>
      <c r="XBK307" s="21"/>
      <c r="XBL307" s="21"/>
      <c r="XBM307" s="21"/>
      <c r="XBN307" s="21"/>
      <c r="XBO307" s="21"/>
      <c r="XBP307" s="21"/>
      <c r="XBQ307" s="21"/>
      <c r="XBR307" s="21"/>
      <c r="XBS307" s="21"/>
      <c r="XBT307" s="21"/>
      <c r="XBU307" s="21"/>
      <c r="XBV307" s="21"/>
      <c r="XBW307" s="21"/>
      <c r="XBX307" s="21"/>
      <c r="XBY307" s="21"/>
      <c r="XBZ307" s="21"/>
      <c r="XCA307" s="21"/>
      <c r="XCB307" s="21"/>
      <c r="XCC307" s="21"/>
      <c r="XCD307" s="21"/>
      <c r="XCE307" s="21"/>
      <c r="XCF307" s="21"/>
      <c r="XCG307" s="21"/>
      <c r="XCH307" s="21"/>
      <c r="XCI307" s="21"/>
      <c r="XCJ307" s="21"/>
      <c r="XCK307" s="21"/>
      <c r="XCL307" s="21"/>
      <c r="XCM307" s="21"/>
      <c r="XCN307" s="21"/>
      <c r="XCO307" s="21"/>
      <c r="XCP307" s="21"/>
      <c r="XCQ307" s="21"/>
      <c r="XCR307" s="21"/>
      <c r="XCS307" s="21"/>
      <c r="XCT307" s="21"/>
      <c r="XCU307" s="21"/>
      <c r="XCV307" s="21"/>
      <c r="XCW307" s="21"/>
      <c r="XCX307" s="21"/>
      <c r="XCY307" s="21"/>
      <c r="XCZ307" s="21"/>
      <c r="XDA307" s="21"/>
      <c r="XDB307" s="21"/>
      <c r="XDC307" s="21"/>
      <c r="XDD307" s="21"/>
      <c r="XDE307" s="21"/>
      <c r="XDF307" s="21"/>
      <c r="XDG307" s="21"/>
      <c r="XDH307" s="21"/>
      <c r="XDI307" s="21"/>
      <c r="XDJ307" s="21"/>
      <c r="XDK307" s="21"/>
      <c r="XDL307" s="21"/>
      <c r="XDM307" s="21"/>
      <c r="XDN307" s="21"/>
      <c r="XDO307" s="21"/>
      <c r="XDP307" s="21"/>
      <c r="XDQ307" s="21"/>
      <c r="XDR307" s="21"/>
      <c r="XDS307" s="21"/>
      <c r="XDT307" s="21"/>
      <c r="XDU307" s="21"/>
      <c r="XDV307" s="21"/>
      <c r="XDW307" s="21"/>
      <c r="XDX307" s="21"/>
      <c r="XDY307" s="21"/>
      <c r="XDZ307" s="21"/>
      <c r="XEA307" s="21"/>
      <c r="XEB307" s="21"/>
      <c r="XEC307" s="21"/>
      <c r="XED307" s="21"/>
      <c r="XEE307" s="21"/>
      <c r="XEF307" s="21"/>
      <c r="XEG307" s="21"/>
      <c r="XEH307" s="21"/>
      <c r="XEI307" s="21"/>
      <c r="XEJ307" s="21"/>
      <c r="XEK307" s="21"/>
      <c r="XEL307" s="21"/>
      <c r="XEM307" s="21"/>
      <c r="XEN307" s="21"/>
      <c r="XEO307" s="21"/>
      <c r="XEP307" s="21"/>
      <c r="XEQ307" s="21"/>
      <c r="XER307" s="21"/>
      <c r="XES307" s="21"/>
      <c r="XET307" s="21"/>
      <c r="XEU307" s="21"/>
      <c r="XEV307" s="21"/>
      <c r="XEW307" s="21"/>
      <c r="XEX307" s="21"/>
      <c r="XEY307" s="21"/>
      <c r="XEZ307" s="21"/>
      <c r="XFA307" s="21"/>
      <c r="XFB307" s="21"/>
      <c r="XFC307" s="21"/>
      <c r="XFD307" s="21"/>
    </row>
    <row r="308" spans="1:16384" s="56" customFormat="1" x14ac:dyDescent="0.2">
      <c r="A308" s="21">
        <v>85</v>
      </c>
      <c r="B308" s="21" t="s">
        <v>591</v>
      </c>
      <c r="C308" s="21" t="s">
        <v>592</v>
      </c>
      <c r="D308" s="21" t="s">
        <v>593</v>
      </c>
      <c r="E308" s="21" t="s">
        <v>535</v>
      </c>
      <c r="F308" s="21" t="s">
        <v>594</v>
      </c>
      <c r="G308" s="21">
        <v>2006</v>
      </c>
      <c r="H308" s="70">
        <v>38860</v>
      </c>
      <c r="I308" s="21" t="s">
        <v>32</v>
      </c>
      <c r="J308" s="21" t="s">
        <v>32</v>
      </c>
      <c r="K308" s="21" t="s">
        <v>595</v>
      </c>
      <c r="L308" s="21">
        <v>1</v>
      </c>
      <c r="M308" s="21" t="s">
        <v>32</v>
      </c>
      <c r="N308" s="21" t="s">
        <v>34</v>
      </c>
      <c r="O308" s="21" t="s">
        <v>34</v>
      </c>
      <c r="P308" s="21" t="s">
        <v>34</v>
      </c>
      <c r="Q308" s="21" t="s">
        <v>34</v>
      </c>
      <c r="R308" s="21" t="s">
        <v>34</v>
      </c>
      <c r="S308" s="21" t="s">
        <v>34</v>
      </c>
      <c r="T308" s="21" t="s">
        <v>34</v>
      </c>
      <c r="U308" s="21" t="s">
        <v>32</v>
      </c>
      <c r="V308" s="21">
        <v>1</v>
      </c>
      <c r="W308" s="21" t="s">
        <v>32</v>
      </c>
      <c r="X308" s="21" t="s">
        <v>32</v>
      </c>
      <c r="Y308" s="21" t="s">
        <v>596</v>
      </c>
      <c r="Z308" s="21" t="s">
        <v>32</v>
      </c>
      <c r="AA308" s="21">
        <v>16714037</v>
      </c>
      <c r="AB308" s="21">
        <v>1</v>
      </c>
      <c r="AC308" s="21"/>
      <c r="AD308" s="21">
        <v>3</v>
      </c>
      <c r="AE308" s="21">
        <f t="shared" si="24"/>
        <v>32</v>
      </c>
      <c r="AF308" s="21">
        <v>16</v>
      </c>
      <c r="AG308" s="21">
        <v>16</v>
      </c>
      <c r="AH308" s="21" t="s">
        <v>2845</v>
      </c>
      <c r="AI308" s="21" t="s">
        <v>2845</v>
      </c>
      <c r="AJ308" s="21">
        <v>47.6</v>
      </c>
      <c r="AK308" s="21">
        <v>10.24</v>
      </c>
      <c r="AL308" s="21">
        <v>46.3</v>
      </c>
      <c r="AM308" s="21">
        <v>10.9</v>
      </c>
      <c r="AN308" s="21" t="s">
        <v>2918</v>
      </c>
      <c r="AO308" s="21" t="s">
        <v>1638</v>
      </c>
      <c r="AP308" s="21" t="s">
        <v>3393</v>
      </c>
      <c r="AQ308" s="21" t="s">
        <v>3226</v>
      </c>
      <c r="AR308" s="21" t="s">
        <v>1646</v>
      </c>
      <c r="AS308" s="21" t="s">
        <v>3644</v>
      </c>
      <c r="AT308" s="21" t="s">
        <v>1646</v>
      </c>
      <c r="AU308" s="21" t="s">
        <v>3645</v>
      </c>
      <c r="AV308" s="21" t="s">
        <v>2907</v>
      </c>
      <c r="AW308" s="21">
        <v>49</v>
      </c>
      <c r="AX308" s="21">
        <v>152</v>
      </c>
      <c r="AY308" s="21" t="s">
        <v>3651</v>
      </c>
      <c r="AZ308" s="21">
        <v>18.13</v>
      </c>
      <c r="BA308" s="21">
        <v>3.28</v>
      </c>
      <c r="BB308" s="21"/>
      <c r="BC308" s="21" t="s">
        <v>3657</v>
      </c>
      <c r="BD308" s="21">
        <v>9.5</v>
      </c>
      <c r="BE308" s="21">
        <v>1.93</v>
      </c>
      <c r="BF308" s="21"/>
    </row>
    <row r="309" spans="1:16384" s="56" customFormat="1" x14ac:dyDescent="0.2">
      <c r="A309" s="21">
        <v>85</v>
      </c>
      <c r="B309" s="21" t="s">
        <v>591</v>
      </c>
      <c r="C309" s="21" t="s">
        <v>592</v>
      </c>
      <c r="D309" s="21" t="s">
        <v>593</v>
      </c>
      <c r="E309" s="21" t="s">
        <v>535</v>
      </c>
      <c r="F309" s="21" t="s">
        <v>594</v>
      </c>
      <c r="G309" s="21">
        <v>2006</v>
      </c>
      <c r="H309" s="70">
        <v>38860</v>
      </c>
      <c r="I309" s="21" t="s">
        <v>32</v>
      </c>
      <c r="J309" s="21" t="s">
        <v>32</v>
      </c>
      <c r="K309" s="21" t="s">
        <v>595</v>
      </c>
      <c r="L309" s="21">
        <v>1</v>
      </c>
      <c r="M309" s="21" t="s">
        <v>32</v>
      </c>
      <c r="N309" s="21" t="s">
        <v>34</v>
      </c>
      <c r="O309" s="21" t="s">
        <v>34</v>
      </c>
      <c r="P309" s="21" t="s">
        <v>34</v>
      </c>
      <c r="Q309" s="21" t="s">
        <v>34</v>
      </c>
      <c r="R309" s="21" t="s">
        <v>34</v>
      </c>
      <c r="S309" s="21" t="s">
        <v>34</v>
      </c>
      <c r="T309" s="21" t="s">
        <v>34</v>
      </c>
      <c r="U309" s="21" t="s">
        <v>32</v>
      </c>
      <c r="V309" s="21">
        <v>1</v>
      </c>
      <c r="W309" s="21" t="s">
        <v>32</v>
      </c>
      <c r="X309" s="21" t="s">
        <v>32</v>
      </c>
      <c r="Y309" s="21" t="s">
        <v>596</v>
      </c>
      <c r="Z309" s="21" t="s">
        <v>32</v>
      </c>
      <c r="AA309" s="21">
        <v>16714037</v>
      </c>
      <c r="AB309" s="21">
        <v>1</v>
      </c>
      <c r="AC309" s="21"/>
      <c r="AD309" s="21">
        <v>3</v>
      </c>
      <c r="AE309" s="21">
        <f t="shared" ref="AE309:AE313" si="26">AF309+AG309</f>
        <v>32</v>
      </c>
      <c r="AF309" s="21">
        <v>16</v>
      </c>
      <c r="AG309" s="21">
        <v>16</v>
      </c>
      <c r="AH309" s="21" t="s">
        <v>2845</v>
      </c>
      <c r="AI309" s="21" t="s">
        <v>2845</v>
      </c>
      <c r="AJ309" s="21">
        <v>47.6</v>
      </c>
      <c r="AK309" s="21">
        <v>10.24</v>
      </c>
      <c r="AL309" s="21">
        <v>46.3</v>
      </c>
      <c r="AM309" s="21">
        <v>10.9</v>
      </c>
      <c r="AN309" s="21" t="s">
        <v>2918</v>
      </c>
      <c r="AO309" s="21" t="s">
        <v>1638</v>
      </c>
      <c r="AP309" s="21" t="s">
        <v>3393</v>
      </c>
      <c r="AQ309" s="21" t="s">
        <v>3226</v>
      </c>
      <c r="AR309" s="21" t="s">
        <v>1646</v>
      </c>
      <c r="AS309" s="21" t="s">
        <v>3644</v>
      </c>
      <c r="AT309" s="21" t="s">
        <v>1646</v>
      </c>
      <c r="AU309" s="21" t="s">
        <v>3646</v>
      </c>
      <c r="AV309" s="21" t="s">
        <v>2907</v>
      </c>
      <c r="AW309" s="21">
        <v>49</v>
      </c>
      <c r="AX309" s="21">
        <v>152</v>
      </c>
      <c r="AY309" s="21" t="s">
        <v>3652</v>
      </c>
      <c r="AZ309" s="21">
        <v>12.86</v>
      </c>
      <c r="BA309" s="21">
        <v>1.54</v>
      </c>
      <c r="BB309" s="21"/>
      <c r="BC309" s="21" t="s">
        <v>3658</v>
      </c>
      <c r="BD309" s="21">
        <v>12.62</v>
      </c>
      <c r="BE309" s="21">
        <v>3.2</v>
      </c>
      <c r="BF309" s="21"/>
    </row>
    <row r="310" spans="1:16384" s="56" customFormat="1" x14ac:dyDescent="0.2">
      <c r="A310" s="21">
        <v>85</v>
      </c>
      <c r="B310" s="21" t="s">
        <v>591</v>
      </c>
      <c r="C310" s="21" t="s">
        <v>592</v>
      </c>
      <c r="D310" s="21" t="s">
        <v>593</v>
      </c>
      <c r="E310" s="21" t="s">
        <v>535</v>
      </c>
      <c r="F310" s="21" t="s">
        <v>594</v>
      </c>
      <c r="G310" s="21">
        <v>2006</v>
      </c>
      <c r="H310" s="70">
        <v>38860</v>
      </c>
      <c r="I310" s="21" t="s">
        <v>32</v>
      </c>
      <c r="J310" s="21" t="s">
        <v>32</v>
      </c>
      <c r="K310" s="21" t="s">
        <v>595</v>
      </c>
      <c r="L310" s="21">
        <v>1</v>
      </c>
      <c r="M310" s="21" t="s">
        <v>32</v>
      </c>
      <c r="N310" s="21" t="s">
        <v>34</v>
      </c>
      <c r="O310" s="21" t="s">
        <v>34</v>
      </c>
      <c r="P310" s="21" t="s">
        <v>34</v>
      </c>
      <c r="Q310" s="21" t="s">
        <v>34</v>
      </c>
      <c r="R310" s="21" t="s">
        <v>34</v>
      </c>
      <c r="S310" s="21" t="s">
        <v>34</v>
      </c>
      <c r="T310" s="21" t="s">
        <v>34</v>
      </c>
      <c r="U310" s="21" t="s">
        <v>32</v>
      </c>
      <c r="V310" s="21">
        <v>1</v>
      </c>
      <c r="W310" s="21" t="s">
        <v>32</v>
      </c>
      <c r="X310" s="21" t="s">
        <v>32</v>
      </c>
      <c r="Y310" s="21" t="s">
        <v>596</v>
      </c>
      <c r="Z310" s="21" t="s">
        <v>32</v>
      </c>
      <c r="AA310" s="21">
        <v>16714037</v>
      </c>
      <c r="AB310" s="21">
        <v>1</v>
      </c>
      <c r="AC310" s="21"/>
      <c r="AD310" s="21">
        <v>3</v>
      </c>
      <c r="AE310" s="21">
        <f t="shared" si="26"/>
        <v>32</v>
      </c>
      <c r="AF310" s="21">
        <v>16</v>
      </c>
      <c r="AG310" s="21">
        <v>16</v>
      </c>
      <c r="AH310" s="21" t="s">
        <v>2845</v>
      </c>
      <c r="AI310" s="21" t="s">
        <v>2845</v>
      </c>
      <c r="AJ310" s="21">
        <v>47.6</v>
      </c>
      <c r="AK310" s="21">
        <v>10.24</v>
      </c>
      <c r="AL310" s="21">
        <v>46.3</v>
      </c>
      <c r="AM310" s="21">
        <v>10.9</v>
      </c>
      <c r="AN310" s="21" t="s">
        <v>2918</v>
      </c>
      <c r="AO310" s="21" t="s">
        <v>1638</v>
      </c>
      <c r="AP310" s="21" t="s">
        <v>3393</v>
      </c>
      <c r="AQ310" s="21" t="s">
        <v>3226</v>
      </c>
      <c r="AR310" s="21" t="s">
        <v>1646</v>
      </c>
      <c r="AS310" s="21" t="s">
        <v>3644</v>
      </c>
      <c r="AT310" s="21" t="s">
        <v>1646</v>
      </c>
      <c r="AU310" s="21" t="s">
        <v>3647</v>
      </c>
      <c r="AV310" s="21" t="s">
        <v>2907</v>
      </c>
      <c r="AW310" s="21">
        <v>49</v>
      </c>
      <c r="AX310" s="21">
        <v>152</v>
      </c>
      <c r="AY310" s="21" t="s">
        <v>3653</v>
      </c>
      <c r="AZ310" s="21">
        <v>13.75</v>
      </c>
      <c r="BA310" s="21">
        <v>2.52</v>
      </c>
      <c r="BB310" s="21"/>
      <c r="BC310" s="21" t="s">
        <v>3659</v>
      </c>
      <c r="BD310" s="21">
        <v>14.5</v>
      </c>
      <c r="BE310" s="21">
        <v>3.18</v>
      </c>
      <c r="BF310" s="21"/>
    </row>
    <row r="311" spans="1:16384" s="56" customFormat="1" x14ac:dyDescent="0.2">
      <c r="A311" s="21">
        <v>85</v>
      </c>
      <c r="B311" s="21" t="s">
        <v>591</v>
      </c>
      <c r="C311" s="21" t="s">
        <v>592</v>
      </c>
      <c r="D311" s="21" t="s">
        <v>593</v>
      </c>
      <c r="E311" s="21" t="s">
        <v>535</v>
      </c>
      <c r="F311" s="21" t="s">
        <v>594</v>
      </c>
      <c r="G311" s="21">
        <v>2006</v>
      </c>
      <c r="H311" s="70">
        <v>38860</v>
      </c>
      <c r="I311" s="21" t="s">
        <v>32</v>
      </c>
      <c r="J311" s="21" t="s">
        <v>32</v>
      </c>
      <c r="K311" s="21" t="s">
        <v>595</v>
      </c>
      <c r="L311" s="21">
        <v>1</v>
      </c>
      <c r="M311" s="21" t="s">
        <v>32</v>
      </c>
      <c r="N311" s="21" t="s">
        <v>34</v>
      </c>
      <c r="O311" s="21" t="s">
        <v>34</v>
      </c>
      <c r="P311" s="21" t="s">
        <v>34</v>
      </c>
      <c r="Q311" s="21" t="s">
        <v>34</v>
      </c>
      <c r="R311" s="21" t="s">
        <v>34</v>
      </c>
      <c r="S311" s="21" t="s">
        <v>34</v>
      </c>
      <c r="T311" s="21" t="s">
        <v>34</v>
      </c>
      <c r="U311" s="21" t="s">
        <v>32</v>
      </c>
      <c r="V311" s="21">
        <v>1</v>
      </c>
      <c r="W311" s="21" t="s">
        <v>32</v>
      </c>
      <c r="X311" s="21" t="s">
        <v>32</v>
      </c>
      <c r="Y311" s="21" t="s">
        <v>596</v>
      </c>
      <c r="Z311" s="21" t="s">
        <v>32</v>
      </c>
      <c r="AA311" s="21">
        <v>16714037</v>
      </c>
      <c r="AB311" s="21">
        <v>1</v>
      </c>
      <c r="AC311" s="21"/>
      <c r="AD311" s="21">
        <v>3</v>
      </c>
      <c r="AE311" s="21">
        <f t="shared" si="26"/>
        <v>32</v>
      </c>
      <c r="AF311" s="21">
        <v>16</v>
      </c>
      <c r="AG311" s="21">
        <v>16</v>
      </c>
      <c r="AH311" s="21" t="s">
        <v>2845</v>
      </c>
      <c r="AI311" s="21" t="s">
        <v>2845</v>
      </c>
      <c r="AJ311" s="21">
        <v>47.6</v>
      </c>
      <c r="AK311" s="21">
        <v>10.24</v>
      </c>
      <c r="AL311" s="21">
        <v>46.3</v>
      </c>
      <c r="AM311" s="21">
        <v>10.9</v>
      </c>
      <c r="AN311" s="21" t="s">
        <v>2918</v>
      </c>
      <c r="AO311" s="21" t="s">
        <v>1638</v>
      </c>
      <c r="AP311" s="21" t="s">
        <v>3393</v>
      </c>
      <c r="AQ311" s="21" t="s">
        <v>3226</v>
      </c>
      <c r="AR311" s="21" t="s">
        <v>1646</v>
      </c>
      <c r="AS311" s="21" t="s">
        <v>3644</v>
      </c>
      <c r="AT311" s="21" t="s">
        <v>1646</v>
      </c>
      <c r="AU311" s="21" t="s">
        <v>3648</v>
      </c>
      <c r="AV311" s="21" t="s">
        <v>2907</v>
      </c>
      <c r="AW311" s="21">
        <v>49</v>
      </c>
      <c r="AX311" s="21">
        <v>152</v>
      </c>
      <c r="AY311" s="21" t="s">
        <v>3654</v>
      </c>
      <c r="AZ311" s="21">
        <v>7.12</v>
      </c>
      <c r="BA311" s="21">
        <v>1.55</v>
      </c>
      <c r="BB311" s="21"/>
      <c r="BC311" s="21" t="s">
        <v>3660</v>
      </c>
      <c r="BD311" s="21">
        <v>8.23</v>
      </c>
      <c r="BE311" s="21">
        <v>2.2200000000000002</v>
      </c>
      <c r="BF311" s="21"/>
    </row>
    <row r="312" spans="1:16384" s="56" customFormat="1" x14ac:dyDescent="0.2">
      <c r="A312" s="21">
        <v>85</v>
      </c>
      <c r="B312" s="21" t="s">
        <v>591</v>
      </c>
      <c r="C312" s="21" t="s">
        <v>592</v>
      </c>
      <c r="D312" s="21" t="s">
        <v>593</v>
      </c>
      <c r="E312" s="21" t="s">
        <v>535</v>
      </c>
      <c r="F312" s="21" t="s">
        <v>594</v>
      </c>
      <c r="G312" s="21">
        <v>2006</v>
      </c>
      <c r="H312" s="70">
        <v>38860</v>
      </c>
      <c r="I312" s="21" t="s">
        <v>32</v>
      </c>
      <c r="J312" s="21" t="s">
        <v>32</v>
      </c>
      <c r="K312" s="21" t="s">
        <v>595</v>
      </c>
      <c r="L312" s="21">
        <v>1</v>
      </c>
      <c r="M312" s="21" t="s">
        <v>32</v>
      </c>
      <c r="N312" s="21" t="s">
        <v>34</v>
      </c>
      <c r="O312" s="21" t="s">
        <v>34</v>
      </c>
      <c r="P312" s="21" t="s">
        <v>34</v>
      </c>
      <c r="Q312" s="21" t="s">
        <v>34</v>
      </c>
      <c r="R312" s="21" t="s">
        <v>34</v>
      </c>
      <c r="S312" s="21" t="s">
        <v>34</v>
      </c>
      <c r="T312" s="21" t="s">
        <v>34</v>
      </c>
      <c r="U312" s="21" t="s">
        <v>32</v>
      </c>
      <c r="V312" s="21">
        <v>1</v>
      </c>
      <c r="W312" s="21" t="s">
        <v>32</v>
      </c>
      <c r="X312" s="21" t="s">
        <v>32</v>
      </c>
      <c r="Y312" s="21" t="s">
        <v>596</v>
      </c>
      <c r="Z312" s="21" t="s">
        <v>32</v>
      </c>
      <c r="AA312" s="21">
        <v>16714037</v>
      </c>
      <c r="AB312" s="21">
        <v>1</v>
      </c>
      <c r="AC312" s="21"/>
      <c r="AD312" s="21">
        <v>3</v>
      </c>
      <c r="AE312" s="21">
        <f t="shared" si="26"/>
        <v>32</v>
      </c>
      <c r="AF312" s="21">
        <v>16</v>
      </c>
      <c r="AG312" s="21">
        <v>16</v>
      </c>
      <c r="AH312" s="21" t="s">
        <v>2845</v>
      </c>
      <c r="AI312" s="21" t="s">
        <v>2845</v>
      </c>
      <c r="AJ312" s="21">
        <v>47.6</v>
      </c>
      <c r="AK312" s="21">
        <v>10.24</v>
      </c>
      <c r="AL312" s="21">
        <v>46.3</v>
      </c>
      <c r="AM312" s="21">
        <v>10.9</v>
      </c>
      <c r="AN312" s="21" t="s">
        <v>2918</v>
      </c>
      <c r="AO312" s="21" t="s">
        <v>1638</v>
      </c>
      <c r="AP312" s="21" t="s">
        <v>3393</v>
      </c>
      <c r="AQ312" s="21" t="s">
        <v>3226</v>
      </c>
      <c r="AR312" s="21" t="s">
        <v>1646</v>
      </c>
      <c r="AS312" s="21" t="s">
        <v>3644</v>
      </c>
      <c r="AT312" s="21" t="s">
        <v>1646</v>
      </c>
      <c r="AU312" s="21" t="s">
        <v>3649</v>
      </c>
      <c r="AV312" s="21" t="s">
        <v>2907</v>
      </c>
      <c r="AW312" s="21">
        <v>49</v>
      </c>
      <c r="AX312" s="21">
        <v>152</v>
      </c>
      <c r="AY312" s="21" t="s">
        <v>3655</v>
      </c>
      <c r="AZ312" s="21">
        <v>8.24</v>
      </c>
      <c r="BA312" s="21">
        <v>1.99</v>
      </c>
      <c r="BB312" s="21"/>
      <c r="BC312" s="21" t="s">
        <v>3661</v>
      </c>
      <c r="BD312" s="21">
        <v>7.49</v>
      </c>
      <c r="BE312" s="21">
        <v>2.0499999999999998</v>
      </c>
      <c r="BF312" s="21"/>
    </row>
    <row r="313" spans="1:16384" s="56" customFormat="1" x14ac:dyDescent="0.2">
      <c r="A313" s="21">
        <v>85</v>
      </c>
      <c r="B313" s="21" t="s">
        <v>591</v>
      </c>
      <c r="C313" s="21" t="s">
        <v>592</v>
      </c>
      <c r="D313" s="21" t="s">
        <v>593</v>
      </c>
      <c r="E313" s="21" t="s">
        <v>535</v>
      </c>
      <c r="F313" s="21" t="s">
        <v>594</v>
      </c>
      <c r="G313" s="21">
        <v>2006</v>
      </c>
      <c r="H313" s="70">
        <v>38860</v>
      </c>
      <c r="I313" s="21" t="s">
        <v>32</v>
      </c>
      <c r="J313" s="21" t="s">
        <v>32</v>
      </c>
      <c r="K313" s="21" t="s">
        <v>595</v>
      </c>
      <c r="L313" s="21">
        <v>1</v>
      </c>
      <c r="M313" s="21" t="s">
        <v>32</v>
      </c>
      <c r="N313" s="21" t="s">
        <v>34</v>
      </c>
      <c r="O313" s="21" t="s">
        <v>34</v>
      </c>
      <c r="P313" s="21" t="s">
        <v>34</v>
      </c>
      <c r="Q313" s="21" t="s">
        <v>34</v>
      </c>
      <c r="R313" s="21" t="s">
        <v>34</v>
      </c>
      <c r="S313" s="21" t="s">
        <v>34</v>
      </c>
      <c r="T313" s="21" t="s">
        <v>34</v>
      </c>
      <c r="U313" s="21" t="s">
        <v>32</v>
      </c>
      <c r="V313" s="21">
        <v>1</v>
      </c>
      <c r="W313" s="21" t="s">
        <v>32</v>
      </c>
      <c r="X313" s="21" t="s">
        <v>32</v>
      </c>
      <c r="Y313" s="21" t="s">
        <v>596</v>
      </c>
      <c r="Z313" s="21" t="s">
        <v>32</v>
      </c>
      <c r="AA313" s="21">
        <v>16714037</v>
      </c>
      <c r="AB313" s="21">
        <v>1</v>
      </c>
      <c r="AC313" s="21"/>
      <c r="AD313" s="21">
        <v>3</v>
      </c>
      <c r="AE313" s="21">
        <f t="shared" si="26"/>
        <v>32</v>
      </c>
      <c r="AF313" s="21">
        <v>16</v>
      </c>
      <c r="AG313" s="21">
        <v>16</v>
      </c>
      <c r="AH313" s="21" t="s">
        <v>2845</v>
      </c>
      <c r="AI313" s="21" t="s">
        <v>2845</v>
      </c>
      <c r="AJ313" s="21">
        <v>47.6</v>
      </c>
      <c r="AK313" s="21">
        <v>10.24</v>
      </c>
      <c r="AL313" s="21">
        <v>46.3</v>
      </c>
      <c r="AM313" s="21">
        <v>10.9</v>
      </c>
      <c r="AN313" s="21" t="s">
        <v>2918</v>
      </c>
      <c r="AO313" s="21" t="s">
        <v>1638</v>
      </c>
      <c r="AP313" s="21" t="s">
        <v>3393</v>
      </c>
      <c r="AQ313" s="21" t="s">
        <v>3226</v>
      </c>
      <c r="AR313" s="21" t="s">
        <v>1646</v>
      </c>
      <c r="AS313" s="21" t="s">
        <v>3644</v>
      </c>
      <c r="AT313" s="21" t="s">
        <v>1646</v>
      </c>
      <c r="AU313" s="21" t="s">
        <v>3650</v>
      </c>
      <c r="AV313" s="21" t="s">
        <v>2907</v>
      </c>
      <c r="AW313" s="21">
        <v>49</v>
      </c>
      <c r="AX313" s="21">
        <v>152</v>
      </c>
      <c r="AY313" s="21" t="s">
        <v>3656</v>
      </c>
      <c r="AZ313" s="21">
        <v>8.06</v>
      </c>
      <c r="BA313" s="21">
        <v>2.35</v>
      </c>
      <c r="BB313" s="21"/>
      <c r="BC313" s="21" t="s">
        <v>3662</v>
      </c>
      <c r="BD313" s="21">
        <v>6.59</v>
      </c>
      <c r="BE313" s="21">
        <v>1.68</v>
      </c>
      <c r="BF313" s="21"/>
    </row>
    <row r="314" spans="1:16384" x14ac:dyDescent="0.2">
      <c r="A314" s="7">
        <v>86</v>
      </c>
      <c r="B314" s="7" t="s">
        <v>597</v>
      </c>
      <c r="C314" s="7" t="s">
        <v>598</v>
      </c>
      <c r="D314" s="7" t="s">
        <v>599</v>
      </c>
      <c r="E314" s="7" t="s">
        <v>600</v>
      </c>
      <c r="F314" s="7" t="s">
        <v>601</v>
      </c>
      <c r="G314" s="7">
        <v>2006</v>
      </c>
      <c r="H314" s="8">
        <v>38778</v>
      </c>
      <c r="I314" s="7" t="s">
        <v>32</v>
      </c>
      <c r="J314" s="7" t="s">
        <v>32</v>
      </c>
      <c r="K314" s="7" t="s">
        <v>602</v>
      </c>
      <c r="L314" s="7">
        <v>1</v>
      </c>
      <c r="M314" s="7" t="s">
        <v>32</v>
      </c>
      <c r="N314" s="7" t="s">
        <v>34</v>
      </c>
      <c r="O314" s="7" t="s">
        <v>34</v>
      </c>
      <c r="P314" s="7" t="s">
        <v>34</v>
      </c>
      <c r="Q314" s="7" t="s">
        <v>34</v>
      </c>
      <c r="R314" s="7" t="s">
        <v>34</v>
      </c>
      <c r="S314" s="7" t="s">
        <v>34</v>
      </c>
      <c r="T314" s="7" t="s">
        <v>34</v>
      </c>
      <c r="U314" s="7" t="s">
        <v>32</v>
      </c>
      <c r="V314" s="7">
        <v>1</v>
      </c>
      <c r="W314" s="7" t="s">
        <v>32</v>
      </c>
      <c r="X314" s="7" t="s">
        <v>32</v>
      </c>
      <c r="Y314" s="7" t="s">
        <v>32</v>
      </c>
      <c r="Z314" s="7" t="s">
        <v>32</v>
      </c>
      <c r="AA314" s="7">
        <v>16508348</v>
      </c>
      <c r="AB314" s="7">
        <v>1</v>
      </c>
      <c r="AC314" s="7"/>
      <c r="AD314" s="7">
        <v>3</v>
      </c>
      <c r="AE314" s="7">
        <f t="shared" si="24"/>
        <v>40</v>
      </c>
      <c r="AF314" s="7">
        <v>23</v>
      </c>
      <c r="AG314" s="7">
        <v>17</v>
      </c>
      <c r="AH314" s="7" t="s">
        <v>1642</v>
      </c>
      <c r="AI314" s="7" t="s">
        <v>1642</v>
      </c>
      <c r="AJ314" s="7">
        <v>38.65</v>
      </c>
      <c r="AK314" s="7">
        <v>6.23</v>
      </c>
      <c r="AL314" s="7">
        <v>37.880000000000003</v>
      </c>
      <c r="AM314" s="7">
        <v>8.58</v>
      </c>
      <c r="AN314" s="7" t="s">
        <v>2947</v>
      </c>
      <c r="AO314" s="7" t="s">
        <v>1638</v>
      </c>
      <c r="AP314" s="7" t="s">
        <v>3395</v>
      </c>
      <c r="AQ314" s="7" t="s">
        <v>3039</v>
      </c>
      <c r="AR314" s="7" t="s">
        <v>1646</v>
      </c>
      <c r="AS314" s="7" t="s">
        <v>3396</v>
      </c>
      <c r="AT314" s="7" t="s">
        <v>1646</v>
      </c>
      <c r="AU314" s="7" t="s">
        <v>3008</v>
      </c>
      <c r="AV314" s="7" t="s">
        <v>2848</v>
      </c>
      <c r="AW314" s="7">
        <v>50</v>
      </c>
      <c r="AX314" s="7">
        <v>53</v>
      </c>
      <c r="AY314" s="7" t="s">
        <v>3397</v>
      </c>
      <c r="AZ314" s="7">
        <v>15.96</v>
      </c>
      <c r="BA314" s="7">
        <v>6.69</v>
      </c>
      <c r="BB314" s="7"/>
      <c r="BC314" s="7" t="s">
        <v>3398</v>
      </c>
      <c r="BD314" s="7">
        <v>21.18</v>
      </c>
      <c r="BE314" s="7">
        <v>4.84</v>
      </c>
      <c r="BF314" s="7"/>
    </row>
    <row r="315" spans="1:16384" s="65" customFormat="1" x14ac:dyDescent="0.2">
      <c r="A315" s="20">
        <v>87</v>
      </c>
      <c r="B315" s="20" t="s">
        <v>603</v>
      </c>
      <c r="C315" s="20" t="s">
        <v>604</v>
      </c>
      <c r="D315" s="20" t="s">
        <v>605</v>
      </c>
      <c r="E315" s="20" t="s">
        <v>600</v>
      </c>
      <c r="F315" s="20" t="s">
        <v>606</v>
      </c>
      <c r="G315" s="20">
        <v>2005</v>
      </c>
      <c r="H315" s="64">
        <v>38596</v>
      </c>
      <c r="I315" s="20" t="s">
        <v>32</v>
      </c>
      <c r="J315" s="20" t="s">
        <v>32</v>
      </c>
      <c r="K315" s="20" t="s">
        <v>607</v>
      </c>
      <c r="L315" s="20">
        <v>1</v>
      </c>
      <c r="M315" s="20" t="s">
        <v>32</v>
      </c>
      <c r="N315" s="20" t="s">
        <v>34</v>
      </c>
      <c r="O315" s="20" t="s">
        <v>34</v>
      </c>
      <c r="P315" s="20" t="s">
        <v>34</v>
      </c>
      <c r="Q315" s="20" t="s">
        <v>34</v>
      </c>
      <c r="R315" s="20" t="s">
        <v>34</v>
      </c>
      <c r="S315" s="20" t="s">
        <v>34</v>
      </c>
      <c r="T315" s="20" t="s">
        <v>34</v>
      </c>
      <c r="U315" s="20" t="s">
        <v>32</v>
      </c>
      <c r="V315" s="20">
        <v>1</v>
      </c>
      <c r="W315" s="20" t="s">
        <v>32</v>
      </c>
      <c r="X315" s="20" t="s">
        <v>32</v>
      </c>
      <c r="Y315" s="20" t="s">
        <v>32</v>
      </c>
      <c r="Z315" s="20" t="s">
        <v>32</v>
      </c>
      <c r="AA315" s="20">
        <v>16130309</v>
      </c>
      <c r="AB315" s="20">
        <v>0</v>
      </c>
      <c r="AC315" s="20" t="s">
        <v>3399</v>
      </c>
      <c r="AD315" s="20"/>
      <c r="AE315" s="20">
        <f t="shared" si="24"/>
        <v>0</v>
      </c>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row>
    <row r="316" spans="1:16384" x14ac:dyDescent="0.2">
      <c r="A316" s="7">
        <v>88</v>
      </c>
      <c r="B316" s="7" t="s">
        <v>608</v>
      </c>
      <c r="C316" s="7" t="s">
        <v>609</v>
      </c>
      <c r="D316" s="7" t="s">
        <v>610</v>
      </c>
      <c r="E316" s="7" t="s">
        <v>611</v>
      </c>
      <c r="F316" s="7" t="s">
        <v>45</v>
      </c>
      <c r="G316" s="7">
        <v>2006</v>
      </c>
      <c r="H316" s="8">
        <v>38591</v>
      </c>
      <c r="I316" s="7" t="s">
        <v>32</v>
      </c>
      <c r="J316" s="7" t="s">
        <v>32</v>
      </c>
      <c r="K316" s="7" t="s">
        <v>612</v>
      </c>
      <c r="L316" s="7">
        <v>1</v>
      </c>
      <c r="M316" s="7" t="s">
        <v>613</v>
      </c>
      <c r="N316" s="7" t="s">
        <v>34</v>
      </c>
      <c r="O316" s="7" t="s">
        <v>34</v>
      </c>
      <c r="P316" s="7" t="s">
        <v>34</v>
      </c>
      <c r="Q316" s="7" t="s">
        <v>34</v>
      </c>
      <c r="R316" s="7" t="s">
        <v>34</v>
      </c>
      <c r="S316" s="7" t="s">
        <v>34</v>
      </c>
      <c r="T316" s="7" t="s">
        <v>34</v>
      </c>
      <c r="U316" s="7" t="s">
        <v>32</v>
      </c>
      <c r="V316" s="7">
        <v>1</v>
      </c>
      <c r="W316" s="7" t="s">
        <v>32</v>
      </c>
      <c r="X316" s="7" t="s">
        <v>32</v>
      </c>
      <c r="Y316" s="7" t="s">
        <v>32</v>
      </c>
      <c r="Z316" s="7" t="s">
        <v>32</v>
      </c>
      <c r="AA316" s="7">
        <v>16123770</v>
      </c>
      <c r="AB316" s="7">
        <v>1</v>
      </c>
      <c r="AC316" s="7"/>
      <c r="AD316" s="7">
        <v>3</v>
      </c>
      <c r="AE316" s="7">
        <f t="shared" si="24"/>
        <v>24</v>
      </c>
      <c r="AF316" s="7">
        <v>12</v>
      </c>
      <c r="AG316" s="7">
        <v>12</v>
      </c>
      <c r="AH316" s="7" t="s">
        <v>2845</v>
      </c>
      <c r="AI316" s="7" t="s">
        <v>2845</v>
      </c>
      <c r="AJ316" s="7">
        <v>36</v>
      </c>
      <c r="AK316" s="7">
        <v>12</v>
      </c>
      <c r="AL316" s="7">
        <v>36</v>
      </c>
      <c r="AM316" s="7">
        <v>11</v>
      </c>
      <c r="AN316" s="7" t="s">
        <v>2947</v>
      </c>
      <c r="AO316" s="7" t="s">
        <v>1638</v>
      </c>
      <c r="AP316" s="7" t="s">
        <v>2846</v>
      </c>
      <c r="AQ316" s="7" t="s">
        <v>3226</v>
      </c>
      <c r="AR316" s="7" t="s">
        <v>1646</v>
      </c>
      <c r="AS316" s="7" t="s">
        <v>1639</v>
      </c>
      <c r="AT316" s="7" t="s">
        <v>1646</v>
      </c>
      <c r="AU316" s="7" t="s">
        <v>2928</v>
      </c>
      <c r="AV316" s="7" t="s">
        <v>2848</v>
      </c>
      <c r="AW316" s="7">
        <v>51</v>
      </c>
      <c r="AX316" s="7">
        <v>54</v>
      </c>
      <c r="AY316" s="7" t="s">
        <v>3400</v>
      </c>
      <c r="AZ316" s="7">
        <v>0.51800000000000002</v>
      </c>
      <c r="BB316" s="7">
        <f>0.587333-AZ316</f>
        <v>6.9332999999999978E-2</v>
      </c>
      <c r="BC316" s="7" t="s">
        <v>3445</v>
      </c>
      <c r="BD316" s="7">
        <v>0.53590800000000005</v>
      </c>
      <c r="BF316" s="7">
        <f>0.605909-BD316</f>
        <v>7.000099999999998E-2</v>
      </c>
    </row>
    <row r="317" spans="1:16384" x14ac:dyDescent="0.2">
      <c r="A317" s="7">
        <v>88</v>
      </c>
      <c r="B317" s="7" t="s">
        <v>608</v>
      </c>
      <c r="C317" s="7" t="s">
        <v>609</v>
      </c>
      <c r="D317" s="7" t="s">
        <v>610</v>
      </c>
      <c r="E317" s="7" t="s">
        <v>611</v>
      </c>
      <c r="F317" s="7" t="s">
        <v>45</v>
      </c>
      <c r="G317" s="7">
        <v>2006</v>
      </c>
      <c r="H317" s="8">
        <v>38591</v>
      </c>
      <c r="I317" s="7" t="s">
        <v>32</v>
      </c>
      <c r="J317" s="7" t="s">
        <v>32</v>
      </c>
      <c r="K317" s="7" t="s">
        <v>612</v>
      </c>
      <c r="L317" s="7">
        <v>1</v>
      </c>
      <c r="M317" s="7" t="s">
        <v>613</v>
      </c>
      <c r="N317" s="7" t="s">
        <v>34</v>
      </c>
      <c r="O317" s="7" t="s">
        <v>34</v>
      </c>
      <c r="P317" s="7" t="s">
        <v>34</v>
      </c>
      <c r="Q317" s="7" t="s">
        <v>34</v>
      </c>
      <c r="R317" s="7" t="s">
        <v>34</v>
      </c>
      <c r="S317" s="7" t="s">
        <v>34</v>
      </c>
      <c r="T317" s="7" t="s">
        <v>34</v>
      </c>
      <c r="U317" s="7" t="s">
        <v>32</v>
      </c>
      <c r="V317" s="7">
        <v>1</v>
      </c>
      <c r="W317" s="7" t="s">
        <v>32</v>
      </c>
      <c r="X317" s="7" t="s">
        <v>32</v>
      </c>
      <c r="Y317" s="7" t="s">
        <v>32</v>
      </c>
      <c r="Z317" s="7" t="s">
        <v>32</v>
      </c>
      <c r="AA317" s="7">
        <v>16123770</v>
      </c>
      <c r="AB317" s="7">
        <v>1</v>
      </c>
      <c r="AC317" s="7"/>
      <c r="AD317" s="7">
        <v>3</v>
      </c>
      <c r="AE317" s="7">
        <f t="shared" si="24"/>
        <v>24</v>
      </c>
      <c r="AF317" s="7">
        <v>12</v>
      </c>
      <c r="AG317" s="7">
        <v>12</v>
      </c>
      <c r="AH317" s="7" t="s">
        <v>2845</v>
      </c>
      <c r="AI317" s="7" t="s">
        <v>2845</v>
      </c>
      <c r="AJ317" s="7">
        <v>36</v>
      </c>
      <c r="AK317" s="7">
        <v>12</v>
      </c>
      <c r="AL317" s="7">
        <v>36</v>
      </c>
      <c r="AM317" s="7">
        <v>11</v>
      </c>
      <c r="AN317" s="7" t="s">
        <v>2947</v>
      </c>
      <c r="AO317" s="7" t="s">
        <v>1638</v>
      </c>
      <c r="AP317" s="7" t="s">
        <v>2846</v>
      </c>
      <c r="AQ317" s="7" t="s">
        <v>3226</v>
      </c>
      <c r="AR317" s="7" t="s">
        <v>1646</v>
      </c>
      <c r="AS317" s="7" t="s">
        <v>1639</v>
      </c>
      <c r="AT317" s="7" t="s">
        <v>1646</v>
      </c>
      <c r="AU317" s="7" t="s">
        <v>2928</v>
      </c>
      <c r="AV317" s="7" t="s">
        <v>2848</v>
      </c>
      <c r="AW317" s="7">
        <v>51</v>
      </c>
      <c r="AX317" s="7">
        <v>54</v>
      </c>
      <c r="AY317" s="7" t="s">
        <v>3401</v>
      </c>
      <c r="AZ317" s="7">
        <v>0.60599999999999998</v>
      </c>
      <c r="BB317" s="7">
        <f>0.696667-AZ317</f>
        <v>9.0667000000000053E-2</v>
      </c>
      <c r="BC317" s="7" t="s">
        <v>3446</v>
      </c>
      <c r="BD317" s="7">
        <v>0.53315500000000005</v>
      </c>
      <c r="BF317" s="7">
        <f>0.625154-BD317</f>
        <v>9.1998999999999942E-2</v>
      </c>
    </row>
    <row r="318" spans="1:16384" x14ac:dyDescent="0.2">
      <c r="A318" s="7">
        <v>88</v>
      </c>
      <c r="B318" s="7" t="s">
        <v>608</v>
      </c>
      <c r="C318" s="7" t="s">
        <v>609</v>
      </c>
      <c r="D318" s="7" t="s">
        <v>610</v>
      </c>
      <c r="E318" s="7" t="s">
        <v>611</v>
      </c>
      <c r="F318" s="7" t="s">
        <v>45</v>
      </c>
      <c r="G318" s="7">
        <v>2006</v>
      </c>
      <c r="H318" s="8">
        <v>38591</v>
      </c>
      <c r="I318" s="7" t="s">
        <v>32</v>
      </c>
      <c r="J318" s="7" t="s">
        <v>32</v>
      </c>
      <c r="K318" s="7" t="s">
        <v>612</v>
      </c>
      <c r="L318" s="7">
        <v>1</v>
      </c>
      <c r="M318" s="7" t="s">
        <v>613</v>
      </c>
      <c r="N318" s="7" t="s">
        <v>34</v>
      </c>
      <c r="O318" s="7" t="s">
        <v>34</v>
      </c>
      <c r="P318" s="7" t="s">
        <v>34</v>
      </c>
      <c r="Q318" s="7" t="s">
        <v>34</v>
      </c>
      <c r="R318" s="7" t="s">
        <v>34</v>
      </c>
      <c r="S318" s="7" t="s">
        <v>34</v>
      </c>
      <c r="T318" s="7" t="s">
        <v>34</v>
      </c>
      <c r="U318" s="7" t="s">
        <v>32</v>
      </c>
      <c r="V318" s="7">
        <v>1</v>
      </c>
      <c r="W318" s="7" t="s">
        <v>32</v>
      </c>
      <c r="X318" s="7" t="s">
        <v>32</v>
      </c>
      <c r="Y318" s="7" t="s">
        <v>32</v>
      </c>
      <c r="Z318" s="7" t="s">
        <v>32</v>
      </c>
      <c r="AA318" s="7">
        <v>16123770</v>
      </c>
      <c r="AB318" s="7">
        <v>1</v>
      </c>
      <c r="AC318" s="7"/>
      <c r="AD318" s="7">
        <v>3</v>
      </c>
      <c r="AE318" s="7">
        <f t="shared" si="24"/>
        <v>24</v>
      </c>
      <c r="AF318" s="7">
        <v>12</v>
      </c>
      <c r="AG318" s="7">
        <v>12</v>
      </c>
      <c r="AH318" s="7" t="s">
        <v>2845</v>
      </c>
      <c r="AI318" s="7" t="s">
        <v>2845</v>
      </c>
      <c r="AJ318" s="7">
        <v>36</v>
      </c>
      <c r="AK318" s="7">
        <v>12</v>
      </c>
      <c r="AL318" s="7">
        <v>36</v>
      </c>
      <c r="AM318" s="7">
        <v>11</v>
      </c>
      <c r="AN318" s="7" t="s">
        <v>2947</v>
      </c>
      <c r="AO318" s="7" t="s">
        <v>1638</v>
      </c>
      <c r="AP318" s="7" t="s">
        <v>2846</v>
      </c>
      <c r="AQ318" s="7" t="s">
        <v>3226</v>
      </c>
      <c r="AR318" s="7" t="s">
        <v>1646</v>
      </c>
      <c r="AS318" s="7" t="s">
        <v>1639</v>
      </c>
      <c r="AT318" s="7" t="s">
        <v>1646</v>
      </c>
      <c r="AU318" s="7" t="s">
        <v>2928</v>
      </c>
      <c r="AV318" s="7" t="s">
        <v>2848</v>
      </c>
      <c r="AW318" s="7">
        <v>51</v>
      </c>
      <c r="AX318" s="7">
        <v>54</v>
      </c>
      <c r="AY318" s="7" t="s">
        <v>3402</v>
      </c>
      <c r="AZ318" s="7">
        <v>0.45133299999999998</v>
      </c>
      <c r="BB318" s="7">
        <f>0.496667-AZ318</f>
        <v>4.5334000000000041E-2</v>
      </c>
      <c r="BC318" s="7" t="s">
        <v>3447</v>
      </c>
      <c r="BD318" s="7">
        <v>0.62640600000000002</v>
      </c>
      <c r="BF318" s="7">
        <f>0.718406-BD318</f>
        <v>9.1999999999999971E-2</v>
      </c>
    </row>
    <row r="319" spans="1:16384" x14ac:dyDescent="0.2">
      <c r="A319" s="7">
        <v>88</v>
      </c>
      <c r="B319" s="7" t="s">
        <v>608</v>
      </c>
      <c r="C319" s="7" t="s">
        <v>609</v>
      </c>
      <c r="D319" s="7" t="s">
        <v>610</v>
      </c>
      <c r="E319" s="7" t="s">
        <v>611</v>
      </c>
      <c r="F319" s="7" t="s">
        <v>45</v>
      </c>
      <c r="G319" s="7">
        <v>2006</v>
      </c>
      <c r="H319" s="8">
        <v>38591</v>
      </c>
      <c r="I319" s="7" t="s">
        <v>32</v>
      </c>
      <c r="J319" s="7" t="s">
        <v>32</v>
      </c>
      <c r="K319" s="7" t="s">
        <v>612</v>
      </c>
      <c r="L319" s="7">
        <v>1</v>
      </c>
      <c r="M319" s="7" t="s">
        <v>613</v>
      </c>
      <c r="N319" s="7" t="s">
        <v>34</v>
      </c>
      <c r="O319" s="7" t="s">
        <v>34</v>
      </c>
      <c r="P319" s="7" t="s">
        <v>34</v>
      </c>
      <c r="Q319" s="7" t="s">
        <v>34</v>
      </c>
      <c r="R319" s="7" t="s">
        <v>34</v>
      </c>
      <c r="S319" s="7" t="s">
        <v>34</v>
      </c>
      <c r="T319" s="7" t="s">
        <v>34</v>
      </c>
      <c r="U319" s="7" t="s">
        <v>32</v>
      </c>
      <c r="V319" s="7">
        <v>1</v>
      </c>
      <c r="W319" s="7" t="s">
        <v>32</v>
      </c>
      <c r="X319" s="7" t="s">
        <v>32</v>
      </c>
      <c r="Y319" s="7" t="s">
        <v>32</v>
      </c>
      <c r="Z319" s="7" t="s">
        <v>32</v>
      </c>
      <c r="AA319" s="7">
        <v>16123770</v>
      </c>
      <c r="AB319" s="7">
        <v>1</v>
      </c>
      <c r="AC319" s="7"/>
      <c r="AD319" s="7">
        <v>3</v>
      </c>
      <c r="AE319" s="7">
        <f t="shared" si="24"/>
        <v>24</v>
      </c>
      <c r="AF319" s="7">
        <v>12</v>
      </c>
      <c r="AG319" s="7">
        <v>12</v>
      </c>
      <c r="AH319" s="7" t="s">
        <v>2845</v>
      </c>
      <c r="AI319" s="7" t="s">
        <v>2845</v>
      </c>
      <c r="AJ319" s="7">
        <v>36</v>
      </c>
      <c r="AK319" s="7">
        <v>12</v>
      </c>
      <c r="AL319" s="7">
        <v>36</v>
      </c>
      <c r="AM319" s="7">
        <v>11</v>
      </c>
      <c r="AN319" s="7" t="s">
        <v>2947</v>
      </c>
      <c r="AO319" s="7" t="s">
        <v>1638</v>
      </c>
      <c r="AP319" s="7" t="s">
        <v>2846</v>
      </c>
      <c r="AQ319" s="7" t="s">
        <v>3226</v>
      </c>
      <c r="AR319" s="7" t="s">
        <v>1646</v>
      </c>
      <c r="AS319" s="7" t="s">
        <v>1639</v>
      </c>
      <c r="AT319" s="7" t="s">
        <v>1646</v>
      </c>
      <c r="AU319" s="7" t="s">
        <v>2928</v>
      </c>
      <c r="AV319" s="7" t="s">
        <v>2848</v>
      </c>
      <c r="AW319" s="7">
        <v>51</v>
      </c>
      <c r="AX319" s="7">
        <v>54</v>
      </c>
      <c r="AY319" s="7" t="s">
        <v>3403</v>
      </c>
      <c r="AZ319" s="7">
        <v>0.31</v>
      </c>
      <c r="BB319" s="7">
        <f>0.392667-AZ319</f>
        <v>8.266699999999999E-2</v>
      </c>
      <c r="BC319" s="7" t="s">
        <v>3448</v>
      </c>
      <c r="BD319" s="7">
        <v>0.39815699999999998</v>
      </c>
      <c r="BF319" s="7">
        <f>0.484155-BD319</f>
        <v>8.5998000000000019E-2</v>
      </c>
    </row>
    <row r="320" spans="1:16384" s="65" customFormat="1" x14ac:dyDescent="0.2">
      <c r="A320" s="20">
        <v>89</v>
      </c>
      <c r="B320" s="20" t="s">
        <v>614</v>
      </c>
      <c r="C320" s="20" t="s">
        <v>615</v>
      </c>
      <c r="D320" s="20" t="s">
        <v>616</v>
      </c>
      <c r="E320" s="20" t="s">
        <v>617</v>
      </c>
      <c r="F320" s="20" t="s">
        <v>384</v>
      </c>
      <c r="G320" s="20">
        <v>2005</v>
      </c>
      <c r="H320" s="64">
        <v>38540</v>
      </c>
      <c r="I320" s="20" t="s">
        <v>618</v>
      </c>
      <c r="J320" s="20" t="s">
        <v>619</v>
      </c>
      <c r="K320" s="20" t="s">
        <v>620</v>
      </c>
      <c r="L320" s="20">
        <v>1</v>
      </c>
      <c r="M320" s="20" t="s">
        <v>621</v>
      </c>
      <c r="N320" s="20" t="s">
        <v>34</v>
      </c>
      <c r="O320" s="20" t="s">
        <v>34</v>
      </c>
      <c r="P320" s="20" t="s">
        <v>34</v>
      </c>
      <c r="Q320" s="20" t="s">
        <v>34</v>
      </c>
      <c r="R320" s="20" t="s">
        <v>34</v>
      </c>
      <c r="S320" s="20" t="s">
        <v>34</v>
      </c>
      <c r="T320" s="20" t="s">
        <v>34</v>
      </c>
      <c r="U320" s="20" t="s">
        <v>32</v>
      </c>
      <c r="V320" s="20">
        <v>1</v>
      </c>
      <c r="W320" s="20" t="s">
        <v>32</v>
      </c>
      <c r="X320" s="20" t="s">
        <v>32</v>
      </c>
      <c r="Y320" s="20" t="s">
        <v>32</v>
      </c>
      <c r="Z320" s="20" t="s">
        <v>32</v>
      </c>
      <c r="AA320" s="20">
        <v>15997600</v>
      </c>
      <c r="AB320" s="20">
        <v>0</v>
      </c>
      <c r="AC320" s="69" t="s">
        <v>3406</v>
      </c>
      <c r="AD320" s="20">
        <v>3</v>
      </c>
      <c r="AE320" s="20">
        <f t="shared" si="24"/>
        <v>19</v>
      </c>
      <c r="AF320" s="20">
        <v>8</v>
      </c>
      <c r="AG320" s="20">
        <v>11</v>
      </c>
      <c r="AH320" s="20" t="s">
        <v>1769</v>
      </c>
      <c r="AI320" s="20" t="s">
        <v>1769</v>
      </c>
      <c r="AJ320" s="20">
        <v>38</v>
      </c>
      <c r="AK320" s="20">
        <v>10</v>
      </c>
      <c r="AL320" s="20">
        <v>36</v>
      </c>
      <c r="AM320" s="20">
        <v>11</v>
      </c>
      <c r="AN320" s="20" t="s">
        <v>3148</v>
      </c>
      <c r="AO320" s="20" t="s">
        <v>1638</v>
      </c>
      <c r="AP320" s="20" t="s">
        <v>3404</v>
      </c>
      <c r="AQ320" s="20" t="s">
        <v>3259</v>
      </c>
      <c r="AR320" s="20" t="s">
        <v>1646</v>
      </c>
      <c r="AS320" s="20" t="s">
        <v>1639</v>
      </c>
      <c r="AT320" s="20" t="s">
        <v>1646</v>
      </c>
      <c r="AU320" s="20"/>
      <c r="AV320" s="20"/>
      <c r="AW320" s="20"/>
      <c r="AX320" s="20"/>
      <c r="AY320" s="20"/>
      <c r="AZ320" s="20"/>
      <c r="BA320" s="20"/>
      <c r="BB320" s="20"/>
      <c r="BC320" s="20"/>
      <c r="BD320" s="20"/>
      <c r="BE320" s="20"/>
      <c r="BF320" s="20"/>
      <c r="BG320" s="65" t="s">
        <v>3406</v>
      </c>
    </row>
    <row r="321" spans="1:59" x14ac:dyDescent="0.2">
      <c r="A321" s="7">
        <v>90</v>
      </c>
      <c r="B321" s="7" t="s">
        <v>622</v>
      </c>
      <c r="C321" s="7" t="s">
        <v>623</v>
      </c>
      <c r="D321" s="7" t="s">
        <v>624</v>
      </c>
      <c r="E321" s="7" t="s">
        <v>611</v>
      </c>
      <c r="F321" s="7" t="s">
        <v>415</v>
      </c>
      <c r="G321" s="7">
        <v>2005</v>
      </c>
      <c r="H321" s="8">
        <v>38525</v>
      </c>
      <c r="I321" s="7" t="s">
        <v>32</v>
      </c>
      <c r="J321" s="7" t="s">
        <v>32</v>
      </c>
      <c r="K321" s="7" t="s">
        <v>625</v>
      </c>
      <c r="L321" s="7">
        <v>1</v>
      </c>
      <c r="M321" s="7" t="s">
        <v>32</v>
      </c>
      <c r="N321" s="7" t="s">
        <v>34</v>
      </c>
      <c r="O321" s="7" t="s">
        <v>34</v>
      </c>
      <c r="P321" s="7" t="s">
        <v>34</v>
      </c>
      <c r="Q321" s="7" t="s">
        <v>34</v>
      </c>
      <c r="R321" s="7" t="s">
        <v>34</v>
      </c>
      <c r="S321" s="7" t="s">
        <v>34</v>
      </c>
      <c r="T321" s="7" t="s">
        <v>34</v>
      </c>
      <c r="U321" s="7" t="s">
        <v>32</v>
      </c>
      <c r="V321" s="7">
        <v>1</v>
      </c>
      <c r="W321" s="7" t="s">
        <v>32</v>
      </c>
      <c r="X321" s="7" t="s">
        <v>32</v>
      </c>
      <c r="Y321" s="7" t="s">
        <v>32</v>
      </c>
      <c r="Z321" s="7" t="s">
        <v>32</v>
      </c>
      <c r="AA321" s="7">
        <v>15967648</v>
      </c>
      <c r="AB321" s="7">
        <v>1</v>
      </c>
      <c r="AC321" s="7"/>
      <c r="AD321" s="7">
        <v>3</v>
      </c>
      <c r="AE321" s="7">
        <f t="shared" si="24"/>
        <v>37</v>
      </c>
      <c r="AF321" s="7">
        <v>14</v>
      </c>
      <c r="AG321" s="7">
        <v>23</v>
      </c>
      <c r="AH321" s="7" t="s">
        <v>2845</v>
      </c>
      <c r="AI321" s="7" t="s">
        <v>2845</v>
      </c>
      <c r="AJ321" s="7">
        <v>35</v>
      </c>
      <c r="AK321" s="7">
        <v>9</v>
      </c>
      <c r="AL321" s="7">
        <v>35</v>
      </c>
      <c r="AM321" s="7">
        <v>7</v>
      </c>
      <c r="AN321" s="7" t="s">
        <v>2902</v>
      </c>
      <c r="AO321" s="7" t="s">
        <v>1770</v>
      </c>
      <c r="AP321" s="7" t="s">
        <v>3405</v>
      </c>
      <c r="AQ321" s="7" t="s">
        <v>3259</v>
      </c>
      <c r="AR321" s="7" t="s">
        <v>1646</v>
      </c>
      <c r="AS321" s="7" t="s">
        <v>2920</v>
      </c>
      <c r="AT321" s="7" t="s">
        <v>1646</v>
      </c>
      <c r="AU321" s="7" t="s">
        <v>3407</v>
      </c>
      <c r="AV321" s="7" t="s">
        <v>2907</v>
      </c>
      <c r="AW321" s="7">
        <v>52</v>
      </c>
      <c r="AX321" s="7">
        <v>55</v>
      </c>
      <c r="AY321" s="7" t="s">
        <v>3413</v>
      </c>
      <c r="AZ321" s="7">
        <v>22.64</v>
      </c>
      <c r="BA321" s="7">
        <v>5.85</v>
      </c>
      <c r="BB321" s="7"/>
      <c r="BC321" s="7" t="s">
        <v>3419</v>
      </c>
      <c r="BD321" s="7">
        <v>23.35</v>
      </c>
      <c r="BE321" s="7">
        <v>5.64</v>
      </c>
      <c r="BF321" s="7"/>
      <c r="BG321" t="s">
        <v>3437</v>
      </c>
    </row>
    <row r="322" spans="1:59" x14ac:dyDescent="0.2">
      <c r="A322" s="7">
        <v>90</v>
      </c>
      <c r="B322" s="7" t="s">
        <v>622</v>
      </c>
      <c r="C322" s="7" t="s">
        <v>623</v>
      </c>
      <c r="D322" s="7" t="s">
        <v>624</v>
      </c>
      <c r="E322" s="7" t="s">
        <v>611</v>
      </c>
      <c r="F322" s="7" t="s">
        <v>415</v>
      </c>
      <c r="G322" s="7">
        <v>2005</v>
      </c>
      <c r="H322" s="8">
        <v>38525</v>
      </c>
      <c r="I322" s="7" t="s">
        <v>32</v>
      </c>
      <c r="J322" s="7" t="s">
        <v>32</v>
      </c>
      <c r="K322" s="7" t="s">
        <v>625</v>
      </c>
      <c r="L322" s="7">
        <v>1</v>
      </c>
      <c r="M322" s="7" t="s">
        <v>32</v>
      </c>
      <c r="N322" s="7" t="s">
        <v>34</v>
      </c>
      <c r="O322" s="7" t="s">
        <v>34</v>
      </c>
      <c r="P322" s="7" t="s">
        <v>34</v>
      </c>
      <c r="Q322" s="7" t="s">
        <v>34</v>
      </c>
      <c r="R322" s="7" t="s">
        <v>34</v>
      </c>
      <c r="S322" s="7" t="s">
        <v>34</v>
      </c>
      <c r="T322" s="7" t="s">
        <v>34</v>
      </c>
      <c r="U322" s="7" t="s">
        <v>32</v>
      </c>
      <c r="V322" s="7">
        <v>1</v>
      </c>
      <c r="W322" s="7" t="s">
        <v>32</v>
      </c>
      <c r="X322" s="7" t="s">
        <v>32</v>
      </c>
      <c r="Y322" s="7" t="s">
        <v>32</v>
      </c>
      <c r="Z322" s="7" t="s">
        <v>32</v>
      </c>
      <c r="AA322" s="7">
        <v>15967648</v>
      </c>
      <c r="AB322" s="7">
        <v>1</v>
      </c>
      <c r="AC322" s="7"/>
      <c r="AD322" s="7">
        <v>3</v>
      </c>
      <c r="AE322" s="7">
        <f t="shared" si="24"/>
        <v>37</v>
      </c>
      <c r="AF322" s="7">
        <v>14</v>
      </c>
      <c r="AG322" s="7">
        <v>23</v>
      </c>
      <c r="AH322" s="7" t="s">
        <v>2845</v>
      </c>
      <c r="AI322" s="7" t="s">
        <v>2845</v>
      </c>
      <c r="AJ322" s="7">
        <v>35</v>
      </c>
      <c r="AK322" s="7">
        <v>9</v>
      </c>
      <c r="AL322" s="7">
        <v>35</v>
      </c>
      <c r="AM322" s="7">
        <v>7</v>
      </c>
      <c r="AN322" s="7" t="s">
        <v>2902</v>
      </c>
      <c r="AO322" s="7" t="s">
        <v>1770</v>
      </c>
      <c r="AP322" s="7" t="s">
        <v>3405</v>
      </c>
      <c r="AQ322" s="7" t="s">
        <v>3259</v>
      </c>
      <c r="AR322" s="7" t="s">
        <v>1646</v>
      </c>
      <c r="AS322" s="7" t="s">
        <v>2920</v>
      </c>
      <c r="AT322" s="7" t="s">
        <v>1646</v>
      </c>
      <c r="AU322" s="7" t="s">
        <v>3408</v>
      </c>
      <c r="AV322" s="7" t="s">
        <v>2907</v>
      </c>
      <c r="AW322" s="7">
        <v>52</v>
      </c>
      <c r="AX322" s="7">
        <v>55</v>
      </c>
      <c r="AY322" s="7" t="s">
        <v>3414</v>
      </c>
      <c r="AZ322" s="7">
        <v>18.29</v>
      </c>
      <c r="BA322" s="7">
        <v>5.78</v>
      </c>
      <c r="BB322" s="7"/>
      <c r="BC322" s="7" t="s">
        <v>3420</v>
      </c>
      <c r="BD322" s="7">
        <v>20.61</v>
      </c>
      <c r="BE322" s="7">
        <v>5.64</v>
      </c>
      <c r="BF322" s="7"/>
    </row>
    <row r="323" spans="1:59" x14ac:dyDescent="0.2">
      <c r="A323" s="7">
        <v>90</v>
      </c>
      <c r="B323" s="7" t="s">
        <v>622</v>
      </c>
      <c r="C323" s="7" t="s">
        <v>623</v>
      </c>
      <c r="D323" s="7" t="s">
        <v>624</v>
      </c>
      <c r="E323" s="7" t="s">
        <v>611</v>
      </c>
      <c r="F323" s="7" t="s">
        <v>415</v>
      </c>
      <c r="G323" s="7">
        <v>2005</v>
      </c>
      <c r="H323" s="8">
        <v>38525</v>
      </c>
      <c r="I323" s="7" t="s">
        <v>32</v>
      </c>
      <c r="J323" s="7" t="s">
        <v>32</v>
      </c>
      <c r="K323" s="7" t="s">
        <v>625</v>
      </c>
      <c r="L323" s="7">
        <v>1</v>
      </c>
      <c r="M323" s="7" t="s">
        <v>32</v>
      </c>
      <c r="N323" s="7" t="s">
        <v>34</v>
      </c>
      <c r="O323" s="7" t="s">
        <v>34</v>
      </c>
      <c r="P323" s="7" t="s">
        <v>34</v>
      </c>
      <c r="Q323" s="7" t="s">
        <v>34</v>
      </c>
      <c r="R323" s="7" t="s">
        <v>34</v>
      </c>
      <c r="S323" s="7" t="s">
        <v>34</v>
      </c>
      <c r="T323" s="7" t="s">
        <v>34</v>
      </c>
      <c r="U323" s="7" t="s">
        <v>32</v>
      </c>
      <c r="V323" s="7">
        <v>1</v>
      </c>
      <c r="W323" s="7" t="s">
        <v>32</v>
      </c>
      <c r="X323" s="7" t="s">
        <v>32</v>
      </c>
      <c r="Y323" s="7" t="s">
        <v>32</v>
      </c>
      <c r="Z323" s="7" t="s">
        <v>32</v>
      </c>
      <c r="AA323" s="7">
        <v>15967648</v>
      </c>
      <c r="AB323" s="7">
        <v>1</v>
      </c>
      <c r="AC323" s="7"/>
      <c r="AD323" s="7">
        <v>3</v>
      </c>
      <c r="AE323" s="7">
        <f t="shared" si="24"/>
        <v>37</v>
      </c>
      <c r="AF323" s="7">
        <v>14</v>
      </c>
      <c r="AG323" s="7">
        <v>23</v>
      </c>
      <c r="AH323" s="7" t="s">
        <v>2845</v>
      </c>
      <c r="AI323" s="7" t="s">
        <v>2845</v>
      </c>
      <c r="AJ323" s="7">
        <v>35</v>
      </c>
      <c r="AK323" s="7">
        <v>9</v>
      </c>
      <c r="AL323" s="7">
        <v>35</v>
      </c>
      <c r="AM323" s="7">
        <v>7</v>
      </c>
      <c r="AN323" s="7" t="s">
        <v>2902</v>
      </c>
      <c r="AO323" s="7" t="s">
        <v>1770</v>
      </c>
      <c r="AP323" s="7" t="s">
        <v>3405</v>
      </c>
      <c r="AQ323" s="7" t="s">
        <v>3259</v>
      </c>
      <c r="AR323" s="7" t="s">
        <v>1646</v>
      </c>
      <c r="AS323" s="7" t="s">
        <v>2920</v>
      </c>
      <c r="AT323" s="7" t="s">
        <v>1646</v>
      </c>
      <c r="AU323" s="7" t="s">
        <v>3409</v>
      </c>
      <c r="AV323" s="7" t="s">
        <v>2907</v>
      </c>
      <c r="AW323" s="7">
        <v>52</v>
      </c>
      <c r="AX323" s="7">
        <v>55</v>
      </c>
      <c r="AY323" s="7" t="s">
        <v>3415</v>
      </c>
      <c r="AZ323" s="7">
        <v>80.5</v>
      </c>
      <c r="BA323" s="7">
        <v>11.44</v>
      </c>
      <c r="BB323" s="7"/>
      <c r="BC323" s="7" t="s">
        <v>3421</v>
      </c>
      <c r="BD323" s="7">
        <v>87.78</v>
      </c>
      <c r="BE323" s="7">
        <v>11.64</v>
      </c>
      <c r="BF323" s="7"/>
    </row>
    <row r="324" spans="1:59" x14ac:dyDescent="0.2">
      <c r="A324" s="7">
        <v>90</v>
      </c>
      <c r="B324" s="7" t="s">
        <v>622</v>
      </c>
      <c r="C324" s="7" t="s">
        <v>623</v>
      </c>
      <c r="D324" s="7" t="s">
        <v>624</v>
      </c>
      <c r="E324" s="7" t="s">
        <v>611</v>
      </c>
      <c r="F324" s="7" t="s">
        <v>415</v>
      </c>
      <c r="G324" s="7">
        <v>2005</v>
      </c>
      <c r="H324" s="8">
        <v>38525</v>
      </c>
      <c r="I324" s="7" t="s">
        <v>32</v>
      </c>
      <c r="J324" s="7" t="s">
        <v>32</v>
      </c>
      <c r="K324" s="7" t="s">
        <v>625</v>
      </c>
      <c r="L324" s="7">
        <v>1</v>
      </c>
      <c r="M324" s="7" t="s">
        <v>32</v>
      </c>
      <c r="N324" s="7" t="s">
        <v>34</v>
      </c>
      <c r="O324" s="7" t="s">
        <v>34</v>
      </c>
      <c r="P324" s="7" t="s">
        <v>34</v>
      </c>
      <c r="Q324" s="7" t="s">
        <v>34</v>
      </c>
      <c r="R324" s="7" t="s">
        <v>34</v>
      </c>
      <c r="S324" s="7" t="s">
        <v>34</v>
      </c>
      <c r="T324" s="7" t="s">
        <v>34</v>
      </c>
      <c r="U324" s="7" t="s">
        <v>32</v>
      </c>
      <c r="V324" s="7">
        <v>1</v>
      </c>
      <c r="W324" s="7" t="s">
        <v>32</v>
      </c>
      <c r="X324" s="7" t="s">
        <v>32</v>
      </c>
      <c r="Y324" s="7" t="s">
        <v>32</v>
      </c>
      <c r="Z324" s="7" t="s">
        <v>32</v>
      </c>
      <c r="AA324" s="7">
        <v>15967648</v>
      </c>
      <c r="AB324" s="7">
        <v>1</v>
      </c>
      <c r="AC324" s="7"/>
      <c r="AD324" s="7">
        <v>3</v>
      </c>
      <c r="AE324" s="7">
        <f t="shared" si="24"/>
        <v>37</v>
      </c>
      <c r="AF324" s="7">
        <v>14</v>
      </c>
      <c r="AG324" s="7">
        <v>23</v>
      </c>
      <c r="AH324" s="7" t="s">
        <v>2845</v>
      </c>
      <c r="AI324" s="7" t="s">
        <v>2845</v>
      </c>
      <c r="AJ324" s="7">
        <v>35</v>
      </c>
      <c r="AK324" s="7">
        <v>9</v>
      </c>
      <c r="AL324" s="7">
        <v>35</v>
      </c>
      <c r="AM324" s="7">
        <v>7</v>
      </c>
      <c r="AN324" s="7" t="s">
        <v>2902</v>
      </c>
      <c r="AO324" s="7" t="s">
        <v>1770</v>
      </c>
      <c r="AP324" s="7" t="s">
        <v>3405</v>
      </c>
      <c r="AQ324" s="7" t="s">
        <v>3259</v>
      </c>
      <c r="AR324" s="7" t="s">
        <v>1646</v>
      </c>
      <c r="AS324" s="7" t="s">
        <v>2920</v>
      </c>
      <c r="AT324" s="7" t="s">
        <v>1646</v>
      </c>
      <c r="AU324" s="7" t="s">
        <v>3410</v>
      </c>
      <c r="AV324" s="7" t="s">
        <v>2907</v>
      </c>
      <c r="AW324" s="7">
        <v>52</v>
      </c>
      <c r="AX324" s="7">
        <v>55</v>
      </c>
      <c r="AY324" s="7" t="s">
        <v>3416</v>
      </c>
      <c r="AZ324" s="7">
        <v>19.86</v>
      </c>
      <c r="BA324" s="7">
        <v>5.07</v>
      </c>
      <c r="BB324" s="7"/>
      <c r="BC324" s="7" t="s">
        <v>3422</v>
      </c>
      <c r="BD324" s="7">
        <v>20.74</v>
      </c>
      <c r="BE324" s="7">
        <v>4.34</v>
      </c>
      <c r="BF324" s="7"/>
    </row>
    <row r="325" spans="1:59" x14ac:dyDescent="0.2">
      <c r="A325" s="7">
        <v>90</v>
      </c>
      <c r="B325" s="7" t="s">
        <v>622</v>
      </c>
      <c r="C325" s="7" t="s">
        <v>623</v>
      </c>
      <c r="D325" s="7" t="s">
        <v>624</v>
      </c>
      <c r="E325" s="7" t="s">
        <v>611</v>
      </c>
      <c r="F325" s="7" t="s">
        <v>415</v>
      </c>
      <c r="G325" s="7">
        <v>2005</v>
      </c>
      <c r="H325" s="8">
        <v>38525</v>
      </c>
      <c r="I325" s="7" t="s">
        <v>32</v>
      </c>
      <c r="J325" s="7" t="s">
        <v>32</v>
      </c>
      <c r="K325" s="7" t="s">
        <v>625</v>
      </c>
      <c r="L325" s="7">
        <v>1</v>
      </c>
      <c r="M325" s="7" t="s">
        <v>32</v>
      </c>
      <c r="N325" s="7" t="s">
        <v>34</v>
      </c>
      <c r="O325" s="7" t="s">
        <v>34</v>
      </c>
      <c r="P325" s="7" t="s">
        <v>34</v>
      </c>
      <c r="Q325" s="7" t="s">
        <v>34</v>
      </c>
      <c r="R325" s="7" t="s">
        <v>34</v>
      </c>
      <c r="S325" s="7" t="s">
        <v>34</v>
      </c>
      <c r="T325" s="7" t="s">
        <v>34</v>
      </c>
      <c r="U325" s="7" t="s">
        <v>32</v>
      </c>
      <c r="V325" s="7">
        <v>1</v>
      </c>
      <c r="W325" s="7" t="s">
        <v>32</v>
      </c>
      <c r="X325" s="7" t="s">
        <v>32</v>
      </c>
      <c r="Y325" s="7" t="s">
        <v>32</v>
      </c>
      <c r="Z325" s="7" t="s">
        <v>32</v>
      </c>
      <c r="AA325" s="7">
        <v>15967648</v>
      </c>
      <c r="AB325" s="7">
        <v>1</v>
      </c>
      <c r="AC325" s="7"/>
      <c r="AD325" s="7">
        <v>3</v>
      </c>
      <c r="AE325" s="7">
        <f t="shared" si="24"/>
        <v>37</v>
      </c>
      <c r="AF325" s="7">
        <v>14</v>
      </c>
      <c r="AG325" s="7">
        <v>23</v>
      </c>
      <c r="AH325" s="7" t="s">
        <v>2845</v>
      </c>
      <c r="AI325" s="7" t="s">
        <v>2845</v>
      </c>
      <c r="AJ325" s="7">
        <v>35</v>
      </c>
      <c r="AK325" s="7">
        <v>9</v>
      </c>
      <c r="AL325" s="7">
        <v>35</v>
      </c>
      <c r="AM325" s="7">
        <v>7</v>
      </c>
      <c r="AN325" s="7" t="s">
        <v>2902</v>
      </c>
      <c r="AO325" s="7" t="s">
        <v>1770</v>
      </c>
      <c r="AP325" s="7" t="s">
        <v>3405</v>
      </c>
      <c r="AQ325" s="7" t="s">
        <v>3259</v>
      </c>
      <c r="AR325" s="7" t="s">
        <v>1646</v>
      </c>
      <c r="AS325" s="7" t="s">
        <v>2920</v>
      </c>
      <c r="AT325" s="7" t="s">
        <v>1646</v>
      </c>
      <c r="AU325" s="7" t="s">
        <v>3411</v>
      </c>
      <c r="AV325" s="7" t="s">
        <v>2907</v>
      </c>
      <c r="AW325" s="7">
        <v>52</v>
      </c>
      <c r="AX325" s="7">
        <v>55</v>
      </c>
      <c r="AY325" s="7" t="s">
        <v>3417</v>
      </c>
      <c r="AZ325" s="7">
        <v>18.29</v>
      </c>
      <c r="BA325" s="7">
        <v>5.21</v>
      </c>
      <c r="BB325" s="7"/>
      <c r="BC325" s="7" t="s">
        <v>3423</v>
      </c>
      <c r="BD325" s="7">
        <v>20.57</v>
      </c>
      <c r="BE325" s="7">
        <v>4.01</v>
      </c>
      <c r="BF325" s="7"/>
    </row>
    <row r="326" spans="1:59" x14ac:dyDescent="0.2">
      <c r="A326" s="7">
        <v>90</v>
      </c>
      <c r="B326" s="7" t="s">
        <v>622</v>
      </c>
      <c r="C326" s="7" t="s">
        <v>623</v>
      </c>
      <c r="D326" s="7" t="s">
        <v>624</v>
      </c>
      <c r="E326" s="7" t="s">
        <v>611</v>
      </c>
      <c r="F326" s="7" t="s">
        <v>415</v>
      </c>
      <c r="G326" s="7">
        <v>2005</v>
      </c>
      <c r="H326" s="8">
        <v>38525</v>
      </c>
      <c r="I326" s="7" t="s">
        <v>32</v>
      </c>
      <c r="J326" s="7" t="s">
        <v>32</v>
      </c>
      <c r="K326" s="7" t="s">
        <v>625</v>
      </c>
      <c r="L326" s="7">
        <v>1</v>
      </c>
      <c r="M326" s="7" t="s">
        <v>32</v>
      </c>
      <c r="N326" s="7" t="s">
        <v>34</v>
      </c>
      <c r="O326" s="7" t="s">
        <v>34</v>
      </c>
      <c r="P326" s="7" t="s">
        <v>34</v>
      </c>
      <c r="Q326" s="7" t="s">
        <v>34</v>
      </c>
      <c r="R326" s="7" t="s">
        <v>34</v>
      </c>
      <c r="S326" s="7" t="s">
        <v>34</v>
      </c>
      <c r="T326" s="7" t="s">
        <v>34</v>
      </c>
      <c r="U326" s="7" t="s">
        <v>32</v>
      </c>
      <c r="V326" s="7">
        <v>1</v>
      </c>
      <c r="W326" s="7" t="s">
        <v>32</v>
      </c>
      <c r="X326" s="7" t="s">
        <v>32</v>
      </c>
      <c r="Y326" s="7" t="s">
        <v>32</v>
      </c>
      <c r="Z326" s="7" t="s">
        <v>32</v>
      </c>
      <c r="AA326" s="7">
        <v>15967648</v>
      </c>
      <c r="AB326" s="7">
        <v>1</v>
      </c>
      <c r="AC326" s="7"/>
      <c r="AD326" s="7">
        <v>3</v>
      </c>
      <c r="AE326" s="7">
        <f t="shared" si="24"/>
        <v>37</v>
      </c>
      <c r="AF326" s="7">
        <v>14</v>
      </c>
      <c r="AG326" s="7">
        <v>23</v>
      </c>
      <c r="AH326" s="7" t="s">
        <v>2845</v>
      </c>
      <c r="AI326" s="7" t="s">
        <v>2845</v>
      </c>
      <c r="AJ326" s="7">
        <v>35</v>
      </c>
      <c r="AK326" s="7">
        <v>9</v>
      </c>
      <c r="AL326" s="7">
        <v>35</v>
      </c>
      <c r="AM326" s="7">
        <v>7</v>
      </c>
      <c r="AN326" s="7" t="s">
        <v>2902</v>
      </c>
      <c r="AO326" s="7" t="s">
        <v>1770</v>
      </c>
      <c r="AP326" s="7" t="s">
        <v>3405</v>
      </c>
      <c r="AQ326" s="7" t="s">
        <v>3259</v>
      </c>
      <c r="AR326" s="7" t="s">
        <v>1646</v>
      </c>
      <c r="AS326" s="7" t="s">
        <v>2920</v>
      </c>
      <c r="AT326" s="7" t="s">
        <v>1646</v>
      </c>
      <c r="AU326" t="s">
        <v>3412</v>
      </c>
      <c r="AV326" s="7" t="s">
        <v>2907</v>
      </c>
      <c r="AW326" s="7">
        <v>52</v>
      </c>
      <c r="AX326" s="7">
        <v>55</v>
      </c>
      <c r="AY326" s="7" t="s">
        <v>3418</v>
      </c>
      <c r="AZ326" s="7">
        <v>93.57</v>
      </c>
      <c r="BA326" s="7">
        <v>19.07</v>
      </c>
      <c r="BB326" s="7"/>
      <c r="BC326" s="7" t="s">
        <v>3424</v>
      </c>
      <c r="BD326" s="7">
        <v>100.17</v>
      </c>
      <c r="BE326" s="7">
        <v>13.52</v>
      </c>
      <c r="BF326" s="7"/>
    </row>
    <row r="327" spans="1:59" x14ac:dyDescent="0.2">
      <c r="A327" s="7">
        <v>90</v>
      </c>
      <c r="B327" s="7" t="s">
        <v>622</v>
      </c>
      <c r="C327" s="7" t="s">
        <v>623</v>
      </c>
      <c r="D327" s="7" t="s">
        <v>624</v>
      </c>
      <c r="E327" s="7" t="s">
        <v>611</v>
      </c>
      <c r="F327" s="7" t="s">
        <v>415</v>
      </c>
      <c r="G327" s="7">
        <v>2005</v>
      </c>
      <c r="H327" s="8">
        <v>38525</v>
      </c>
      <c r="I327" s="7" t="s">
        <v>32</v>
      </c>
      <c r="J327" s="7" t="s">
        <v>32</v>
      </c>
      <c r="K327" s="7" t="s">
        <v>625</v>
      </c>
      <c r="L327" s="7">
        <v>1</v>
      </c>
      <c r="M327" s="7" t="s">
        <v>32</v>
      </c>
      <c r="N327" s="7" t="s">
        <v>34</v>
      </c>
      <c r="O327" s="7" t="s">
        <v>34</v>
      </c>
      <c r="P327" s="7" t="s">
        <v>34</v>
      </c>
      <c r="Q327" s="7" t="s">
        <v>34</v>
      </c>
      <c r="R327" s="7" t="s">
        <v>34</v>
      </c>
      <c r="S327" s="7" t="s">
        <v>34</v>
      </c>
      <c r="T327" s="7" t="s">
        <v>34</v>
      </c>
      <c r="U327" s="7" t="s">
        <v>32</v>
      </c>
      <c r="V327" s="7">
        <v>1</v>
      </c>
      <c r="W327" s="7" t="s">
        <v>32</v>
      </c>
      <c r="X327" s="7" t="s">
        <v>32</v>
      </c>
      <c r="Y327" s="7" t="s">
        <v>32</v>
      </c>
      <c r="Z327" s="7" t="s">
        <v>32</v>
      </c>
      <c r="AA327" s="7">
        <v>15967648</v>
      </c>
      <c r="AB327" s="7">
        <v>1</v>
      </c>
      <c r="AC327" s="7"/>
      <c r="AD327" s="7">
        <v>3</v>
      </c>
      <c r="AE327" s="7">
        <f t="shared" si="24"/>
        <v>36</v>
      </c>
      <c r="AF327" s="7">
        <v>14</v>
      </c>
      <c r="AG327" s="7">
        <v>22</v>
      </c>
      <c r="AH327" s="7" t="s">
        <v>2845</v>
      </c>
      <c r="AI327" s="7" t="s">
        <v>2845</v>
      </c>
      <c r="AJ327" s="7">
        <v>35</v>
      </c>
      <c r="AK327" s="7">
        <v>9</v>
      </c>
      <c r="AL327" s="7">
        <v>39</v>
      </c>
      <c r="AM327" s="7">
        <v>7</v>
      </c>
      <c r="AN327" s="7" t="s">
        <v>2902</v>
      </c>
      <c r="AO327" s="7" t="s">
        <v>1638</v>
      </c>
      <c r="AP327" s="7" t="s">
        <v>3405</v>
      </c>
      <c r="AQ327" s="7" t="s">
        <v>3259</v>
      </c>
      <c r="AR327" s="7" t="s">
        <v>1646</v>
      </c>
      <c r="AS327" s="7" t="s">
        <v>2920</v>
      </c>
      <c r="AT327" s="7" t="s">
        <v>1646</v>
      </c>
      <c r="AU327" s="7" t="s">
        <v>3407</v>
      </c>
      <c r="AV327" s="7" t="s">
        <v>2848</v>
      </c>
      <c r="AW327" s="7">
        <v>52</v>
      </c>
      <c r="AX327" s="7">
        <v>56</v>
      </c>
      <c r="AY327" s="7" t="s">
        <v>3413</v>
      </c>
      <c r="AZ327" s="7">
        <v>22.64</v>
      </c>
      <c r="BA327" s="7">
        <v>5.85</v>
      </c>
      <c r="BB327" s="7"/>
      <c r="BC327" s="7" t="s">
        <v>3425</v>
      </c>
      <c r="BD327" s="7">
        <v>26.5</v>
      </c>
      <c r="BE327" s="7">
        <v>6.12</v>
      </c>
      <c r="BF327" s="7"/>
    </row>
    <row r="328" spans="1:59" x14ac:dyDescent="0.2">
      <c r="A328" s="7">
        <v>90</v>
      </c>
      <c r="B328" s="7" t="s">
        <v>622</v>
      </c>
      <c r="C328" s="7" t="s">
        <v>623</v>
      </c>
      <c r="D328" s="7" t="s">
        <v>624</v>
      </c>
      <c r="E328" s="7" t="s">
        <v>611</v>
      </c>
      <c r="F328" s="7" t="s">
        <v>415</v>
      </c>
      <c r="G328" s="7">
        <v>2005</v>
      </c>
      <c r="H328" s="8">
        <v>38525</v>
      </c>
      <c r="I328" s="7" t="s">
        <v>32</v>
      </c>
      <c r="J328" s="7" t="s">
        <v>32</v>
      </c>
      <c r="K328" s="7" t="s">
        <v>625</v>
      </c>
      <c r="L328" s="7">
        <v>1</v>
      </c>
      <c r="M328" s="7" t="s">
        <v>32</v>
      </c>
      <c r="N328" s="7" t="s">
        <v>34</v>
      </c>
      <c r="O328" s="7" t="s">
        <v>34</v>
      </c>
      <c r="P328" s="7" t="s">
        <v>34</v>
      </c>
      <c r="Q328" s="7" t="s">
        <v>34</v>
      </c>
      <c r="R328" s="7" t="s">
        <v>34</v>
      </c>
      <c r="S328" s="7" t="s">
        <v>34</v>
      </c>
      <c r="T328" s="7" t="s">
        <v>34</v>
      </c>
      <c r="U328" s="7" t="s">
        <v>32</v>
      </c>
      <c r="V328" s="7">
        <v>1</v>
      </c>
      <c r="W328" s="7" t="s">
        <v>32</v>
      </c>
      <c r="X328" s="7" t="s">
        <v>32</v>
      </c>
      <c r="Y328" s="7" t="s">
        <v>32</v>
      </c>
      <c r="Z328" s="7" t="s">
        <v>32</v>
      </c>
      <c r="AA328" s="7">
        <v>15967648</v>
      </c>
      <c r="AB328" s="7">
        <v>1</v>
      </c>
      <c r="AC328" s="7"/>
      <c r="AD328" s="7">
        <v>3</v>
      </c>
      <c r="AE328" s="7">
        <f t="shared" si="24"/>
        <v>36</v>
      </c>
      <c r="AF328" s="7">
        <v>14</v>
      </c>
      <c r="AG328" s="7">
        <v>22</v>
      </c>
      <c r="AH328" s="7" t="s">
        <v>2845</v>
      </c>
      <c r="AI328" s="7" t="s">
        <v>2845</v>
      </c>
      <c r="AJ328" s="7">
        <v>35</v>
      </c>
      <c r="AK328" s="7">
        <v>9</v>
      </c>
      <c r="AL328" s="7">
        <v>39</v>
      </c>
      <c r="AM328" s="7">
        <v>7</v>
      </c>
      <c r="AN328" s="7" t="s">
        <v>2902</v>
      </c>
      <c r="AO328" s="7" t="s">
        <v>1638</v>
      </c>
      <c r="AP328" s="7" t="s">
        <v>3405</v>
      </c>
      <c r="AQ328" s="7" t="s">
        <v>3259</v>
      </c>
      <c r="AR328" s="7" t="s">
        <v>1646</v>
      </c>
      <c r="AS328" s="7" t="s">
        <v>2920</v>
      </c>
      <c r="AT328" s="7" t="s">
        <v>1646</v>
      </c>
      <c r="AU328" s="7" t="s">
        <v>3408</v>
      </c>
      <c r="AV328" s="7" t="s">
        <v>2848</v>
      </c>
      <c r="AW328" s="7">
        <v>52</v>
      </c>
      <c r="AX328" s="7">
        <v>56</v>
      </c>
      <c r="AY328" s="7" t="s">
        <v>3414</v>
      </c>
      <c r="AZ328" s="7">
        <v>18.29</v>
      </c>
      <c r="BA328" s="7">
        <v>5.78</v>
      </c>
      <c r="BB328" s="7"/>
      <c r="BC328" s="7" t="s">
        <v>3426</v>
      </c>
      <c r="BD328" s="7">
        <v>23.73</v>
      </c>
      <c r="BE328" s="7">
        <v>6.98</v>
      </c>
      <c r="BF328" s="7"/>
    </row>
    <row r="329" spans="1:59" x14ac:dyDescent="0.2">
      <c r="A329" s="7">
        <v>90</v>
      </c>
      <c r="B329" s="7" t="s">
        <v>622</v>
      </c>
      <c r="C329" s="7" t="s">
        <v>623</v>
      </c>
      <c r="D329" s="7" t="s">
        <v>624</v>
      </c>
      <c r="E329" s="7" t="s">
        <v>611</v>
      </c>
      <c r="F329" s="7" t="s">
        <v>415</v>
      </c>
      <c r="G329" s="7">
        <v>2005</v>
      </c>
      <c r="H329" s="8">
        <v>38525</v>
      </c>
      <c r="I329" s="7" t="s">
        <v>32</v>
      </c>
      <c r="J329" s="7" t="s">
        <v>32</v>
      </c>
      <c r="K329" s="7" t="s">
        <v>625</v>
      </c>
      <c r="L329" s="7">
        <v>1</v>
      </c>
      <c r="M329" s="7" t="s">
        <v>32</v>
      </c>
      <c r="N329" s="7" t="s">
        <v>34</v>
      </c>
      <c r="O329" s="7" t="s">
        <v>34</v>
      </c>
      <c r="P329" s="7" t="s">
        <v>34</v>
      </c>
      <c r="Q329" s="7" t="s">
        <v>34</v>
      </c>
      <c r="R329" s="7" t="s">
        <v>34</v>
      </c>
      <c r="S329" s="7" t="s">
        <v>34</v>
      </c>
      <c r="T329" s="7" t="s">
        <v>34</v>
      </c>
      <c r="U329" s="7" t="s">
        <v>32</v>
      </c>
      <c r="V329" s="7">
        <v>1</v>
      </c>
      <c r="W329" s="7" t="s">
        <v>32</v>
      </c>
      <c r="X329" s="7" t="s">
        <v>32</v>
      </c>
      <c r="Y329" s="7" t="s">
        <v>32</v>
      </c>
      <c r="Z329" s="7" t="s">
        <v>32</v>
      </c>
      <c r="AA329" s="7">
        <v>15967648</v>
      </c>
      <c r="AB329" s="7">
        <v>1</v>
      </c>
      <c r="AC329" s="7"/>
      <c r="AD329" s="7">
        <v>3</v>
      </c>
      <c r="AE329" s="7">
        <f t="shared" si="24"/>
        <v>36</v>
      </c>
      <c r="AF329" s="7">
        <v>14</v>
      </c>
      <c r="AG329" s="7">
        <v>22</v>
      </c>
      <c r="AH329" s="7" t="s">
        <v>2845</v>
      </c>
      <c r="AI329" s="7" t="s">
        <v>2845</v>
      </c>
      <c r="AJ329" s="7">
        <v>35</v>
      </c>
      <c r="AK329" s="7">
        <v>9</v>
      </c>
      <c r="AL329" s="7">
        <v>39</v>
      </c>
      <c r="AM329" s="7">
        <v>7</v>
      </c>
      <c r="AN329" s="7" t="s">
        <v>2902</v>
      </c>
      <c r="AO329" s="7" t="s">
        <v>1638</v>
      </c>
      <c r="AP329" s="7" t="s">
        <v>3405</v>
      </c>
      <c r="AQ329" s="7" t="s">
        <v>3259</v>
      </c>
      <c r="AR329" s="7" t="s">
        <v>1646</v>
      </c>
      <c r="AS329" s="7" t="s">
        <v>2920</v>
      </c>
      <c r="AT329" s="7" t="s">
        <v>1646</v>
      </c>
      <c r="AU329" s="7" t="s">
        <v>3409</v>
      </c>
      <c r="AV329" s="7" t="s">
        <v>2848</v>
      </c>
      <c r="AW329" s="7">
        <v>52</v>
      </c>
      <c r="AX329" s="7">
        <v>56</v>
      </c>
      <c r="AY329" s="7" t="s">
        <v>3415</v>
      </c>
      <c r="AZ329" s="7">
        <v>80.5</v>
      </c>
      <c r="BA329" s="7">
        <v>11.44</v>
      </c>
      <c r="BB329" s="7"/>
      <c r="BC329" s="7" t="s">
        <v>3427</v>
      </c>
      <c r="BD329" s="7">
        <v>88.59</v>
      </c>
      <c r="BE329" s="7">
        <v>9.4700000000000006</v>
      </c>
      <c r="BF329" s="7"/>
    </row>
    <row r="330" spans="1:59" x14ac:dyDescent="0.2">
      <c r="A330" s="7">
        <v>90</v>
      </c>
      <c r="B330" s="7" t="s">
        <v>622</v>
      </c>
      <c r="C330" s="7" t="s">
        <v>623</v>
      </c>
      <c r="D330" s="7" t="s">
        <v>624</v>
      </c>
      <c r="E330" s="7" t="s">
        <v>611</v>
      </c>
      <c r="F330" s="7" t="s">
        <v>415</v>
      </c>
      <c r="G330" s="7">
        <v>2005</v>
      </c>
      <c r="H330" s="8">
        <v>38525</v>
      </c>
      <c r="I330" s="7" t="s">
        <v>32</v>
      </c>
      <c r="J330" s="7" t="s">
        <v>32</v>
      </c>
      <c r="K330" s="7" t="s">
        <v>625</v>
      </c>
      <c r="L330" s="7">
        <v>1</v>
      </c>
      <c r="M330" s="7" t="s">
        <v>32</v>
      </c>
      <c r="N330" s="7" t="s">
        <v>34</v>
      </c>
      <c r="O330" s="7" t="s">
        <v>34</v>
      </c>
      <c r="P330" s="7" t="s">
        <v>34</v>
      </c>
      <c r="Q330" s="7" t="s">
        <v>34</v>
      </c>
      <c r="R330" s="7" t="s">
        <v>34</v>
      </c>
      <c r="S330" s="7" t="s">
        <v>34</v>
      </c>
      <c r="T330" s="7" t="s">
        <v>34</v>
      </c>
      <c r="U330" s="7" t="s">
        <v>32</v>
      </c>
      <c r="V330" s="7">
        <v>1</v>
      </c>
      <c r="W330" s="7" t="s">
        <v>32</v>
      </c>
      <c r="X330" s="7" t="s">
        <v>32</v>
      </c>
      <c r="Y330" s="7" t="s">
        <v>32</v>
      </c>
      <c r="Z330" s="7" t="s">
        <v>32</v>
      </c>
      <c r="AA330" s="7">
        <v>15967648</v>
      </c>
      <c r="AB330" s="7">
        <v>1</v>
      </c>
      <c r="AC330" s="7"/>
      <c r="AD330" s="7">
        <v>3</v>
      </c>
      <c r="AE330" s="7">
        <f t="shared" si="24"/>
        <v>36</v>
      </c>
      <c r="AF330" s="7">
        <v>14</v>
      </c>
      <c r="AG330" s="7">
        <v>22</v>
      </c>
      <c r="AH330" s="7" t="s">
        <v>2845</v>
      </c>
      <c r="AI330" s="7" t="s">
        <v>2845</v>
      </c>
      <c r="AJ330" s="7">
        <v>35</v>
      </c>
      <c r="AK330" s="7">
        <v>9</v>
      </c>
      <c r="AL330" s="7">
        <v>39</v>
      </c>
      <c r="AM330" s="7">
        <v>7</v>
      </c>
      <c r="AN330" s="7" t="s">
        <v>2902</v>
      </c>
      <c r="AO330" s="7" t="s">
        <v>1638</v>
      </c>
      <c r="AP330" s="7" t="s">
        <v>3405</v>
      </c>
      <c r="AQ330" s="7" t="s">
        <v>3259</v>
      </c>
      <c r="AR330" s="7" t="s">
        <v>1646</v>
      </c>
      <c r="AS330" s="7" t="s">
        <v>2920</v>
      </c>
      <c r="AT330" s="7" t="s">
        <v>1646</v>
      </c>
      <c r="AU330" s="7" t="s">
        <v>3410</v>
      </c>
      <c r="AV330" s="7" t="s">
        <v>2848</v>
      </c>
      <c r="AW330" s="7">
        <v>52</v>
      </c>
      <c r="AX330" s="7">
        <v>56</v>
      </c>
      <c r="AY330" s="7" t="s">
        <v>3416</v>
      </c>
      <c r="AZ330" s="7">
        <v>19.86</v>
      </c>
      <c r="BA330" s="7">
        <v>5.07</v>
      </c>
      <c r="BB330" s="7"/>
      <c r="BC330" s="7" t="s">
        <v>3428</v>
      </c>
      <c r="BD330" s="7">
        <v>19.73</v>
      </c>
      <c r="BE330" s="7">
        <v>4.17</v>
      </c>
      <c r="BF330" s="7"/>
    </row>
    <row r="331" spans="1:59" x14ac:dyDescent="0.2">
      <c r="A331" s="7">
        <v>90</v>
      </c>
      <c r="B331" s="7" t="s">
        <v>622</v>
      </c>
      <c r="C331" s="7" t="s">
        <v>623</v>
      </c>
      <c r="D331" s="7" t="s">
        <v>624</v>
      </c>
      <c r="E331" s="7" t="s">
        <v>611</v>
      </c>
      <c r="F331" s="7" t="s">
        <v>415</v>
      </c>
      <c r="G331" s="7">
        <v>2005</v>
      </c>
      <c r="H331" s="8">
        <v>38525</v>
      </c>
      <c r="I331" s="7" t="s">
        <v>32</v>
      </c>
      <c r="J331" s="7" t="s">
        <v>32</v>
      </c>
      <c r="K331" s="7" t="s">
        <v>625</v>
      </c>
      <c r="L331" s="7">
        <v>1</v>
      </c>
      <c r="M331" s="7" t="s">
        <v>32</v>
      </c>
      <c r="N331" s="7" t="s">
        <v>34</v>
      </c>
      <c r="O331" s="7" t="s">
        <v>34</v>
      </c>
      <c r="P331" s="7" t="s">
        <v>34</v>
      </c>
      <c r="Q331" s="7" t="s">
        <v>34</v>
      </c>
      <c r="R331" s="7" t="s">
        <v>34</v>
      </c>
      <c r="S331" s="7" t="s">
        <v>34</v>
      </c>
      <c r="T331" s="7" t="s">
        <v>34</v>
      </c>
      <c r="U331" s="7" t="s">
        <v>32</v>
      </c>
      <c r="V331" s="7">
        <v>1</v>
      </c>
      <c r="W331" s="7" t="s">
        <v>32</v>
      </c>
      <c r="X331" s="7" t="s">
        <v>32</v>
      </c>
      <c r="Y331" s="7" t="s">
        <v>32</v>
      </c>
      <c r="Z331" s="7" t="s">
        <v>32</v>
      </c>
      <c r="AA331" s="7">
        <v>15967648</v>
      </c>
      <c r="AB331" s="7">
        <v>1</v>
      </c>
      <c r="AC331" s="7"/>
      <c r="AD331" s="7">
        <v>3</v>
      </c>
      <c r="AE331" s="7">
        <f t="shared" si="24"/>
        <v>36</v>
      </c>
      <c r="AF331" s="7">
        <v>14</v>
      </c>
      <c r="AG331" s="7">
        <v>22</v>
      </c>
      <c r="AH331" s="7" t="s">
        <v>2845</v>
      </c>
      <c r="AI331" s="7" t="s">
        <v>2845</v>
      </c>
      <c r="AJ331" s="7">
        <v>35</v>
      </c>
      <c r="AK331" s="7">
        <v>9</v>
      </c>
      <c r="AL331" s="7">
        <v>39</v>
      </c>
      <c r="AM331" s="7">
        <v>7</v>
      </c>
      <c r="AN331" s="7" t="s">
        <v>2902</v>
      </c>
      <c r="AO331" s="7" t="s">
        <v>1638</v>
      </c>
      <c r="AP331" s="7" t="s">
        <v>3405</v>
      </c>
      <c r="AQ331" s="7" t="s">
        <v>3259</v>
      </c>
      <c r="AR331" s="7" t="s">
        <v>1646</v>
      </c>
      <c r="AS331" s="7" t="s">
        <v>2920</v>
      </c>
      <c r="AT331" s="7" t="s">
        <v>1646</v>
      </c>
      <c r="AU331" s="7" t="s">
        <v>3411</v>
      </c>
      <c r="AV331" s="7" t="s">
        <v>2848</v>
      </c>
      <c r="AW331" s="7">
        <v>52</v>
      </c>
      <c r="AX331" s="7">
        <v>56</v>
      </c>
      <c r="AY331" s="7" t="s">
        <v>3417</v>
      </c>
      <c r="AZ331" s="7">
        <v>18.29</v>
      </c>
      <c r="BA331" s="7">
        <v>5.21</v>
      </c>
      <c r="BB331" s="7"/>
      <c r="BC331" s="7" t="s">
        <v>3429</v>
      </c>
      <c r="BD331" s="7">
        <v>19.32</v>
      </c>
      <c r="BE331" s="7">
        <v>4.3600000000000003</v>
      </c>
      <c r="BF331" s="7"/>
    </row>
    <row r="332" spans="1:59" x14ac:dyDescent="0.2">
      <c r="A332" s="7">
        <v>90</v>
      </c>
      <c r="B332" s="7" t="s">
        <v>622</v>
      </c>
      <c r="C332" s="7" t="s">
        <v>623</v>
      </c>
      <c r="D332" s="7" t="s">
        <v>624</v>
      </c>
      <c r="E332" s="7" t="s">
        <v>611</v>
      </c>
      <c r="F332" s="7" t="s">
        <v>415</v>
      </c>
      <c r="G332" s="7">
        <v>2005</v>
      </c>
      <c r="H332" s="8">
        <v>38525</v>
      </c>
      <c r="I332" s="7" t="s">
        <v>32</v>
      </c>
      <c r="J332" s="7" t="s">
        <v>32</v>
      </c>
      <c r="K332" s="7" t="s">
        <v>625</v>
      </c>
      <c r="L332" s="7">
        <v>1</v>
      </c>
      <c r="M332" s="7" t="s">
        <v>32</v>
      </c>
      <c r="N332" s="7" t="s">
        <v>34</v>
      </c>
      <c r="O332" s="7" t="s">
        <v>34</v>
      </c>
      <c r="P332" s="7" t="s">
        <v>34</v>
      </c>
      <c r="Q332" s="7" t="s">
        <v>34</v>
      </c>
      <c r="R332" s="7" t="s">
        <v>34</v>
      </c>
      <c r="S332" s="7" t="s">
        <v>34</v>
      </c>
      <c r="T332" s="7" t="s">
        <v>34</v>
      </c>
      <c r="U332" s="7" t="s">
        <v>32</v>
      </c>
      <c r="V332" s="7">
        <v>1</v>
      </c>
      <c r="W332" s="7" t="s">
        <v>32</v>
      </c>
      <c r="X332" s="7" t="s">
        <v>32</v>
      </c>
      <c r="Y332" s="7" t="s">
        <v>32</v>
      </c>
      <c r="Z332" s="7" t="s">
        <v>32</v>
      </c>
      <c r="AA332" s="7">
        <v>15967648</v>
      </c>
      <c r="AB332" s="7">
        <v>1</v>
      </c>
      <c r="AC332" s="7"/>
      <c r="AD332" s="7">
        <v>3</v>
      </c>
      <c r="AE332" s="7">
        <f t="shared" si="24"/>
        <v>36</v>
      </c>
      <c r="AF332" s="7">
        <v>14</v>
      </c>
      <c r="AG332" s="7">
        <v>22</v>
      </c>
      <c r="AH332" s="7" t="s">
        <v>2845</v>
      </c>
      <c r="AI332" s="7" t="s">
        <v>2845</v>
      </c>
      <c r="AJ332" s="7">
        <v>35</v>
      </c>
      <c r="AK332" s="7">
        <v>9</v>
      </c>
      <c r="AL332" s="7">
        <v>39</v>
      </c>
      <c r="AM332" s="7">
        <v>7</v>
      </c>
      <c r="AN332" s="7" t="s">
        <v>2902</v>
      </c>
      <c r="AO332" s="7" t="s">
        <v>1638</v>
      </c>
      <c r="AP332" s="7" t="s">
        <v>3405</v>
      </c>
      <c r="AQ332" s="7" t="s">
        <v>3259</v>
      </c>
      <c r="AR332" s="7" t="s">
        <v>1646</v>
      </c>
      <c r="AS332" s="7" t="s">
        <v>2920</v>
      </c>
      <c r="AT332" s="7" t="s">
        <v>1646</v>
      </c>
      <c r="AU332" t="s">
        <v>3412</v>
      </c>
      <c r="AV332" s="7" t="s">
        <v>2848</v>
      </c>
      <c r="AW332" s="7">
        <v>52</v>
      </c>
      <c r="AX332" s="7">
        <v>56</v>
      </c>
      <c r="AY332" s="7" t="s">
        <v>3418</v>
      </c>
      <c r="AZ332" s="7">
        <v>93.57</v>
      </c>
      <c r="BA332" s="7">
        <v>19.07</v>
      </c>
      <c r="BB332" s="7"/>
      <c r="BC332" s="7" t="s">
        <v>3430</v>
      </c>
      <c r="BD332" s="7">
        <v>98.09</v>
      </c>
      <c r="BE332" s="7">
        <v>10.99</v>
      </c>
      <c r="BF332" s="7"/>
    </row>
    <row r="333" spans="1:59" x14ac:dyDescent="0.2">
      <c r="A333" s="7">
        <v>90</v>
      </c>
      <c r="B333" s="7" t="s">
        <v>622</v>
      </c>
      <c r="C333" s="7" t="s">
        <v>623</v>
      </c>
      <c r="D333" s="7" t="s">
        <v>624</v>
      </c>
      <c r="E333" s="7" t="s">
        <v>611</v>
      </c>
      <c r="F333" s="7" t="s">
        <v>415</v>
      </c>
      <c r="G333" s="7">
        <v>2005</v>
      </c>
      <c r="H333" s="8">
        <v>38525</v>
      </c>
      <c r="I333" s="7" t="s">
        <v>32</v>
      </c>
      <c r="J333" s="7" t="s">
        <v>32</v>
      </c>
      <c r="K333" s="7" t="s">
        <v>625</v>
      </c>
      <c r="L333" s="7">
        <v>1</v>
      </c>
      <c r="M333" s="7" t="s">
        <v>32</v>
      </c>
      <c r="N333" s="7" t="s">
        <v>34</v>
      </c>
      <c r="O333" s="7" t="s">
        <v>34</v>
      </c>
      <c r="P333" s="7" t="s">
        <v>34</v>
      </c>
      <c r="Q333" s="7" t="s">
        <v>34</v>
      </c>
      <c r="R333" s="7" t="s">
        <v>34</v>
      </c>
      <c r="S333" s="7" t="s">
        <v>34</v>
      </c>
      <c r="T333" s="7" t="s">
        <v>34</v>
      </c>
      <c r="U333" s="7" t="s">
        <v>32</v>
      </c>
      <c r="V333" s="7">
        <v>1</v>
      </c>
      <c r="W333" s="7" t="s">
        <v>32</v>
      </c>
      <c r="X333" s="7" t="s">
        <v>32</v>
      </c>
      <c r="Y333" s="7" t="s">
        <v>32</v>
      </c>
      <c r="Z333" s="7" t="s">
        <v>32</v>
      </c>
      <c r="AA333" s="7">
        <v>15967648</v>
      </c>
      <c r="AB333" s="7">
        <v>1</v>
      </c>
      <c r="AC333" s="7"/>
      <c r="AD333" s="7">
        <v>3</v>
      </c>
      <c r="AE333" s="7">
        <f t="shared" si="24"/>
        <v>43</v>
      </c>
      <c r="AF333" s="7">
        <v>14</v>
      </c>
      <c r="AG333" s="7">
        <v>29</v>
      </c>
      <c r="AH333" s="7" t="s">
        <v>2845</v>
      </c>
      <c r="AI333" s="7" t="s">
        <v>2845</v>
      </c>
      <c r="AJ333" s="7">
        <v>35</v>
      </c>
      <c r="AK333" s="7">
        <v>9</v>
      </c>
      <c r="AL333" s="7">
        <v>34</v>
      </c>
      <c r="AM333" s="7">
        <v>10</v>
      </c>
      <c r="AN333" s="7" t="s">
        <v>2902</v>
      </c>
      <c r="AO333" s="7" t="s">
        <v>1638</v>
      </c>
      <c r="AP333" s="7" t="s">
        <v>3405</v>
      </c>
      <c r="AQ333" s="7" t="s">
        <v>3259</v>
      </c>
      <c r="AR333" s="7" t="s">
        <v>1646</v>
      </c>
      <c r="AS333" s="7" t="s">
        <v>2920</v>
      </c>
      <c r="AT333" s="7" t="s">
        <v>1646</v>
      </c>
      <c r="AU333" s="7" t="s">
        <v>3407</v>
      </c>
      <c r="AV333" s="7" t="s">
        <v>2848</v>
      </c>
      <c r="AW333" s="7">
        <v>52</v>
      </c>
      <c r="AX333" s="7">
        <v>57</v>
      </c>
      <c r="AY333" s="7" t="s">
        <v>3413</v>
      </c>
      <c r="AZ333" s="7">
        <v>22.64</v>
      </c>
      <c r="BA333" s="7">
        <v>5.85</v>
      </c>
      <c r="BB333" s="7"/>
      <c r="BC333" s="7" t="s">
        <v>3431</v>
      </c>
      <c r="BD333" s="7">
        <v>32</v>
      </c>
      <c r="BE333" s="7">
        <v>5.56</v>
      </c>
      <c r="BF333" s="7"/>
    </row>
    <row r="334" spans="1:59" x14ac:dyDescent="0.2">
      <c r="A334" s="7">
        <v>90</v>
      </c>
      <c r="B334" s="7" t="s">
        <v>622</v>
      </c>
      <c r="C334" s="7" t="s">
        <v>623</v>
      </c>
      <c r="D334" s="7" t="s">
        <v>624</v>
      </c>
      <c r="E334" s="7" t="s">
        <v>611</v>
      </c>
      <c r="F334" s="7" t="s">
        <v>415</v>
      </c>
      <c r="G334" s="7">
        <v>2005</v>
      </c>
      <c r="H334" s="8">
        <v>38525</v>
      </c>
      <c r="I334" s="7" t="s">
        <v>32</v>
      </c>
      <c r="J334" s="7" t="s">
        <v>32</v>
      </c>
      <c r="K334" s="7" t="s">
        <v>625</v>
      </c>
      <c r="L334" s="7">
        <v>1</v>
      </c>
      <c r="M334" s="7" t="s">
        <v>32</v>
      </c>
      <c r="N334" s="7" t="s">
        <v>34</v>
      </c>
      <c r="O334" s="7" t="s">
        <v>34</v>
      </c>
      <c r="P334" s="7" t="s">
        <v>34</v>
      </c>
      <c r="Q334" s="7" t="s">
        <v>34</v>
      </c>
      <c r="R334" s="7" t="s">
        <v>34</v>
      </c>
      <c r="S334" s="7" t="s">
        <v>34</v>
      </c>
      <c r="T334" s="7" t="s">
        <v>34</v>
      </c>
      <c r="U334" s="7" t="s">
        <v>32</v>
      </c>
      <c r="V334" s="7">
        <v>1</v>
      </c>
      <c r="W334" s="7" t="s">
        <v>32</v>
      </c>
      <c r="X334" s="7" t="s">
        <v>32</v>
      </c>
      <c r="Y334" s="7" t="s">
        <v>32</v>
      </c>
      <c r="Z334" s="7" t="s">
        <v>32</v>
      </c>
      <c r="AA334" s="7">
        <v>15967648</v>
      </c>
      <c r="AB334" s="7">
        <v>1</v>
      </c>
      <c r="AC334" s="7"/>
      <c r="AD334" s="7">
        <v>3</v>
      </c>
      <c r="AE334" s="7">
        <f t="shared" si="24"/>
        <v>43</v>
      </c>
      <c r="AF334" s="7">
        <v>14</v>
      </c>
      <c r="AG334" s="7">
        <v>29</v>
      </c>
      <c r="AH334" s="7" t="s">
        <v>2845</v>
      </c>
      <c r="AI334" s="7" t="s">
        <v>2845</v>
      </c>
      <c r="AJ334" s="7">
        <v>35</v>
      </c>
      <c r="AK334" s="7">
        <v>9</v>
      </c>
      <c r="AL334" s="7">
        <v>34</v>
      </c>
      <c r="AM334" s="7">
        <v>10</v>
      </c>
      <c r="AN334" s="7" t="s">
        <v>2902</v>
      </c>
      <c r="AO334" s="7" t="s">
        <v>1638</v>
      </c>
      <c r="AP334" s="7" t="s">
        <v>3405</v>
      </c>
      <c r="AQ334" s="7" t="s">
        <v>3259</v>
      </c>
      <c r="AR334" s="7" t="s">
        <v>1646</v>
      </c>
      <c r="AS334" s="7" t="s">
        <v>2920</v>
      </c>
      <c r="AT334" s="7" t="s">
        <v>1646</v>
      </c>
      <c r="AU334" s="7" t="s">
        <v>3408</v>
      </c>
      <c r="AV334" s="7" t="s">
        <v>2848</v>
      </c>
      <c r="AW334" s="7">
        <v>52</v>
      </c>
      <c r="AX334" s="7">
        <v>57</v>
      </c>
      <c r="AY334" s="7" t="s">
        <v>3414</v>
      </c>
      <c r="AZ334" s="7">
        <v>18.29</v>
      </c>
      <c r="BA334" s="7">
        <v>5.78</v>
      </c>
      <c r="BB334" s="7"/>
      <c r="BC334" s="7" t="s">
        <v>3432</v>
      </c>
      <c r="BD334" s="7">
        <v>29.07</v>
      </c>
      <c r="BE334" s="7">
        <v>6.39</v>
      </c>
      <c r="BF334" s="7"/>
    </row>
    <row r="335" spans="1:59" x14ac:dyDescent="0.2">
      <c r="A335" s="7">
        <v>90</v>
      </c>
      <c r="B335" s="7" t="s">
        <v>622</v>
      </c>
      <c r="C335" s="7" t="s">
        <v>623</v>
      </c>
      <c r="D335" s="7" t="s">
        <v>624</v>
      </c>
      <c r="E335" s="7" t="s">
        <v>611</v>
      </c>
      <c r="F335" s="7" t="s">
        <v>415</v>
      </c>
      <c r="G335" s="7">
        <v>2005</v>
      </c>
      <c r="H335" s="8">
        <v>38525</v>
      </c>
      <c r="I335" s="7" t="s">
        <v>32</v>
      </c>
      <c r="J335" s="7" t="s">
        <v>32</v>
      </c>
      <c r="K335" s="7" t="s">
        <v>625</v>
      </c>
      <c r="L335" s="7">
        <v>1</v>
      </c>
      <c r="M335" s="7" t="s">
        <v>32</v>
      </c>
      <c r="N335" s="7" t="s">
        <v>34</v>
      </c>
      <c r="O335" s="7" t="s">
        <v>34</v>
      </c>
      <c r="P335" s="7" t="s">
        <v>34</v>
      </c>
      <c r="Q335" s="7" t="s">
        <v>34</v>
      </c>
      <c r="R335" s="7" t="s">
        <v>34</v>
      </c>
      <c r="S335" s="7" t="s">
        <v>34</v>
      </c>
      <c r="T335" s="7" t="s">
        <v>34</v>
      </c>
      <c r="U335" s="7" t="s">
        <v>32</v>
      </c>
      <c r="V335" s="7">
        <v>1</v>
      </c>
      <c r="W335" s="7" t="s">
        <v>32</v>
      </c>
      <c r="X335" s="7" t="s">
        <v>32</v>
      </c>
      <c r="Y335" s="7" t="s">
        <v>32</v>
      </c>
      <c r="Z335" s="7" t="s">
        <v>32</v>
      </c>
      <c r="AA335" s="7">
        <v>15967648</v>
      </c>
      <c r="AB335" s="7">
        <v>1</v>
      </c>
      <c r="AC335" s="7"/>
      <c r="AD335" s="7">
        <v>3</v>
      </c>
      <c r="AE335" s="7">
        <f t="shared" si="24"/>
        <v>43</v>
      </c>
      <c r="AF335" s="7">
        <v>14</v>
      </c>
      <c r="AG335" s="7">
        <v>29</v>
      </c>
      <c r="AH335" s="7" t="s">
        <v>2845</v>
      </c>
      <c r="AI335" s="7" t="s">
        <v>2845</v>
      </c>
      <c r="AJ335" s="7">
        <v>35</v>
      </c>
      <c r="AK335" s="7">
        <v>9</v>
      </c>
      <c r="AL335" s="7">
        <v>34</v>
      </c>
      <c r="AM335" s="7">
        <v>10</v>
      </c>
      <c r="AN335" s="7" t="s">
        <v>2902</v>
      </c>
      <c r="AO335" s="7" t="s">
        <v>1638</v>
      </c>
      <c r="AP335" s="7" t="s">
        <v>3405</v>
      </c>
      <c r="AQ335" s="7" t="s">
        <v>3259</v>
      </c>
      <c r="AR335" s="7" t="s">
        <v>1646</v>
      </c>
      <c r="AS335" s="7" t="s">
        <v>2920</v>
      </c>
      <c r="AT335" s="7" t="s">
        <v>1646</v>
      </c>
      <c r="AU335" s="7" t="s">
        <v>3409</v>
      </c>
      <c r="AV335" s="7" t="s">
        <v>2848</v>
      </c>
      <c r="AW335" s="7">
        <v>52</v>
      </c>
      <c r="AX335" s="7">
        <v>57</v>
      </c>
      <c r="AY335" s="7" t="s">
        <v>3415</v>
      </c>
      <c r="AZ335" s="7">
        <v>80.5</v>
      </c>
      <c r="BA335" s="7">
        <v>11.44</v>
      </c>
      <c r="BB335" s="7"/>
      <c r="BC335" s="7" t="s">
        <v>3433</v>
      </c>
      <c r="BD335" s="7">
        <v>89.08</v>
      </c>
      <c r="BE335" s="7">
        <v>11.16</v>
      </c>
      <c r="BF335" s="7"/>
    </row>
    <row r="336" spans="1:59" x14ac:dyDescent="0.2">
      <c r="A336" s="7">
        <v>90</v>
      </c>
      <c r="B336" s="7" t="s">
        <v>622</v>
      </c>
      <c r="C336" s="7" t="s">
        <v>623</v>
      </c>
      <c r="D336" s="7" t="s">
        <v>624</v>
      </c>
      <c r="E336" s="7" t="s">
        <v>611</v>
      </c>
      <c r="F336" s="7" t="s">
        <v>415</v>
      </c>
      <c r="G336" s="7">
        <v>2005</v>
      </c>
      <c r="H336" s="8">
        <v>38525</v>
      </c>
      <c r="I336" s="7" t="s">
        <v>32</v>
      </c>
      <c r="J336" s="7" t="s">
        <v>32</v>
      </c>
      <c r="K336" s="7" t="s">
        <v>625</v>
      </c>
      <c r="L336" s="7">
        <v>1</v>
      </c>
      <c r="M336" s="7" t="s">
        <v>32</v>
      </c>
      <c r="N336" s="7" t="s">
        <v>34</v>
      </c>
      <c r="O336" s="7" t="s">
        <v>34</v>
      </c>
      <c r="P336" s="7" t="s">
        <v>34</v>
      </c>
      <c r="Q336" s="7" t="s">
        <v>34</v>
      </c>
      <c r="R336" s="7" t="s">
        <v>34</v>
      </c>
      <c r="S336" s="7" t="s">
        <v>34</v>
      </c>
      <c r="T336" s="7" t="s">
        <v>34</v>
      </c>
      <c r="U336" s="7" t="s">
        <v>32</v>
      </c>
      <c r="V336" s="7">
        <v>1</v>
      </c>
      <c r="W336" s="7" t="s">
        <v>32</v>
      </c>
      <c r="X336" s="7" t="s">
        <v>32</v>
      </c>
      <c r="Y336" s="7" t="s">
        <v>32</v>
      </c>
      <c r="Z336" s="7" t="s">
        <v>32</v>
      </c>
      <c r="AA336" s="7">
        <v>15967648</v>
      </c>
      <c r="AB336" s="7">
        <v>1</v>
      </c>
      <c r="AC336" s="7"/>
      <c r="AD336" s="7">
        <v>3</v>
      </c>
      <c r="AE336" s="7">
        <f t="shared" si="24"/>
        <v>43</v>
      </c>
      <c r="AF336" s="7">
        <v>14</v>
      </c>
      <c r="AG336" s="7">
        <v>29</v>
      </c>
      <c r="AH336" s="7" t="s">
        <v>2845</v>
      </c>
      <c r="AI336" s="7" t="s">
        <v>2845</v>
      </c>
      <c r="AJ336" s="7">
        <v>35</v>
      </c>
      <c r="AK336" s="7">
        <v>9</v>
      </c>
      <c r="AL336" s="7">
        <v>34</v>
      </c>
      <c r="AM336" s="7">
        <v>10</v>
      </c>
      <c r="AN336" s="7" t="s">
        <v>2902</v>
      </c>
      <c r="AO336" s="7" t="s">
        <v>1638</v>
      </c>
      <c r="AP336" s="7" t="s">
        <v>3405</v>
      </c>
      <c r="AQ336" s="7" t="s">
        <v>3259</v>
      </c>
      <c r="AR336" s="7" t="s">
        <v>1646</v>
      </c>
      <c r="AS336" s="7" t="s">
        <v>2920</v>
      </c>
      <c r="AT336" s="7" t="s">
        <v>1646</v>
      </c>
      <c r="AU336" s="7" t="s">
        <v>3410</v>
      </c>
      <c r="AV336" s="7" t="s">
        <v>2848</v>
      </c>
      <c r="AW336" s="7">
        <v>52</v>
      </c>
      <c r="AX336" s="7">
        <v>57</v>
      </c>
      <c r="AY336" s="7" t="s">
        <v>3416</v>
      </c>
      <c r="AZ336" s="7">
        <v>19.86</v>
      </c>
      <c r="BA336" s="7">
        <v>5.07</v>
      </c>
      <c r="BB336" s="7"/>
      <c r="BC336" s="7" t="s">
        <v>3434</v>
      </c>
      <c r="BD336" s="7">
        <v>34.44</v>
      </c>
      <c r="BE336" s="7">
        <v>5.17</v>
      </c>
      <c r="BF336" s="7"/>
    </row>
    <row r="337" spans="1:59" x14ac:dyDescent="0.2">
      <c r="A337" s="7">
        <v>90</v>
      </c>
      <c r="B337" s="7" t="s">
        <v>622</v>
      </c>
      <c r="C337" s="7" t="s">
        <v>623</v>
      </c>
      <c r="D337" s="7" t="s">
        <v>624</v>
      </c>
      <c r="E337" s="7" t="s">
        <v>611</v>
      </c>
      <c r="F337" s="7" t="s">
        <v>415</v>
      </c>
      <c r="G337" s="7">
        <v>2005</v>
      </c>
      <c r="H337" s="8">
        <v>38525</v>
      </c>
      <c r="I337" s="7" t="s">
        <v>32</v>
      </c>
      <c r="J337" s="7" t="s">
        <v>32</v>
      </c>
      <c r="K337" s="7" t="s">
        <v>625</v>
      </c>
      <c r="L337" s="7">
        <v>1</v>
      </c>
      <c r="M337" s="7" t="s">
        <v>32</v>
      </c>
      <c r="N337" s="7" t="s">
        <v>34</v>
      </c>
      <c r="O337" s="7" t="s">
        <v>34</v>
      </c>
      <c r="P337" s="7" t="s">
        <v>34</v>
      </c>
      <c r="Q337" s="7" t="s">
        <v>34</v>
      </c>
      <c r="R337" s="7" t="s">
        <v>34</v>
      </c>
      <c r="S337" s="7" t="s">
        <v>34</v>
      </c>
      <c r="T337" s="7" t="s">
        <v>34</v>
      </c>
      <c r="U337" s="7" t="s">
        <v>32</v>
      </c>
      <c r="V337" s="7">
        <v>1</v>
      </c>
      <c r="W337" s="7" t="s">
        <v>32</v>
      </c>
      <c r="X337" s="7" t="s">
        <v>32</v>
      </c>
      <c r="Y337" s="7" t="s">
        <v>32</v>
      </c>
      <c r="Z337" s="7" t="s">
        <v>32</v>
      </c>
      <c r="AA337" s="7">
        <v>15967648</v>
      </c>
      <c r="AB337" s="7">
        <v>1</v>
      </c>
      <c r="AC337" s="7"/>
      <c r="AD337" s="7">
        <v>3</v>
      </c>
      <c r="AE337" s="7">
        <f t="shared" si="24"/>
        <v>43</v>
      </c>
      <c r="AF337" s="7">
        <v>14</v>
      </c>
      <c r="AG337" s="7">
        <v>29</v>
      </c>
      <c r="AH337" s="7" t="s">
        <v>2845</v>
      </c>
      <c r="AI337" s="7" t="s">
        <v>2845</v>
      </c>
      <c r="AJ337" s="7">
        <v>35</v>
      </c>
      <c r="AK337" s="7">
        <v>9</v>
      </c>
      <c r="AL337" s="7">
        <v>34</v>
      </c>
      <c r="AM337" s="7">
        <v>10</v>
      </c>
      <c r="AN337" s="7" t="s">
        <v>2902</v>
      </c>
      <c r="AO337" s="7" t="s">
        <v>1638</v>
      </c>
      <c r="AP337" s="7" t="s">
        <v>3405</v>
      </c>
      <c r="AQ337" s="7" t="s">
        <v>3259</v>
      </c>
      <c r="AR337" s="7" t="s">
        <v>1646</v>
      </c>
      <c r="AS337" s="7" t="s">
        <v>2920</v>
      </c>
      <c r="AT337" s="7" t="s">
        <v>1646</v>
      </c>
      <c r="AU337" s="7" t="s">
        <v>3411</v>
      </c>
      <c r="AV337" s="7" t="s">
        <v>2848</v>
      </c>
      <c r="AW337" s="7">
        <v>52</v>
      </c>
      <c r="AX337" s="7">
        <v>57</v>
      </c>
      <c r="AY337" s="7" t="s">
        <v>3417</v>
      </c>
      <c r="AZ337" s="7">
        <v>18.29</v>
      </c>
      <c r="BA337" s="7">
        <v>5.21</v>
      </c>
      <c r="BB337" s="7"/>
      <c r="BC337" s="7" t="s">
        <v>3435</v>
      </c>
      <c r="BD337" s="7">
        <v>29.58</v>
      </c>
      <c r="BE337" s="7">
        <v>9.67</v>
      </c>
      <c r="BF337" s="7"/>
    </row>
    <row r="338" spans="1:59" x14ac:dyDescent="0.2">
      <c r="A338" s="7">
        <v>90</v>
      </c>
      <c r="B338" s="7" t="s">
        <v>622</v>
      </c>
      <c r="C338" s="7" t="s">
        <v>623</v>
      </c>
      <c r="D338" s="7" t="s">
        <v>624</v>
      </c>
      <c r="E338" s="7" t="s">
        <v>611</v>
      </c>
      <c r="F338" s="7" t="s">
        <v>415</v>
      </c>
      <c r="G338" s="7">
        <v>2005</v>
      </c>
      <c r="H338" s="8">
        <v>38525</v>
      </c>
      <c r="I338" s="7" t="s">
        <v>32</v>
      </c>
      <c r="J338" s="7" t="s">
        <v>32</v>
      </c>
      <c r="K338" s="7" t="s">
        <v>625</v>
      </c>
      <c r="L338" s="7">
        <v>1</v>
      </c>
      <c r="M338" s="7" t="s">
        <v>32</v>
      </c>
      <c r="N338" s="7" t="s">
        <v>34</v>
      </c>
      <c r="O338" s="7" t="s">
        <v>34</v>
      </c>
      <c r="P338" s="7" t="s">
        <v>34</v>
      </c>
      <c r="Q338" s="7" t="s">
        <v>34</v>
      </c>
      <c r="R338" s="7" t="s">
        <v>34</v>
      </c>
      <c r="S338" s="7" t="s">
        <v>34</v>
      </c>
      <c r="T338" s="7" t="s">
        <v>34</v>
      </c>
      <c r="U338" s="7" t="s">
        <v>32</v>
      </c>
      <c r="V338" s="7">
        <v>1</v>
      </c>
      <c r="W338" s="7" t="s">
        <v>32</v>
      </c>
      <c r="X338" s="7" t="s">
        <v>32</v>
      </c>
      <c r="Y338" s="7" t="s">
        <v>32</v>
      </c>
      <c r="Z338" s="7" t="s">
        <v>32</v>
      </c>
      <c r="AA338" s="7">
        <v>15967648</v>
      </c>
      <c r="AB338" s="7">
        <v>1</v>
      </c>
      <c r="AC338" s="7"/>
      <c r="AD338" s="7">
        <v>3</v>
      </c>
      <c r="AE338" s="7">
        <f t="shared" si="24"/>
        <v>43</v>
      </c>
      <c r="AF338" s="7">
        <v>14</v>
      </c>
      <c r="AG338" s="7">
        <v>29</v>
      </c>
      <c r="AH338" s="7" t="s">
        <v>2845</v>
      </c>
      <c r="AI338" s="7" t="s">
        <v>2845</v>
      </c>
      <c r="AJ338" s="7">
        <v>35</v>
      </c>
      <c r="AK338" s="7">
        <v>9</v>
      </c>
      <c r="AL338" s="7">
        <v>34</v>
      </c>
      <c r="AM338" s="7">
        <v>10</v>
      </c>
      <c r="AN338" s="7" t="s">
        <v>2902</v>
      </c>
      <c r="AO338" s="7" t="s">
        <v>1638</v>
      </c>
      <c r="AP338" s="7" t="s">
        <v>3405</v>
      </c>
      <c r="AQ338" s="7" t="s">
        <v>3259</v>
      </c>
      <c r="AR338" s="7" t="s">
        <v>1646</v>
      </c>
      <c r="AS338" s="7" t="s">
        <v>2920</v>
      </c>
      <c r="AT338" s="7" t="s">
        <v>1646</v>
      </c>
      <c r="AU338" t="s">
        <v>3412</v>
      </c>
      <c r="AV338" s="7" t="s">
        <v>2848</v>
      </c>
      <c r="AW338" s="7">
        <v>52</v>
      </c>
      <c r="AX338" s="7">
        <v>57</v>
      </c>
      <c r="AY338" s="7" t="s">
        <v>3418</v>
      </c>
      <c r="AZ338" s="7">
        <v>93.57</v>
      </c>
      <c r="BA338" s="7">
        <v>19.07</v>
      </c>
      <c r="BB338" s="7"/>
      <c r="BC338" s="7" t="s">
        <v>3436</v>
      </c>
      <c r="BD338" s="7">
        <v>83.6</v>
      </c>
      <c r="BE338" s="7">
        <v>22.14</v>
      </c>
      <c r="BF338" s="7"/>
    </row>
    <row r="339" spans="1:59" x14ac:dyDescent="0.2">
      <c r="A339" s="7">
        <v>91</v>
      </c>
      <c r="B339" s="7" t="s">
        <v>626</v>
      </c>
      <c r="C339" s="7" t="s">
        <v>627</v>
      </c>
      <c r="D339" s="7" t="s">
        <v>628</v>
      </c>
      <c r="E339" s="7" t="s">
        <v>629</v>
      </c>
      <c r="F339" s="7" t="s">
        <v>498</v>
      </c>
      <c r="G339" s="7">
        <v>2006</v>
      </c>
      <c r="H339" s="8">
        <v>38496</v>
      </c>
      <c r="I339" s="7" t="s">
        <v>32</v>
      </c>
      <c r="J339" s="7" t="s">
        <v>32</v>
      </c>
      <c r="K339" s="7" t="s">
        <v>630</v>
      </c>
      <c r="L339" s="7">
        <v>1</v>
      </c>
      <c r="M339" s="7" t="s">
        <v>32</v>
      </c>
      <c r="N339" s="7" t="s">
        <v>34</v>
      </c>
      <c r="O339" s="7" t="s">
        <v>34</v>
      </c>
      <c r="P339" s="7" t="s">
        <v>34</v>
      </c>
      <c r="Q339" s="7" t="s">
        <v>34</v>
      </c>
      <c r="R339" s="7" t="s">
        <v>631</v>
      </c>
      <c r="S339" s="7" t="s">
        <v>34</v>
      </c>
      <c r="T339" s="7" t="s">
        <v>34</v>
      </c>
      <c r="U339" s="7" t="s">
        <v>32</v>
      </c>
      <c r="V339" s="7">
        <v>1</v>
      </c>
      <c r="W339" s="7" t="s">
        <v>32</v>
      </c>
      <c r="X339" s="7" t="s">
        <v>32</v>
      </c>
      <c r="Y339" s="7" t="s">
        <v>632</v>
      </c>
      <c r="Z339" s="7" t="s">
        <v>32</v>
      </c>
      <c r="AA339" s="7">
        <v>15907941</v>
      </c>
      <c r="AB339" s="7">
        <v>1</v>
      </c>
      <c r="AC339" s="7"/>
      <c r="AD339" s="7">
        <v>3</v>
      </c>
      <c r="AE339" s="7">
        <f t="shared" si="24"/>
        <v>60</v>
      </c>
      <c r="AF339" s="7">
        <v>30</v>
      </c>
      <c r="AG339" s="7">
        <v>30</v>
      </c>
      <c r="AH339" s="7" t="s">
        <v>2845</v>
      </c>
      <c r="AI339" s="7" t="s">
        <v>2845</v>
      </c>
      <c r="AJ339" s="7">
        <v>37.200000000000003</v>
      </c>
      <c r="AK339" s="7">
        <v>12.43</v>
      </c>
      <c r="AL339" s="7">
        <v>37.369999999999997</v>
      </c>
      <c r="AM339" s="7">
        <v>12.29</v>
      </c>
      <c r="AN339" s="7" t="s">
        <v>3224</v>
      </c>
      <c r="AO339" s="7" t="s">
        <v>1638</v>
      </c>
      <c r="AP339" s="7" t="s">
        <v>2846</v>
      </c>
      <c r="AQ339" s="7" t="s">
        <v>3083</v>
      </c>
      <c r="AR339" s="7" t="s">
        <v>3438</v>
      </c>
      <c r="AS339" s="7" t="s">
        <v>2920</v>
      </c>
      <c r="AT339" s="7" t="s">
        <v>1646</v>
      </c>
      <c r="AU339" s="7" t="s">
        <v>3439</v>
      </c>
      <c r="AV339" s="7" t="s">
        <v>2848</v>
      </c>
      <c r="AW339" s="7">
        <v>53</v>
      </c>
      <c r="AX339" s="7">
        <v>58</v>
      </c>
      <c r="AY339" s="7" t="s">
        <v>3442</v>
      </c>
      <c r="AZ339" s="7">
        <v>91.3</v>
      </c>
      <c r="BA339" s="7">
        <v>18.561</v>
      </c>
      <c r="BB339" s="7"/>
      <c r="BC339" s="7" t="s">
        <v>3449</v>
      </c>
      <c r="BD339" s="7">
        <v>101.77</v>
      </c>
      <c r="BE339" s="7">
        <v>23.254000000000001</v>
      </c>
      <c r="BF339" s="7"/>
    </row>
    <row r="340" spans="1:59" x14ac:dyDescent="0.2">
      <c r="A340" s="7">
        <v>91</v>
      </c>
      <c r="B340" s="7" t="s">
        <v>626</v>
      </c>
      <c r="C340" s="7" t="s">
        <v>627</v>
      </c>
      <c r="D340" s="7" t="s">
        <v>628</v>
      </c>
      <c r="E340" s="7" t="s">
        <v>629</v>
      </c>
      <c r="F340" s="7" t="s">
        <v>498</v>
      </c>
      <c r="G340" s="7">
        <v>2006</v>
      </c>
      <c r="H340" s="8">
        <v>38496</v>
      </c>
      <c r="I340" s="7" t="s">
        <v>32</v>
      </c>
      <c r="J340" s="7" t="s">
        <v>32</v>
      </c>
      <c r="K340" s="7" t="s">
        <v>630</v>
      </c>
      <c r="L340" s="7">
        <v>1</v>
      </c>
      <c r="M340" s="7" t="s">
        <v>32</v>
      </c>
      <c r="N340" s="7" t="s">
        <v>34</v>
      </c>
      <c r="O340" s="7" t="s">
        <v>34</v>
      </c>
      <c r="P340" s="7" t="s">
        <v>34</v>
      </c>
      <c r="Q340" s="7" t="s">
        <v>34</v>
      </c>
      <c r="R340" s="7" t="s">
        <v>631</v>
      </c>
      <c r="S340" s="7" t="s">
        <v>34</v>
      </c>
      <c r="T340" s="7" t="s">
        <v>34</v>
      </c>
      <c r="U340" s="7" t="s">
        <v>32</v>
      </c>
      <c r="V340" s="7">
        <v>1</v>
      </c>
      <c r="W340" s="7" t="s">
        <v>32</v>
      </c>
      <c r="X340" s="7" t="s">
        <v>32</v>
      </c>
      <c r="Y340" s="7" t="s">
        <v>632</v>
      </c>
      <c r="Z340" s="7" t="s">
        <v>32</v>
      </c>
      <c r="AA340" s="7">
        <v>15907941</v>
      </c>
      <c r="AB340" s="7">
        <v>1</v>
      </c>
      <c r="AC340" s="7"/>
      <c r="AD340" s="7">
        <v>3</v>
      </c>
      <c r="AE340" s="7">
        <f t="shared" si="24"/>
        <v>60</v>
      </c>
      <c r="AF340" s="7">
        <v>30</v>
      </c>
      <c r="AG340" s="7">
        <v>30</v>
      </c>
      <c r="AH340" s="7" t="s">
        <v>2845</v>
      </c>
      <c r="AI340" s="7" t="s">
        <v>2845</v>
      </c>
      <c r="AJ340" s="7">
        <v>37.200000000000003</v>
      </c>
      <c r="AK340" s="7">
        <v>12.43</v>
      </c>
      <c r="AL340" s="7">
        <v>37.369999999999997</v>
      </c>
      <c r="AM340" s="7">
        <v>12.29</v>
      </c>
      <c r="AN340" s="7" t="s">
        <v>3224</v>
      </c>
      <c r="AO340" s="7" t="s">
        <v>1638</v>
      </c>
      <c r="AP340" s="7" t="s">
        <v>2846</v>
      </c>
      <c r="AQ340" s="7" t="s">
        <v>3083</v>
      </c>
      <c r="AR340" s="7" t="s">
        <v>3438</v>
      </c>
      <c r="AS340" s="7" t="s">
        <v>2920</v>
      </c>
      <c r="AT340" s="7" t="s">
        <v>1646</v>
      </c>
      <c r="AU340" s="7" t="s">
        <v>3440</v>
      </c>
      <c r="AV340" s="7" t="s">
        <v>2848</v>
      </c>
      <c r="AW340" s="7">
        <v>53</v>
      </c>
      <c r="AX340" s="7">
        <v>58</v>
      </c>
      <c r="AY340" s="7" t="s">
        <v>3443</v>
      </c>
      <c r="AZ340" s="7">
        <v>103.93</v>
      </c>
      <c r="BA340" s="7">
        <v>20.055</v>
      </c>
      <c r="BB340" s="7"/>
      <c r="BC340" s="7" t="s">
        <v>3450</v>
      </c>
      <c r="BD340" s="7">
        <v>117.6</v>
      </c>
      <c r="BE340" s="7">
        <v>12.317</v>
      </c>
      <c r="BF340" s="7"/>
    </row>
    <row r="341" spans="1:59" x14ac:dyDescent="0.2">
      <c r="A341" s="7">
        <v>91</v>
      </c>
      <c r="B341" s="7" t="s">
        <v>626</v>
      </c>
      <c r="C341" s="7" t="s">
        <v>627</v>
      </c>
      <c r="D341" s="7" t="s">
        <v>628</v>
      </c>
      <c r="E341" s="7" t="s">
        <v>629</v>
      </c>
      <c r="F341" s="7" t="s">
        <v>498</v>
      </c>
      <c r="G341" s="7">
        <v>2006</v>
      </c>
      <c r="H341" s="8">
        <v>38496</v>
      </c>
      <c r="I341" s="7" t="s">
        <v>32</v>
      </c>
      <c r="J341" s="7" t="s">
        <v>32</v>
      </c>
      <c r="K341" s="7" t="s">
        <v>630</v>
      </c>
      <c r="L341" s="7">
        <v>1</v>
      </c>
      <c r="M341" s="7" t="s">
        <v>32</v>
      </c>
      <c r="N341" s="7" t="s">
        <v>34</v>
      </c>
      <c r="O341" s="7" t="s">
        <v>34</v>
      </c>
      <c r="P341" s="7" t="s">
        <v>34</v>
      </c>
      <c r="Q341" s="7" t="s">
        <v>34</v>
      </c>
      <c r="R341" s="7" t="s">
        <v>631</v>
      </c>
      <c r="S341" s="7" t="s">
        <v>34</v>
      </c>
      <c r="T341" s="7" t="s">
        <v>34</v>
      </c>
      <c r="U341" s="7" t="s">
        <v>32</v>
      </c>
      <c r="V341" s="7">
        <v>1</v>
      </c>
      <c r="W341" s="7" t="s">
        <v>32</v>
      </c>
      <c r="X341" s="7" t="s">
        <v>32</v>
      </c>
      <c r="Y341" s="7" t="s">
        <v>632</v>
      </c>
      <c r="Z341" s="7" t="s">
        <v>32</v>
      </c>
      <c r="AA341" s="7">
        <v>15907941</v>
      </c>
      <c r="AB341" s="7">
        <v>1</v>
      </c>
      <c r="AC341" s="7"/>
      <c r="AD341" s="7">
        <v>3</v>
      </c>
      <c r="AE341" s="7">
        <f t="shared" si="24"/>
        <v>60</v>
      </c>
      <c r="AF341" s="7">
        <v>30</v>
      </c>
      <c r="AG341" s="7">
        <v>30</v>
      </c>
      <c r="AH341" s="7" t="s">
        <v>2845</v>
      </c>
      <c r="AI341" s="7" t="s">
        <v>2845</v>
      </c>
      <c r="AJ341" s="7">
        <v>37.200000000000003</v>
      </c>
      <c r="AK341" s="7">
        <v>12.43</v>
      </c>
      <c r="AL341" s="7">
        <v>37.369999999999997</v>
      </c>
      <c r="AM341" s="7">
        <v>12.29</v>
      </c>
      <c r="AN341" s="7" t="s">
        <v>3224</v>
      </c>
      <c r="AO341" s="7" t="s">
        <v>1638</v>
      </c>
      <c r="AP341" s="7" t="s">
        <v>2846</v>
      </c>
      <c r="AQ341" s="7" t="s">
        <v>3083</v>
      </c>
      <c r="AR341" s="7" t="s">
        <v>3438</v>
      </c>
      <c r="AS341" s="7" t="s">
        <v>2920</v>
      </c>
      <c r="AT341" s="7" t="s">
        <v>1646</v>
      </c>
      <c r="AU341" s="7" t="s">
        <v>3441</v>
      </c>
      <c r="AV341" s="7" t="s">
        <v>2848</v>
      </c>
      <c r="AW341" s="7">
        <v>53</v>
      </c>
      <c r="AX341" s="7">
        <v>58</v>
      </c>
      <c r="AY341" s="7" t="s">
        <v>3444</v>
      </c>
      <c r="AZ341" s="7">
        <v>98.966999999999999</v>
      </c>
      <c r="BA341" s="7">
        <v>16.431000000000001</v>
      </c>
      <c r="BB341" s="7"/>
      <c r="BC341" s="7" t="s">
        <v>3451</v>
      </c>
      <c r="BD341" s="7">
        <v>110.57</v>
      </c>
      <c r="BE341" s="7">
        <v>13.95</v>
      </c>
      <c r="BF341" s="7"/>
    </row>
    <row r="342" spans="1:59" s="56" customFormat="1" x14ac:dyDescent="0.2">
      <c r="A342" s="21">
        <v>92</v>
      </c>
      <c r="B342" s="21" t="s">
        <v>633</v>
      </c>
      <c r="C342" s="21" t="s">
        <v>634</v>
      </c>
      <c r="D342" s="21" t="s">
        <v>635</v>
      </c>
      <c r="E342" s="21" t="s">
        <v>617</v>
      </c>
      <c r="F342" s="21" t="s">
        <v>415</v>
      </c>
      <c r="G342" s="21">
        <v>2004</v>
      </c>
      <c r="H342" s="70">
        <v>38323</v>
      </c>
      <c r="I342" s="21" t="s">
        <v>32</v>
      </c>
      <c r="J342" s="21" t="s">
        <v>32</v>
      </c>
      <c r="K342" s="21" t="s">
        <v>636</v>
      </c>
      <c r="L342" s="21">
        <v>1</v>
      </c>
      <c r="M342" s="21" t="s">
        <v>637</v>
      </c>
      <c r="N342" s="21" t="s">
        <v>34</v>
      </c>
      <c r="O342" s="21" t="s">
        <v>34</v>
      </c>
      <c r="P342" s="21" t="s">
        <v>34</v>
      </c>
      <c r="Q342" s="21" t="s">
        <v>34</v>
      </c>
      <c r="R342" s="21" t="s">
        <v>34</v>
      </c>
      <c r="S342" s="21" t="s">
        <v>34</v>
      </c>
      <c r="T342" s="21" t="s">
        <v>34</v>
      </c>
      <c r="U342" s="21" t="s">
        <v>32</v>
      </c>
      <c r="V342" s="21">
        <v>1</v>
      </c>
      <c r="W342" s="21" t="s">
        <v>32</v>
      </c>
      <c r="X342" s="21" t="s">
        <v>32</v>
      </c>
      <c r="Y342" s="21" t="s">
        <v>32</v>
      </c>
      <c r="Z342" s="21" t="s">
        <v>32</v>
      </c>
      <c r="AA342" s="21">
        <v>15572179</v>
      </c>
      <c r="AB342" s="21">
        <v>1</v>
      </c>
      <c r="AC342" s="21"/>
      <c r="AD342" s="21">
        <v>3</v>
      </c>
      <c r="AE342" s="21">
        <f t="shared" si="24"/>
        <v>22</v>
      </c>
      <c r="AF342" s="21">
        <v>7</v>
      </c>
      <c r="AG342" s="21">
        <v>15</v>
      </c>
      <c r="AH342" s="21" t="s">
        <v>2845</v>
      </c>
      <c r="AI342" s="21" t="s">
        <v>2845</v>
      </c>
      <c r="AJ342" s="21">
        <v>42</v>
      </c>
      <c r="AK342" s="21">
        <v>10</v>
      </c>
      <c r="AL342" s="21">
        <v>43</v>
      </c>
      <c r="AM342" s="21">
        <v>10</v>
      </c>
      <c r="AN342" s="21" t="s">
        <v>3224</v>
      </c>
      <c r="AO342" s="21" t="s">
        <v>1638</v>
      </c>
      <c r="AP342" s="21" t="s">
        <v>2846</v>
      </c>
      <c r="AQ342" s="21" t="s">
        <v>3226</v>
      </c>
      <c r="AR342" s="21" t="s">
        <v>1646</v>
      </c>
      <c r="AS342" s="21" t="s">
        <v>3669</v>
      </c>
      <c r="AT342" s="21" t="s">
        <v>1646</v>
      </c>
      <c r="AU342" s="21" t="s">
        <v>2972</v>
      </c>
      <c r="AV342" s="21" t="s">
        <v>2848</v>
      </c>
      <c r="AW342" s="21">
        <v>12</v>
      </c>
      <c r="AX342" s="21">
        <v>11</v>
      </c>
      <c r="AY342" s="21" t="s">
        <v>3674</v>
      </c>
      <c r="AZ342" s="21">
        <v>51</v>
      </c>
      <c r="BA342" s="21">
        <v>7</v>
      </c>
      <c r="BB342" s="21"/>
      <c r="BC342" s="21" t="s">
        <v>3677</v>
      </c>
      <c r="BD342" s="21">
        <v>60</v>
      </c>
      <c r="BE342" s="21">
        <v>14</v>
      </c>
      <c r="BF342" s="21"/>
      <c r="BG342" s="56" t="s">
        <v>3452</v>
      </c>
    </row>
    <row r="343" spans="1:59" s="56" customFormat="1" x14ac:dyDescent="0.2">
      <c r="A343" s="21">
        <v>92</v>
      </c>
      <c r="B343" s="21" t="s">
        <v>633</v>
      </c>
      <c r="C343" s="21" t="s">
        <v>634</v>
      </c>
      <c r="D343" s="21" t="s">
        <v>635</v>
      </c>
      <c r="E343" s="21" t="s">
        <v>617</v>
      </c>
      <c r="F343" s="21" t="s">
        <v>415</v>
      </c>
      <c r="G343" s="21">
        <v>2004</v>
      </c>
      <c r="H343" s="70">
        <v>38323</v>
      </c>
      <c r="I343" s="21" t="s">
        <v>32</v>
      </c>
      <c r="J343" s="21" t="s">
        <v>32</v>
      </c>
      <c r="K343" s="21" t="s">
        <v>636</v>
      </c>
      <c r="L343" s="21">
        <v>1</v>
      </c>
      <c r="M343" s="21" t="s">
        <v>637</v>
      </c>
      <c r="N343" s="21" t="s">
        <v>34</v>
      </c>
      <c r="O343" s="21" t="s">
        <v>34</v>
      </c>
      <c r="P343" s="21" t="s">
        <v>34</v>
      </c>
      <c r="Q343" s="21" t="s">
        <v>34</v>
      </c>
      <c r="R343" s="21" t="s">
        <v>34</v>
      </c>
      <c r="S343" s="21" t="s">
        <v>34</v>
      </c>
      <c r="T343" s="21" t="s">
        <v>34</v>
      </c>
      <c r="U343" s="21" t="s">
        <v>32</v>
      </c>
      <c r="V343" s="21">
        <v>1</v>
      </c>
      <c r="W343" s="21" t="s">
        <v>32</v>
      </c>
      <c r="X343" s="21" t="s">
        <v>32</v>
      </c>
      <c r="Y343" s="21" t="s">
        <v>32</v>
      </c>
      <c r="Z343" s="21" t="s">
        <v>32</v>
      </c>
      <c r="AA343" s="21">
        <v>15572179</v>
      </c>
      <c r="AB343" s="21">
        <v>1</v>
      </c>
      <c r="AC343" s="21"/>
      <c r="AD343" s="21">
        <v>3</v>
      </c>
      <c r="AE343" s="21">
        <f t="shared" ref="AE343:AE347" si="27">AF343+AG343</f>
        <v>22</v>
      </c>
      <c r="AF343" s="21">
        <v>7</v>
      </c>
      <c r="AG343" s="21">
        <v>15</v>
      </c>
      <c r="AH343" s="21" t="s">
        <v>2845</v>
      </c>
      <c r="AI343" s="21" t="s">
        <v>2845</v>
      </c>
      <c r="AJ343" s="21">
        <v>42</v>
      </c>
      <c r="AK343" s="21">
        <v>10</v>
      </c>
      <c r="AL343" s="21">
        <v>43</v>
      </c>
      <c r="AM343" s="21">
        <v>10</v>
      </c>
      <c r="AN343" s="21" t="s">
        <v>3224</v>
      </c>
      <c r="AO343" s="21" t="s">
        <v>1638</v>
      </c>
      <c r="AP343" s="21" t="s">
        <v>2846</v>
      </c>
      <c r="AQ343" s="21" t="s">
        <v>3226</v>
      </c>
      <c r="AR343" s="21" t="s">
        <v>1646</v>
      </c>
      <c r="AS343" s="21" t="s">
        <v>3669</v>
      </c>
      <c r="AT343" s="21" t="s">
        <v>1646</v>
      </c>
      <c r="AU343" s="21" t="s">
        <v>2973</v>
      </c>
      <c r="AV343" s="21" t="s">
        <v>2848</v>
      </c>
      <c r="AW343" s="21">
        <v>12</v>
      </c>
      <c r="AX343" s="21">
        <v>11</v>
      </c>
      <c r="AY343" s="21" t="s">
        <v>3675</v>
      </c>
      <c r="AZ343" s="21">
        <v>46</v>
      </c>
      <c r="BA343" s="21">
        <v>8</v>
      </c>
      <c r="BB343" s="21"/>
      <c r="BC343" s="21" t="s">
        <v>3678</v>
      </c>
      <c r="BD343" s="21">
        <v>54</v>
      </c>
      <c r="BE343" s="21">
        <v>13</v>
      </c>
      <c r="BF343" s="21"/>
    </row>
    <row r="344" spans="1:59" s="56" customFormat="1" x14ac:dyDescent="0.2">
      <c r="A344" s="21">
        <v>92</v>
      </c>
      <c r="B344" s="21" t="s">
        <v>633</v>
      </c>
      <c r="C344" s="21" t="s">
        <v>634</v>
      </c>
      <c r="D344" s="21" t="s">
        <v>635</v>
      </c>
      <c r="E344" s="21" t="s">
        <v>617</v>
      </c>
      <c r="F344" s="21" t="s">
        <v>415</v>
      </c>
      <c r="G344" s="21">
        <v>2004</v>
      </c>
      <c r="H344" s="70">
        <v>38323</v>
      </c>
      <c r="I344" s="21" t="s">
        <v>32</v>
      </c>
      <c r="J344" s="21" t="s">
        <v>32</v>
      </c>
      <c r="K344" s="21" t="s">
        <v>636</v>
      </c>
      <c r="L344" s="21">
        <v>1</v>
      </c>
      <c r="M344" s="21" t="s">
        <v>637</v>
      </c>
      <c r="N344" s="21" t="s">
        <v>34</v>
      </c>
      <c r="O344" s="21" t="s">
        <v>34</v>
      </c>
      <c r="P344" s="21" t="s">
        <v>34</v>
      </c>
      <c r="Q344" s="21" t="s">
        <v>34</v>
      </c>
      <c r="R344" s="21" t="s">
        <v>34</v>
      </c>
      <c r="S344" s="21" t="s">
        <v>34</v>
      </c>
      <c r="T344" s="21" t="s">
        <v>34</v>
      </c>
      <c r="U344" s="21" t="s">
        <v>32</v>
      </c>
      <c r="V344" s="21">
        <v>1</v>
      </c>
      <c r="W344" s="21" t="s">
        <v>32</v>
      </c>
      <c r="X344" s="21" t="s">
        <v>32</v>
      </c>
      <c r="Y344" s="21" t="s">
        <v>32</v>
      </c>
      <c r="Z344" s="21" t="s">
        <v>32</v>
      </c>
      <c r="AA344" s="21">
        <v>15572179</v>
      </c>
      <c r="AB344" s="21">
        <v>1</v>
      </c>
      <c r="AC344" s="21"/>
      <c r="AD344" s="21">
        <v>3</v>
      </c>
      <c r="AE344" s="21">
        <f t="shared" si="27"/>
        <v>22</v>
      </c>
      <c r="AF344" s="21">
        <v>7</v>
      </c>
      <c r="AG344" s="21">
        <v>15</v>
      </c>
      <c r="AH344" s="21" t="s">
        <v>2845</v>
      </c>
      <c r="AI344" s="21" t="s">
        <v>2845</v>
      </c>
      <c r="AJ344" s="21">
        <v>42</v>
      </c>
      <c r="AK344" s="21">
        <v>10</v>
      </c>
      <c r="AL344" s="21">
        <v>43</v>
      </c>
      <c r="AM344" s="21">
        <v>10</v>
      </c>
      <c r="AN344" s="21" t="s">
        <v>3224</v>
      </c>
      <c r="AO344" s="21" t="s">
        <v>1638</v>
      </c>
      <c r="AP344" s="21" t="s">
        <v>2846</v>
      </c>
      <c r="AQ344" s="21" t="s">
        <v>3226</v>
      </c>
      <c r="AR344" s="21" t="s">
        <v>1646</v>
      </c>
      <c r="AS344" s="21" t="s">
        <v>3669</v>
      </c>
      <c r="AT344" s="21" t="s">
        <v>1646</v>
      </c>
      <c r="AU344" s="21" t="s">
        <v>3670</v>
      </c>
      <c r="AV344" s="21" t="s">
        <v>2848</v>
      </c>
      <c r="AW344" s="21">
        <v>12</v>
      </c>
      <c r="AX344" s="21">
        <v>11</v>
      </c>
      <c r="AY344" s="21" t="s">
        <v>3676</v>
      </c>
      <c r="AZ344" s="21">
        <v>0.9</v>
      </c>
      <c r="BA344" s="21">
        <v>0.06</v>
      </c>
      <c r="BB344" s="21"/>
      <c r="BC344" s="21" t="s">
        <v>3679</v>
      </c>
      <c r="BD344" s="21">
        <v>0.91</v>
      </c>
      <c r="BE344" s="21">
        <v>0.06</v>
      </c>
      <c r="BF344" s="21"/>
    </row>
    <row r="345" spans="1:59" s="56" customFormat="1" x14ac:dyDescent="0.2">
      <c r="A345" s="21">
        <v>92</v>
      </c>
      <c r="B345" s="21" t="s">
        <v>633</v>
      </c>
      <c r="C345" s="21" t="s">
        <v>634</v>
      </c>
      <c r="D345" s="21" t="s">
        <v>635</v>
      </c>
      <c r="E345" s="21" t="s">
        <v>617</v>
      </c>
      <c r="F345" s="21" t="s">
        <v>415</v>
      </c>
      <c r="G345" s="21">
        <v>2004</v>
      </c>
      <c r="H345" s="70">
        <v>38323</v>
      </c>
      <c r="I345" s="21" t="s">
        <v>32</v>
      </c>
      <c r="J345" s="21" t="s">
        <v>32</v>
      </c>
      <c r="K345" s="21" t="s">
        <v>636</v>
      </c>
      <c r="L345" s="21">
        <v>1</v>
      </c>
      <c r="M345" s="21" t="s">
        <v>637</v>
      </c>
      <c r="N345" s="21" t="s">
        <v>34</v>
      </c>
      <c r="O345" s="21" t="s">
        <v>34</v>
      </c>
      <c r="P345" s="21" t="s">
        <v>34</v>
      </c>
      <c r="Q345" s="21" t="s">
        <v>34</v>
      </c>
      <c r="R345" s="21" t="s">
        <v>34</v>
      </c>
      <c r="S345" s="21" t="s">
        <v>34</v>
      </c>
      <c r="T345" s="21" t="s">
        <v>34</v>
      </c>
      <c r="U345" s="21" t="s">
        <v>32</v>
      </c>
      <c r="V345" s="21">
        <v>1</v>
      </c>
      <c r="W345" s="21" t="s">
        <v>32</v>
      </c>
      <c r="X345" s="21" t="s">
        <v>32</v>
      </c>
      <c r="Y345" s="21" t="s">
        <v>32</v>
      </c>
      <c r="Z345" s="21" t="s">
        <v>32</v>
      </c>
      <c r="AA345" s="21">
        <v>15572179</v>
      </c>
      <c r="AB345" s="21">
        <v>1</v>
      </c>
      <c r="AC345" s="21"/>
      <c r="AD345" s="21">
        <v>3</v>
      </c>
      <c r="AE345" s="21">
        <f t="shared" si="27"/>
        <v>22</v>
      </c>
      <c r="AF345" s="21">
        <v>7</v>
      </c>
      <c r="AG345" s="21">
        <v>15</v>
      </c>
      <c r="AH345" s="21" t="s">
        <v>2845</v>
      </c>
      <c r="AI345" s="21" t="s">
        <v>2845</v>
      </c>
      <c r="AJ345" s="21">
        <v>42</v>
      </c>
      <c r="AK345" s="21">
        <v>10</v>
      </c>
      <c r="AL345" s="21">
        <v>43</v>
      </c>
      <c r="AM345" s="21">
        <v>10</v>
      </c>
      <c r="AN345" s="21" t="s">
        <v>3224</v>
      </c>
      <c r="AO345" s="21" t="s">
        <v>1638</v>
      </c>
      <c r="AP345" s="21" t="s">
        <v>2846</v>
      </c>
      <c r="AQ345" s="21" t="s">
        <v>3226</v>
      </c>
      <c r="AR345" s="21" t="s">
        <v>1646</v>
      </c>
      <c r="AS345" s="21" t="s">
        <v>3669</v>
      </c>
      <c r="AT345" s="21" t="s">
        <v>1646</v>
      </c>
      <c r="AU345" s="21" t="s">
        <v>2972</v>
      </c>
      <c r="AV345" s="21" t="s">
        <v>2848</v>
      </c>
      <c r="AW345" s="21">
        <v>12</v>
      </c>
      <c r="AX345" s="21">
        <v>11</v>
      </c>
      <c r="AY345" s="21" t="s">
        <v>3671</v>
      </c>
      <c r="AZ345" s="21">
        <v>46</v>
      </c>
      <c r="BA345" s="21">
        <v>8</v>
      </c>
      <c r="BB345" s="21"/>
      <c r="BC345" s="21" t="s">
        <v>3680</v>
      </c>
      <c r="BD345" s="21">
        <v>52</v>
      </c>
      <c r="BE345" s="21">
        <v>14</v>
      </c>
      <c r="BF345" s="21"/>
    </row>
    <row r="346" spans="1:59" s="56" customFormat="1" x14ac:dyDescent="0.2">
      <c r="A346" s="21">
        <v>92</v>
      </c>
      <c r="B346" s="21" t="s">
        <v>633</v>
      </c>
      <c r="C346" s="21" t="s">
        <v>634</v>
      </c>
      <c r="D346" s="21" t="s">
        <v>635</v>
      </c>
      <c r="E346" s="21" t="s">
        <v>617</v>
      </c>
      <c r="F346" s="21" t="s">
        <v>415</v>
      </c>
      <c r="G346" s="21">
        <v>2004</v>
      </c>
      <c r="H346" s="70">
        <v>38323</v>
      </c>
      <c r="I346" s="21" t="s">
        <v>32</v>
      </c>
      <c r="J346" s="21" t="s">
        <v>32</v>
      </c>
      <c r="K346" s="21" t="s">
        <v>636</v>
      </c>
      <c r="L346" s="21">
        <v>1</v>
      </c>
      <c r="M346" s="21" t="s">
        <v>637</v>
      </c>
      <c r="N346" s="21" t="s">
        <v>34</v>
      </c>
      <c r="O346" s="21" t="s">
        <v>34</v>
      </c>
      <c r="P346" s="21" t="s">
        <v>34</v>
      </c>
      <c r="Q346" s="21" t="s">
        <v>34</v>
      </c>
      <c r="R346" s="21" t="s">
        <v>34</v>
      </c>
      <c r="S346" s="21" t="s">
        <v>34</v>
      </c>
      <c r="T346" s="21" t="s">
        <v>34</v>
      </c>
      <c r="U346" s="21" t="s">
        <v>32</v>
      </c>
      <c r="V346" s="21">
        <v>1</v>
      </c>
      <c r="W346" s="21" t="s">
        <v>32</v>
      </c>
      <c r="X346" s="21" t="s">
        <v>32</v>
      </c>
      <c r="Y346" s="21" t="s">
        <v>32</v>
      </c>
      <c r="Z346" s="21" t="s">
        <v>32</v>
      </c>
      <c r="AA346" s="21">
        <v>15572179</v>
      </c>
      <c r="AB346" s="21">
        <v>1</v>
      </c>
      <c r="AC346" s="21"/>
      <c r="AD346" s="21">
        <v>3</v>
      </c>
      <c r="AE346" s="21">
        <f t="shared" si="27"/>
        <v>22</v>
      </c>
      <c r="AF346" s="21">
        <v>7</v>
      </c>
      <c r="AG346" s="21">
        <v>15</v>
      </c>
      <c r="AH346" s="21" t="s">
        <v>2845</v>
      </c>
      <c r="AI346" s="21" t="s">
        <v>2845</v>
      </c>
      <c r="AJ346" s="21">
        <v>42</v>
      </c>
      <c r="AK346" s="21">
        <v>10</v>
      </c>
      <c r="AL346" s="21">
        <v>43</v>
      </c>
      <c r="AM346" s="21">
        <v>10</v>
      </c>
      <c r="AN346" s="21" t="s">
        <v>3224</v>
      </c>
      <c r="AO346" s="21" t="s">
        <v>1638</v>
      </c>
      <c r="AP346" s="21" t="s">
        <v>2846</v>
      </c>
      <c r="AQ346" s="21" t="s">
        <v>3226</v>
      </c>
      <c r="AR346" s="21" t="s">
        <v>1646</v>
      </c>
      <c r="AS346" s="21" t="s">
        <v>3669</v>
      </c>
      <c r="AT346" s="21" t="s">
        <v>1646</v>
      </c>
      <c r="AU346" s="21" t="s">
        <v>2973</v>
      </c>
      <c r="AV346" s="21" t="s">
        <v>2848</v>
      </c>
      <c r="AW346" s="21">
        <v>12</v>
      </c>
      <c r="AX346" s="21">
        <v>11</v>
      </c>
      <c r="AY346" s="21" t="s">
        <v>3672</v>
      </c>
      <c r="AZ346" s="21">
        <v>39</v>
      </c>
      <c r="BA346" s="21">
        <v>9</v>
      </c>
      <c r="BB346" s="21"/>
      <c r="BC346" s="21" t="s">
        <v>3681</v>
      </c>
      <c r="BD346" s="21">
        <v>54</v>
      </c>
      <c r="BE346" s="21">
        <v>16</v>
      </c>
      <c r="BF346" s="21"/>
    </row>
    <row r="347" spans="1:59" s="56" customFormat="1" x14ac:dyDescent="0.2">
      <c r="A347" s="21">
        <v>92</v>
      </c>
      <c r="B347" s="21" t="s">
        <v>633</v>
      </c>
      <c r="C347" s="21" t="s">
        <v>634</v>
      </c>
      <c r="D347" s="21" t="s">
        <v>635</v>
      </c>
      <c r="E347" s="21" t="s">
        <v>617</v>
      </c>
      <c r="F347" s="21" t="s">
        <v>415</v>
      </c>
      <c r="G347" s="21">
        <v>2004</v>
      </c>
      <c r="H347" s="70">
        <v>38323</v>
      </c>
      <c r="I347" s="21" t="s">
        <v>32</v>
      </c>
      <c r="J347" s="21" t="s">
        <v>32</v>
      </c>
      <c r="K347" s="21" t="s">
        <v>636</v>
      </c>
      <c r="L347" s="21">
        <v>1</v>
      </c>
      <c r="M347" s="21" t="s">
        <v>637</v>
      </c>
      <c r="N347" s="21" t="s">
        <v>34</v>
      </c>
      <c r="O347" s="21" t="s">
        <v>34</v>
      </c>
      <c r="P347" s="21" t="s">
        <v>34</v>
      </c>
      <c r="Q347" s="21" t="s">
        <v>34</v>
      </c>
      <c r="R347" s="21" t="s">
        <v>34</v>
      </c>
      <c r="S347" s="21" t="s">
        <v>34</v>
      </c>
      <c r="T347" s="21" t="s">
        <v>34</v>
      </c>
      <c r="U347" s="21" t="s">
        <v>32</v>
      </c>
      <c r="V347" s="21">
        <v>1</v>
      </c>
      <c r="W347" s="21" t="s">
        <v>32</v>
      </c>
      <c r="X347" s="21" t="s">
        <v>32</v>
      </c>
      <c r="Y347" s="21" t="s">
        <v>32</v>
      </c>
      <c r="Z347" s="21" t="s">
        <v>32</v>
      </c>
      <c r="AA347" s="21">
        <v>15572179</v>
      </c>
      <c r="AB347" s="21">
        <v>1</v>
      </c>
      <c r="AC347" s="21"/>
      <c r="AD347" s="21">
        <v>3</v>
      </c>
      <c r="AE347" s="21">
        <f t="shared" si="27"/>
        <v>22</v>
      </c>
      <c r="AF347" s="21">
        <v>7</v>
      </c>
      <c r="AG347" s="21">
        <v>15</v>
      </c>
      <c r="AH347" s="21" t="s">
        <v>2845</v>
      </c>
      <c r="AI347" s="21" t="s">
        <v>2845</v>
      </c>
      <c r="AJ347" s="21">
        <v>42</v>
      </c>
      <c r="AK347" s="21">
        <v>10</v>
      </c>
      <c r="AL347" s="21">
        <v>43</v>
      </c>
      <c r="AM347" s="21">
        <v>10</v>
      </c>
      <c r="AN347" s="21" t="s">
        <v>3224</v>
      </c>
      <c r="AO347" s="21" t="s">
        <v>1638</v>
      </c>
      <c r="AP347" s="21" t="s">
        <v>2846</v>
      </c>
      <c r="AQ347" s="21" t="s">
        <v>3226</v>
      </c>
      <c r="AR347" s="21" t="s">
        <v>1646</v>
      </c>
      <c r="AS347" s="21" t="s">
        <v>3669</v>
      </c>
      <c r="AT347" s="21" t="s">
        <v>1646</v>
      </c>
      <c r="AU347" s="21" t="s">
        <v>3670</v>
      </c>
      <c r="AV347" s="21" t="s">
        <v>2848</v>
      </c>
      <c r="AW347" s="21">
        <v>12</v>
      </c>
      <c r="AX347" s="21">
        <v>11</v>
      </c>
      <c r="AY347" s="21" t="s">
        <v>3673</v>
      </c>
      <c r="AZ347" s="21">
        <v>0.83</v>
      </c>
      <c r="BA347" s="21">
        <v>0.11</v>
      </c>
      <c r="BB347" s="21"/>
      <c r="BC347" s="21" t="s">
        <v>3682</v>
      </c>
      <c r="BD347" s="21">
        <v>1.05</v>
      </c>
      <c r="BE347" s="21">
        <v>0.23</v>
      </c>
      <c r="BF347" s="21"/>
    </row>
    <row r="348" spans="1:59" s="79" customFormat="1" x14ac:dyDescent="0.2">
      <c r="A348" s="20">
        <v>93</v>
      </c>
      <c r="B348" s="20" t="s">
        <v>638</v>
      </c>
      <c r="C348" s="20" t="s">
        <v>639</v>
      </c>
      <c r="D348" s="20" t="s">
        <v>640</v>
      </c>
      <c r="E348" s="20" t="s">
        <v>641</v>
      </c>
      <c r="F348" s="20" t="s">
        <v>329</v>
      </c>
      <c r="G348" s="20">
        <v>2004</v>
      </c>
      <c r="H348" s="64">
        <v>38065</v>
      </c>
      <c r="I348" s="20" t="s">
        <v>32</v>
      </c>
      <c r="J348" s="20" t="s">
        <v>32</v>
      </c>
      <c r="K348" s="20" t="s">
        <v>642</v>
      </c>
      <c r="L348" s="20">
        <v>1</v>
      </c>
      <c r="M348" s="20" t="s">
        <v>32</v>
      </c>
      <c r="N348" s="20" t="s">
        <v>34</v>
      </c>
      <c r="O348" s="20" t="s">
        <v>34</v>
      </c>
      <c r="P348" s="20" t="s">
        <v>34</v>
      </c>
      <c r="Q348" s="20" t="s">
        <v>643</v>
      </c>
      <c r="R348" s="20" t="s">
        <v>34</v>
      </c>
      <c r="S348" s="20" t="s">
        <v>34</v>
      </c>
      <c r="T348" s="20" t="s">
        <v>34</v>
      </c>
      <c r="U348" s="20" t="s">
        <v>32</v>
      </c>
      <c r="V348" s="20">
        <v>1</v>
      </c>
      <c r="W348" s="20" t="s">
        <v>32</v>
      </c>
      <c r="X348" s="20" t="s">
        <v>32</v>
      </c>
      <c r="Y348" s="20" t="s">
        <v>644</v>
      </c>
      <c r="Z348" s="20" t="s">
        <v>32</v>
      </c>
      <c r="AA348" s="20">
        <v>15027791</v>
      </c>
      <c r="AB348" s="41">
        <v>0</v>
      </c>
      <c r="AC348" s="41" t="s">
        <v>3453</v>
      </c>
      <c r="AD348" s="41"/>
      <c r="AE348" s="20">
        <f t="shared" ref="AE348:AE392" si="28">AF348+AG348</f>
        <v>0</v>
      </c>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20"/>
      <c r="BD348" s="41"/>
      <c r="BE348" s="41"/>
      <c r="BF348" s="41"/>
    </row>
    <row r="349" spans="1:59" s="56" customFormat="1" x14ac:dyDescent="0.2">
      <c r="A349" s="40">
        <v>94</v>
      </c>
      <c r="B349" s="40" t="s">
        <v>645</v>
      </c>
      <c r="C349" s="40" t="s">
        <v>646</v>
      </c>
      <c r="D349" s="40" t="s">
        <v>647</v>
      </c>
      <c r="E349" s="40" t="s">
        <v>648</v>
      </c>
      <c r="F349" s="40" t="s">
        <v>94</v>
      </c>
      <c r="G349" s="40">
        <v>2003</v>
      </c>
      <c r="H349" s="85">
        <v>37863</v>
      </c>
      <c r="I349" s="40" t="s">
        <v>32</v>
      </c>
      <c r="J349" s="40" t="s">
        <v>32</v>
      </c>
      <c r="K349" s="40" t="s">
        <v>649</v>
      </c>
      <c r="L349" s="40">
        <v>1</v>
      </c>
      <c r="M349" s="40" t="s">
        <v>32</v>
      </c>
      <c r="N349" s="40" t="s">
        <v>34</v>
      </c>
      <c r="O349" s="40" t="s">
        <v>34</v>
      </c>
      <c r="P349" s="40" t="s">
        <v>34</v>
      </c>
      <c r="Q349" s="40" t="s">
        <v>34</v>
      </c>
      <c r="R349" s="40" t="s">
        <v>34</v>
      </c>
      <c r="S349" s="40" t="s">
        <v>34</v>
      </c>
      <c r="T349" s="40" t="s">
        <v>34</v>
      </c>
      <c r="U349" s="40" t="s">
        <v>34</v>
      </c>
      <c r="V349" s="40">
        <v>1</v>
      </c>
      <c r="W349" s="40" t="s">
        <v>32</v>
      </c>
      <c r="X349" s="40">
        <v>1</v>
      </c>
      <c r="Y349" s="40" t="s">
        <v>179</v>
      </c>
      <c r="Z349" s="40" t="s">
        <v>650</v>
      </c>
      <c r="AA349" s="40">
        <v>12946114</v>
      </c>
      <c r="AB349" s="21">
        <v>1</v>
      </c>
      <c r="AC349" s="21"/>
      <c r="AD349" s="21">
        <v>3</v>
      </c>
      <c r="AE349" s="21">
        <f t="shared" si="28"/>
        <v>41</v>
      </c>
      <c r="AF349" s="21">
        <v>19</v>
      </c>
      <c r="AG349" s="21">
        <v>22</v>
      </c>
      <c r="AH349" s="21" t="s">
        <v>2845</v>
      </c>
      <c r="AI349" s="21" t="s">
        <v>2845</v>
      </c>
      <c r="AJ349" s="21">
        <v>36.5</v>
      </c>
      <c r="AK349" s="21">
        <v>15.2</v>
      </c>
      <c r="AL349" s="21">
        <v>34.200000000000003</v>
      </c>
      <c r="AM349" s="21">
        <v>9.6999999999999993</v>
      </c>
      <c r="AN349" s="21" t="s">
        <v>2947</v>
      </c>
      <c r="AO349" s="21" t="s">
        <v>1638</v>
      </c>
      <c r="AP349" s="21" t="s">
        <v>2846</v>
      </c>
      <c r="AQ349" s="21" t="s">
        <v>3455</v>
      </c>
      <c r="AR349" s="21" t="s">
        <v>1646</v>
      </c>
      <c r="AS349" s="21" t="s">
        <v>3683</v>
      </c>
      <c r="AT349" s="21" t="s">
        <v>1646</v>
      </c>
      <c r="AU349" s="21" t="s">
        <v>3690</v>
      </c>
      <c r="AV349" s="21" t="s">
        <v>2848</v>
      </c>
      <c r="AW349" s="21">
        <v>60</v>
      </c>
      <c r="AX349" s="21">
        <v>67</v>
      </c>
      <c r="AY349" s="21" t="s">
        <v>3687</v>
      </c>
      <c r="AZ349" s="21">
        <v>2.0299999999999998</v>
      </c>
      <c r="BA349" s="21">
        <v>9.27</v>
      </c>
      <c r="BB349" s="21"/>
      <c r="BC349" s="21" t="s">
        <v>3702</v>
      </c>
      <c r="BD349" s="21">
        <v>5.82</v>
      </c>
      <c r="BE349" s="21">
        <v>7.68</v>
      </c>
      <c r="BF349" s="21"/>
      <c r="BG349" s="56" t="s">
        <v>3454</v>
      </c>
    </row>
    <row r="350" spans="1:59" s="56" customFormat="1" x14ac:dyDescent="0.2">
      <c r="A350" s="40">
        <v>94</v>
      </c>
      <c r="B350" s="40" t="s">
        <v>645</v>
      </c>
      <c r="C350" s="40" t="s">
        <v>646</v>
      </c>
      <c r="D350" s="40" t="s">
        <v>647</v>
      </c>
      <c r="E350" s="40" t="s">
        <v>648</v>
      </c>
      <c r="F350" s="40" t="s">
        <v>94</v>
      </c>
      <c r="G350" s="40">
        <v>2003</v>
      </c>
      <c r="H350" s="85">
        <v>37863</v>
      </c>
      <c r="I350" s="40" t="s">
        <v>32</v>
      </c>
      <c r="J350" s="40" t="s">
        <v>32</v>
      </c>
      <c r="K350" s="40" t="s">
        <v>649</v>
      </c>
      <c r="L350" s="40">
        <v>1</v>
      </c>
      <c r="M350" s="40" t="s">
        <v>32</v>
      </c>
      <c r="N350" s="40" t="s">
        <v>34</v>
      </c>
      <c r="O350" s="40" t="s">
        <v>34</v>
      </c>
      <c r="P350" s="40" t="s">
        <v>34</v>
      </c>
      <c r="Q350" s="40" t="s">
        <v>34</v>
      </c>
      <c r="R350" s="40" t="s">
        <v>34</v>
      </c>
      <c r="S350" s="40" t="s">
        <v>34</v>
      </c>
      <c r="T350" s="40" t="s">
        <v>34</v>
      </c>
      <c r="U350" s="40" t="s">
        <v>34</v>
      </c>
      <c r="V350" s="40">
        <v>1</v>
      </c>
      <c r="W350" s="40" t="s">
        <v>32</v>
      </c>
      <c r="X350" s="40">
        <v>1</v>
      </c>
      <c r="Y350" s="40" t="s">
        <v>179</v>
      </c>
      <c r="Z350" s="40" t="s">
        <v>650</v>
      </c>
      <c r="AA350" s="40">
        <v>12946114</v>
      </c>
      <c r="AB350" s="21">
        <v>1</v>
      </c>
      <c r="AC350" s="21"/>
      <c r="AD350" s="21">
        <v>3</v>
      </c>
      <c r="AE350" s="21">
        <f t="shared" ref="AE350:AE354" si="29">AF350+AG350</f>
        <v>41</v>
      </c>
      <c r="AF350" s="21">
        <v>19</v>
      </c>
      <c r="AG350" s="21">
        <v>22</v>
      </c>
      <c r="AH350" s="21" t="s">
        <v>2845</v>
      </c>
      <c r="AI350" s="21" t="s">
        <v>2845</v>
      </c>
      <c r="AJ350" s="21">
        <v>36.5</v>
      </c>
      <c r="AK350" s="21">
        <v>15.2</v>
      </c>
      <c r="AL350" s="21">
        <v>34.200000000000003</v>
      </c>
      <c r="AM350" s="21">
        <v>9.6999999999999993</v>
      </c>
      <c r="AN350" s="21" t="s">
        <v>2947</v>
      </c>
      <c r="AO350" s="21" t="s">
        <v>1638</v>
      </c>
      <c r="AP350" s="21" t="s">
        <v>2846</v>
      </c>
      <c r="AQ350" s="21" t="s">
        <v>3455</v>
      </c>
      <c r="AR350" s="21" t="s">
        <v>1646</v>
      </c>
      <c r="AS350" s="21" t="s">
        <v>3683</v>
      </c>
      <c r="AT350" s="21" t="s">
        <v>1646</v>
      </c>
      <c r="AU350" s="21" t="s">
        <v>3691</v>
      </c>
      <c r="AV350" s="21" t="s">
        <v>2848</v>
      </c>
      <c r="AW350" s="21">
        <v>60</v>
      </c>
      <c r="AX350" s="21">
        <v>67</v>
      </c>
      <c r="AY350" s="21" t="s">
        <v>3688</v>
      </c>
      <c r="AZ350" s="21">
        <v>3.26</v>
      </c>
      <c r="BA350" s="21">
        <v>7.68</v>
      </c>
      <c r="BB350" s="21"/>
      <c r="BC350" s="21" t="s">
        <v>3703</v>
      </c>
      <c r="BD350" s="21">
        <v>6.1</v>
      </c>
      <c r="BE350" s="21">
        <v>9.15</v>
      </c>
      <c r="BF350" s="21"/>
    </row>
    <row r="351" spans="1:59" s="56" customFormat="1" x14ac:dyDescent="0.2">
      <c r="A351" s="40">
        <v>94</v>
      </c>
      <c r="B351" s="40" t="s">
        <v>645</v>
      </c>
      <c r="C351" s="40" t="s">
        <v>646</v>
      </c>
      <c r="D351" s="40" t="s">
        <v>647</v>
      </c>
      <c r="E351" s="40" t="s">
        <v>648</v>
      </c>
      <c r="F351" s="40" t="s">
        <v>94</v>
      </c>
      <c r="G351" s="40">
        <v>2003</v>
      </c>
      <c r="H351" s="85">
        <v>37863</v>
      </c>
      <c r="I351" s="40" t="s">
        <v>32</v>
      </c>
      <c r="J351" s="40" t="s">
        <v>32</v>
      </c>
      <c r="K351" s="40" t="s">
        <v>649</v>
      </c>
      <c r="L351" s="40">
        <v>1</v>
      </c>
      <c r="M351" s="40" t="s">
        <v>32</v>
      </c>
      <c r="N351" s="40" t="s">
        <v>34</v>
      </c>
      <c r="O351" s="40" t="s">
        <v>34</v>
      </c>
      <c r="P351" s="40" t="s">
        <v>34</v>
      </c>
      <c r="Q351" s="40" t="s">
        <v>34</v>
      </c>
      <c r="R351" s="40" t="s">
        <v>34</v>
      </c>
      <c r="S351" s="40" t="s">
        <v>34</v>
      </c>
      <c r="T351" s="40" t="s">
        <v>34</v>
      </c>
      <c r="U351" s="40" t="s">
        <v>34</v>
      </c>
      <c r="V351" s="40">
        <v>1</v>
      </c>
      <c r="W351" s="40" t="s">
        <v>32</v>
      </c>
      <c r="X351" s="40">
        <v>1</v>
      </c>
      <c r="Y351" s="40" t="s">
        <v>179</v>
      </c>
      <c r="Z351" s="40" t="s">
        <v>650</v>
      </c>
      <c r="AA351" s="40">
        <v>12946114</v>
      </c>
      <c r="AB351" s="21">
        <v>1</v>
      </c>
      <c r="AC351" s="21"/>
      <c r="AD351" s="21">
        <v>3</v>
      </c>
      <c r="AE351" s="21">
        <f t="shared" si="29"/>
        <v>41</v>
      </c>
      <c r="AF351" s="21">
        <v>19</v>
      </c>
      <c r="AG351" s="21">
        <v>22</v>
      </c>
      <c r="AH351" s="21" t="s">
        <v>2845</v>
      </c>
      <c r="AI351" s="21" t="s">
        <v>2845</v>
      </c>
      <c r="AJ351" s="21">
        <v>36.5</v>
      </c>
      <c r="AK351" s="21">
        <v>15.2</v>
      </c>
      <c r="AL351" s="21">
        <v>34.200000000000003</v>
      </c>
      <c r="AM351" s="21">
        <v>9.6999999999999993</v>
      </c>
      <c r="AN351" s="21" t="s">
        <v>2947</v>
      </c>
      <c r="AO351" s="21" t="s">
        <v>1638</v>
      </c>
      <c r="AP351" s="21" t="s">
        <v>2846</v>
      </c>
      <c r="AQ351" s="21" t="s">
        <v>3455</v>
      </c>
      <c r="AR351" s="21" t="s">
        <v>1646</v>
      </c>
      <c r="AS351" s="21" t="s">
        <v>3683</v>
      </c>
      <c r="AT351" s="21" t="s">
        <v>1646</v>
      </c>
      <c r="AU351" s="21" t="s">
        <v>3692</v>
      </c>
      <c r="AV351" s="21" t="s">
        <v>2848</v>
      </c>
      <c r="AW351" s="21">
        <v>60</v>
      </c>
      <c r="AX351" s="21">
        <v>67</v>
      </c>
      <c r="AY351" s="21" t="s">
        <v>3689</v>
      </c>
      <c r="AZ351" s="21">
        <v>0.63</v>
      </c>
      <c r="BA351" s="21">
        <v>5.93</v>
      </c>
      <c r="BB351" s="21"/>
      <c r="BC351" s="21" t="s">
        <v>3704</v>
      </c>
      <c r="BD351" s="21">
        <v>5.22</v>
      </c>
      <c r="BE351" s="21">
        <v>6.31</v>
      </c>
      <c r="BF351" s="21"/>
    </row>
    <row r="352" spans="1:59" s="56" customFormat="1" x14ac:dyDescent="0.2">
      <c r="A352" s="40">
        <v>94</v>
      </c>
      <c r="B352" s="40" t="s">
        <v>645</v>
      </c>
      <c r="C352" s="40" t="s">
        <v>646</v>
      </c>
      <c r="D352" s="40" t="s">
        <v>647</v>
      </c>
      <c r="E352" s="40" t="s">
        <v>648</v>
      </c>
      <c r="F352" s="40" t="s">
        <v>94</v>
      </c>
      <c r="G352" s="40">
        <v>2003</v>
      </c>
      <c r="H352" s="85">
        <v>37863</v>
      </c>
      <c r="I352" s="40" t="s">
        <v>32</v>
      </c>
      <c r="J352" s="40" t="s">
        <v>32</v>
      </c>
      <c r="K352" s="40" t="s">
        <v>649</v>
      </c>
      <c r="L352" s="40">
        <v>1</v>
      </c>
      <c r="M352" s="40" t="s">
        <v>32</v>
      </c>
      <c r="N352" s="40" t="s">
        <v>34</v>
      </c>
      <c r="O352" s="40" t="s">
        <v>34</v>
      </c>
      <c r="P352" s="40" t="s">
        <v>34</v>
      </c>
      <c r="Q352" s="40" t="s">
        <v>34</v>
      </c>
      <c r="R352" s="40" t="s">
        <v>34</v>
      </c>
      <c r="S352" s="40" t="s">
        <v>34</v>
      </c>
      <c r="T352" s="40" t="s">
        <v>34</v>
      </c>
      <c r="U352" s="40" t="s">
        <v>34</v>
      </c>
      <c r="V352" s="40">
        <v>1</v>
      </c>
      <c r="W352" s="40" t="s">
        <v>32</v>
      </c>
      <c r="X352" s="40">
        <v>1</v>
      </c>
      <c r="Y352" s="40" t="s">
        <v>179</v>
      </c>
      <c r="Z352" s="40" t="s">
        <v>650</v>
      </c>
      <c r="AA352" s="40">
        <v>12946114</v>
      </c>
      <c r="AB352" s="21">
        <v>1</v>
      </c>
      <c r="AC352" s="21"/>
      <c r="AD352" s="21">
        <v>3</v>
      </c>
      <c r="AE352" s="21">
        <f t="shared" si="29"/>
        <v>46</v>
      </c>
      <c r="AF352" s="21">
        <v>22</v>
      </c>
      <c r="AG352" s="21">
        <v>24</v>
      </c>
      <c r="AH352" s="21" t="s">
        <v>2845</v>
      </c>
      <c r="AI352" s="21" t="s">
        <v>2845</v>
      </c>
      <c r="AJ352" s="21">
        <v>36.5</v>
      </c>
      <c r="AK352" s="21">
        <v>15.2</v>
      </c>
      <c r="AL352" s="21">
        <v>34.200000000000003</v>
      </c>
      <c r="AM352" s="21">
        <v>9.6999999999999993</v>
      </c>
      <c r="AN352" s="21" t="s">
        <v>2947</v>
      </c>
      <c r="AO352" s="21" t="s">
        <v>1638</v>
      </c>
      <c r="AP352" s="21" t="s">
        <v>2846</v>
      </c>
      <c r="AQ352" s="21" t="s">
        <v>3455</v>
      </c>
      <c r="AR352" s="21" t="s">
        <v>1646</v>
      </c>
      <c r="AS352" s="21" t="s">
        <v>3683</v>
      </c>
      <c r="AT352" s="21" t="s">
        <v>1646</v>
      </c>
      <c r="AU352" s="21" t="s">
        <v>3684</v>
      </c>
      <c r="AV352" s="21" t="s">
        <v>2848</v>
      </c>
      <c r="AW352" s="21">
        <v>60</v>
      </c>
      <c r="AX352" s="21">
        <v>67</v>
      </c>
      <c r="AY352" s="21" t="s">
        <v>3696</v>
      </c>
      <c r="AZ352" s="21">
        <v>0.5</v>
      </c>
      <c r="BA352" s="21">
        <v>1.05</v>
      </c>
      <c r="BB352" s="21"/>
      <c r="BC352" s="21" t="s">
        <v>3705</v>
      </c>
      <c r="BD352" s="21">
        <v>0.09</v>
      </c>
      <c r="BE352" s="21">
        <v>0.24</v>
      </c>
      <c r="BF352" s="21"/>
    </row>
    <row r="353" spans="1:59" s="56" customFormat="1" x14ac:dyDescent="0.2">
      <c r="A353" s="40">
        <v>94</v>
      </c>
      <c r="B353" s="40" t="s">
        <v>645</v>
      </c>
      <c r="C353" s="40" t="s">
        <v>646</v>
      </c>
      <c r="D353" s="40" t="s">
        <v>647</v>
      </c>
      <c r="E353" s="40" t="s">
        <v>648</v>
      </c>
      <c r="F353" s="40" t="s">
        <v>94</v>
      </c>
      <c r="G353" s="40">
        <v>2003</v>
      </c>
      <c r="H353" s="85">
        <v>37863</v>
      </c>
      <c r="I353" s="40" t="s">
        <v>32</v>
      </c>
      <c r="J353" s="40" t="s">
        <v>32</v>
      </c>
      <c r="K353" s="40" t="s">
        <v>649</v>
      </c>
      <c r="L353" s="40">
        <v>1</v>
      </c>
      <c r="M353" s="40" t="s">
        <v>32</v>
      </c>
      <c r="N353" s="40" t="s">
        <v>34</v>
      </c>
      <c r="O353" s="40" t="s">
        <v>34</v>
      </c>
      <c r="P353" s="40" t="s">
        <v>34</v>
      </c>
      <c r="Q353" s="40" t="s">
        <v>34</v>
      </c>
      <c r="R353" s="40" t="s">
        <v>34</v>
      </c>
      <c r="S353" s="40" t="s">
        <v>34</v>
      </c>
      <c r="T353" s="40" t="s">
        <v>34</v>
      </c>
      <c r="U353" s="40" t="s">
        <v>34</v>
      </c>
      <c r="V353" s="40">
        <v>1</v>
      </c>
      <c r="W353" s="40" t="s">
        <v>32</v>
      </c>
      <c r="X353" s="40">
        <v>1</v>
      </c>
      <c r="Y353" s="40" t="s">
        <v>179</v>
      </c>
      <c r="Z353" s="40" t="s">
        <v>650</v>
      </c>
      <c r="AA353" s="40">
        <v>12946114</v>
      </c>
      <c r="AB353" s="21">
        <v>1</v>
      </c>
      <c r="AC353" s="21"/>
      <c r="AD353" s="21">
        <v>3</v>
      </c>
      <c r="AE353" s="21">
        <f t="shared" si="29"/>
        <v>46</v>
      </c>
      <c r="AF353" s="21">
        <v>22</v>
      </c>
      <c r="AG353" s="21">
        <v>24</v>
      </c>
      <c r="AH353" s="21" t="s">
        <v>2845</v>
      </c>
      <c r="AI353" s="21" t="s">
        <v>2845</v>
      </c>
      <c r="AJ353" s="21">
        <v>36.5</v>
      </c>
      <c r="AK353" s="21">
        <v>15.2</v>
      </c>
      <c r="AL353" s="21">
        <v>34.200000000000003</v>
      </c>
      <c r="AM353" s="21">
        <v>9.6999999999999993</v>
      </c>
      <c r="AN353" s="21" t="s">
        <v>2947</v>
      </c>
      <c r="AO353" s="21" t="s">
        <v>1638</v>
      </c>
      <c r="AP353" s="21" t="s">
        <v>2846</v>
      </c>
      <c r="AQ353" s="21" t="s">
        <v>3455</v>
      </c>
      <c r="AR353" s="21" t="s">
        <v>1646</v>
      </c>
      <c r="AS353" s="21" t="s">
        <v>3683</v>
      </c>
      <c r="AT353" s="21" t="s">
        <v>1646</v>
      </c>
      <c r="AU353" s="21" t="s">
        <v>3685</v>
      </c>
      <c r="AV353" s="21" t="s">
        <v>2848</v>
      </c>
      <c r="AW353" s="21">
        <v>60</v>
      </c>
      <c r="AX353" s="21">
        <v>67</v>
      </c>
      <c r="AY353" s="21" t="s">
        <v>3697</v>
      </c>
      <c r="AZ353" s="21">
        <v>0.36</v>
      </c>
      <c r="BA353" s="21">
        <v>0.66</v>
      </c>
      <c r="BB353" s="21"/>
      <c r="BC353" s="21" t="s">
        <v>3706</v>
      </c>
      <c r="BD353" s="21">
        <v>0.13</v>
      </c>
      <c r="BE353" s="21">
        <v>0.28000000000000003</v>
      </c>
      <c r="BF353" s="21"/>
    </row>
    <row r="354" spans="1:59" s="56" customFormat="1" x14ac:dyDescent="0.2">
      <c r="A354" s="40">
        <v>94</v>
      </c>
      <c r="B354" s="40" t="s">
        <v>645</v>
      </c>
      <c r="C354" s="40" t="s">
        <v>646</v>
      </c>
      <c r="D354" s="40" t="s">
        <v>647</v>
      </c>
      <c r="E354" s="40" t="s">
        <v>648</v>
      </c>
      <c r="F354" s="40" t="s">
        <v>94</v>
      </c>
      <c r="G354" s="40">
        <v>2003</v>
      </c>
      <c r="H354" s="85">
        <v>37863</v>
      </c>
      <c r="I354" s="40" t="s">
        <v>32</v>
      </c>
      <c r="J354" s="40" t="s">
        <v>32</v>
      </c>
      <c r="K354" s="40" t="s">
        <v>649</v>
      </c>
      <c r="L354" s="40">
        <v>1</v>
      </c>
      <c r="M354" s="40" t="s">
        <v>32</v>
      </c>
      <c r="N354" s="40" t="s">
        <v>34</v>
      </c>
      <c r="O354" s="40" t="s">
        <v>34</v>
      </c>
      <c r="P354" s="40" t="s">
        <v>34</v>
      </c>
      <c r="Q354" s="40" t="s">
        <v>34</v>
      </c>
      <c r="R354" s="40" t="s">
        <v>34</v>
      </c>
      <c r="S354" s="40" t="s">
        <v>34</v>
      </c>
      <c r="T354" s="40" t="s">
        <v>34</v>
      </c>
      <c r="U354" s="40" t="s">
        <v>34</v>
      </c>
      <c r="V354" s="40">
        <v>1</v>
      </c>
      <c r="W354" s="40" t="s">
        <v>32</v>
      </c>
      <c r="X354" s="40">
        <v>1</v>
      </c>
      <c r="Y354" s="40" t="s">
        <v>179</v>
      </c>
      <c r="Z354" s="40" t="s">
        <v>650</v>
      </c>
      <c r="AA354" s="40">
        <v>12946114</v>
      </c>
      <c r="AB354" s="21">
        <v>1</v>
      </c>
      <c r="AC354" s="21"/>
      <c r="AD354" s="21">
        <v>3</v>
      </c>
      <c r="AE354" s="21">
        <f t="shared" si="29"/>
        <v>46</v>
      </c>
      <c r="AF354" s="21">
        <v>22</v>
      </c>
      <c r="AG354" s="21">
        <v>24</v>
      </c>
      <c r="AH354" s="21" t="s">
        <v>2845</v>
      </c>
      <c r="AI354" s="21" t="s">
        <v>2845</v>
      </c>
      <c r="AJ354" s="21">
        <v>36.5</v>
      </c>
      <c r="AK354" s="21">
        <v>15.2</v>
      </c>
      <c r="AL354" s="21">
        <v>34.200000000000003</v>
      </c>
      <c r="AM354" s="21">
        <v>9.6999999999999993</v>
      </c>
      <c r="AN354" s="21" t="s">
        <v>2947</v>
      </c>
      <c r="AO354" s="21" t="s">
        <v>1638</v>
      </c>
      <c r="AP354" s="21" t="s">
        <v>2846</v>
      </c>
      <c r="AQ354" s="21" t="s">
        <v>3455</v>
      </c>
      <c r="AR354" s="21" t="s">
        <v>1646</v>
      </c>
      <c r="AS354" s="21" t="s">
        <v>3683</v>
      </c>
      <c r="AT354" s="21" t="s">
        <v>1646</v>
      </c>
      <c r="AU354" s="21" t="s">
        <v>3686</v>
      </c>
      <c r="AV354" s="21" t="s">
        <v>2848</v>
      </c>
      <c r="AW354" s="21">
        <v>60</v>
      </c>
      <c r="AX354" s="21">
        <v>67</v>
      </c>
      <c r="AY354" s="21" t="s">
        <v>3698</v>
      </c>
      <c r="AZ354" s="21">
        <v>0.22</v>
      </c>
      <c r="BA354" s="21">
        <v>0.38</v>
      </c>
      <c r="BB354" s="21"/>
      <c r="BC354" s="21" t="s">
        <v>3707</v>
      </c>
      <c r="BD354" s="21">
        <v>0.16</v>
      </c>
      <c r="BE354" s="21">
        <v>0.28999999999999998</v>
      </c>
      <c r="BF354" s="21"/>
    </row>
    <row r="355" spans="1:59" s="56" customFormat="1" x14ac:dyDescent="0.2">
      <c r="A355" s="40">
        <v>94</v>
      </c>
      <c r="B355" s="40" t="s">
        <v>645</v>
      </c>
      <c r="C355" s="40" t="s">
        <v>646</v>
      </c>
      <c r="D355" s="40" t="s">
        <v>647</v>
      </c>
      <c r="E355" s="40" t="s">
        <v>648</v>
      </c>
      <c r="F355" s="40" t="s">
        <v>94</v>
      </c>
      <c r="G355" s="40">
        <v>2003</v>
      </c>
      <c r="H355" s="85">
        <v>37863</v>
      </c>
      <c r="I355" s="40" t="s">
        <v>32</v>
      </c>
      <c r="J355" s="40" t="s">
        <v>32</v>
      </c>
      <c r="K355" s="40" t="s">
        <v>649</v>
      </c>
      <c r="L355" s="40">
        <v>1</v>
      </c>
      <c r="M355" s="40" t="s">
        <v>32</v>
      </c>
      <c r="N355" s="40" t="s">
        <v>34</v>
      </c>
      <c r="O355" s="40" t="s">
        <v>34</v>
      </c>
      <c r="P355" s="40" t="s">
        <v>34</v>
      </c>
      <c r="Q355" s="40" t="s">
        <v>34</v>
      </c>
      <c r="R355" s="40" t="s">
        <v>34</v>
      </c>
      <c r="S355" s="40" t="s">
        <v>34</v>
      </c>
      <c r="T355" s="40" t="s">
        <v>34</v>
      </c>
      <c r="U355" s="40" t="s">
        <v>34</v>
      </c>
      <c r="V355" s="40">
        <v>1</v>
      </c>
      <c r="W355" s="40" t="s">
        <v>32</v>
      </c>
      <c r="X355" s="40">
        <v>1</v>
      </c>
      <c r="Y355" s="40" t="s">
        <v>179</v>
      </c>
      <c r="Z355" s="40" t="s">
        <v>650</v>
      </c>
      <c r="AA355" s="40">
        <v>12946114</v>
      </c>
      <c r="AB355" s="21">
        <v>1</v>
      </c>
      <c r="AC355" s="21"/>
      <c r="AD355" s="21">
        <v>3</v>
      </c>
      <c r="AE355" s="21">
        <f t="shared" ref="AE355:AE359" si="30">AF355+AG355</f>
        <v>46</v>
      </c>
      <c r="AF355" s="21">
        <v>22</v>
      </c>
      <c r="AG355" s="21">
        <v>24</v>
      </c>
      <c r="AH355" s="21" t="s">
        <v>2845</v>
      </c>
      <c r="AI355" s="21" t="s">
        <v>2845</v>
      </c>
      <c r="AJ355" s="21">
        <v>36.5</v>
      </c>
      <c r="AK355" s="21">
        <v>15.2</v>
      </c>
      <c r="AL355" s="21">
        <v>34.200000000000003</v>
      </c>
      <c r="AM355" s="21">
        <v>9.6999999999999993</v>
      </c>
      <c r="AN355" s="21" t="s">
        <v>2947</v>
      </c>
      <c r="AO355" s="21" t="s">
        <v>1638</v>
      </c>
      <c r="AP355" s="21" t="s">
        <v>2846</v>
      </c>
      <c r="AQ355" s="21" t="s">
        <v>3455</v>
      </c>
      <c r="AR355" s="21" t="s">
        <v>1646</v>
      </c>
      <c r="AS355" s="21" t="s">
        <v>3683</v>
      </c>
      <c r="AT355" s="21" t="s">
        <v>1646</v>
      </c>
      <c r="AU355" s="56" t="s">
        <v>3711</v>
      </c>
      <c r="AV355" s="56" t="s">
        <v>2848</v>
      </c>
      <c r="AW355" s="21">
        <v>60</v>
      </c>
      <c r="AX355" s="21">
        <v>67</v>
      </c>
      <c r="AY355" s="56" t="s">
        <v>3712</v>
      </c>
      <c r="AZ355" s="21">
        <v>-7.0000000000000007E-2</v>
      </c>
      <c r="BA355" s="21">
        <v>0.17</v>
      </c>
      <c r="BB355" s="21"/>
      <c r="BC355" s="56" t="s">
        <v>3713</v>
      </c>
      <c r="BD355" s="21">
        <v>0.01</v>
      </c>
      <c r="BE355" s="21">
        <v>0.18</v>
      </c>
      <c r="BF355" s="21"/>
    </row>
    <row r="356" spans="1:59" s="56" customFormat="1" x14ac:dyDescent="0.2">
      <c r="A356" s="40">
        <v>94</v>
      </c>
      <c r="B356" s="40" t="s">
        <v>645</v>
      </c>
      <c r="C356" s="40" t="s">
        <v>646</v>
      </c>
      <c r="D356" s="40" t="s">
        <v>647</v>
      </c>
      <c r="E356" s="40" t="s">
        <v>648</v>
      </c>
      <c r="F356" s="40" t="s">
        <v>94</v>
      </c>
      <c r="G356" s="40">
        <v>2003</v>
      </c>
      <c r="H356" s="85">
        <v>37863</v>
      </c>
      <c r="I356" s="40" t="s">
        <v>32</v>
      </c>
      <c r="J356" s="40" t="s">
        <v>32</v>
      </c>
      <c r="K356" s="40" t="s">
        <v>649</v>
      </c>
      <c r="L356" s="40">
        <v>1</v>
      </c>
      <c r="M356" s="40" t="s">
        <v>32</v>
      </c>
      <c r="N356" s="40" t="s">
        <v>34</v>
      </c>
      <c r="O356" s="40" t="s">
        <v>34</v>
      </c>
      <c r="P356" s="40" t="s">
        <v>34</v>
      </c>
      <c r="Q356" s="40" t="s">
        <v>34</v>
      </c>
      <c r="R356" s="40" t="s">
        <v>34</v>
      </c>
      <c r="S356" s="40" t="s">
        <v>34</v>
      </c>
      <c r="T356" s="40" t="s">
        <v>34</v>
      </c>
      <c r="U356" s="40" t="s">
        <v>34</v>
      </c>
      <c r="V356" s="40">
        <v>1</v>
      </c>
      <c r="W356" s="40" t="s">
        <v>32</v>
      </c>
      <c r="X356" s="40">
        <v>1</v>
      </c>
      <c r="Y356" s="40" t="s">
        <v>179</v>
      </c>
      <c r="Z356" s="40" t="s">
        <v>650</v>
      </c>
      <c r="AA356" s="40">
        <v>12946114</v>
      </c>
      <c r="AB356" s="21">
        <v>1</v>
      </c>
      <c r="AC356" s="21"/>
      <c r="AD356" s="21">
        <v>3</v>
      </c>
      <c r="AE356" s="21">
        <f t="shared" si="30"/>
        <v>46</v>
      </c>
      <c r="AF356" s="21">
        <v>22</v>
      </c>
      <c r="AG356" s="21">
        <v>24</v>
      </c>
      <c r="AH356" s="21" t="s">
        <v>2845</v>
      </c>
      <c r="AI356" s="21" t="s">
        <v>2845</v>
      </c>
      <c r="AJ356" s="21">
        <v>36.5</v>
      </c>
      <c r="AK356" s="21">
        <v>15.2</v>
      </c>
      <c r="AL356" s="21">
        <v>34.200000000000003</v>
      </c>
      <c r="AM356" s="21">
        <v>9.6999999999999993</v>
      </c>
      <c r="AN356" s="21" t="s">
        <v>2947</v>
      </c>
      <c r="AO356" s="21" t="s">
        <v>1638</v>
      </c>
      <c r="AP356" s="21" t="s">
        <v>2846</v>
      </c>
      <c r="AQ356" s="21" t="s">
        <v>3455</v>
      </c>
      <c r="AR356" s="21" t="s">
        <v>1646</v>
      </c>
      <c r="AS356" s="21" t="s">
        <v>3683</v>
      </c>
      <c r="AT356" s="21" t="s">
        <v>1646</v>
      </c>
      <c r="AU356" s="21" t="s">
        <v>3693</v>
      </c>
      <c r="AV356" s="21" t="s">
        <v>2848</v>
      </c>
      <c r="AW356" s="21">
        <v>60</v>
      </c>
      <c r="AX356" s="21">
        <v>67</v>
      </c>
      <c r="AY356" s="21" t="s">
        <v>3699</v>
      </c>
      <c r="AZ356" s="21">
        <v>0.03</v>
      </c>
      <c r="BA356" s="21">
        <v>0.09</v>
      </c>
      <c r="BB356" s="21"/>
      <c r="BC356" s="21" t="s">
        <v>3708</v>
      </c>
      <c r="BD356" s="21">
        <v>0.01</v>
      </c>
      <c r="BE356" s="21">
        <v>0.09</v>
      </c>
      <c r="BF356" s="21"/>
    </row>
    <row r="357" spans="1:59" s="56" customFormat="1" x14ac:dyDescent="0.2">
      <c r="A357" s="40">
        <v>94</v>
      </c>
      <c r="B357" s="40" t="s">
        <v>645</v>
      </c>
      <c r="C357" s="40" t="s">
        <v>646</v>
      </c>
      <c r="D357" s="40" t="s">
        <v>647</v>
      </c>
      <c r="E357" s="40" t="s">
        <v>648</v>
      </c>
      <c r="F357" s="40" t="s">
        <v>94</v>
      </c>
      <c r="G357" s="40">
        <v>2003</v>
      </c>
      <c r="H357" s="85">
        <v>37863</v>
      </c>
      <c r="I357" s="40" t="s">
        <v>32</v>
      </c>
      <c r="J357" s="40" t="s">
        <v>32</v>
      </c>
      <c r="K357" s="40" t="s">
        <v>649</v>
      </c>
      <c r="L357" s="40">
        <v>1</v>
      </c>
      <c r="M357" s="40" t="s">
        <v>32</v>
      </c>
      <c r="N357" s="40" t="s">
        <v>34</v>
      </c>
      <c r="O357" s="40" t="s">
        <v>34</v>
      </c>
      <c r="P357" s="40" t="s">
        <v>34</v>
      </c>
      <c r="Q357" s="40" t="s">
        <v>34</v>
      </c>
      <c r="R357" s="40" t="s">
        <v>34</v>
      </c>
      <c r="S357" s="40" t="s">
        <v>34</v>
      </c>
      <c r="T357" s="40" t="s">
        <v>34</v>
      </c>
      <c r="U357" s="40" t="s">
        <v>34</v>
      </c>
      <c r="V357" s="40">
        <v>1</v>
      </c>
      <c r="W357" s="40" t="s">
        <v>32</v>
      </c>
      <c r="X357" s="40">
        <v>1</v>
      </c>
      <c r="Y357" s="40" t="s">
        <v>179</v>
      </c>
      <c r="Z357" s="40" t="s">
        <v>650</v>
      </c>
      <c r="AA357" s="40">
        <v>12946114</v>
      </c>
      <c r="AB357" s="21">
        <v>1</v>
      </c>
      <c r="AC357" s="21"/>
      <c r="AD357" s="21">
        <v>3</v>
      </c>
      <c r="AE357" s="21">
        <f t="shared" si="30"/>
        <v>46</v>
      </c>
      <c r="AF357" s="21">
        <v>22</v>
      </c>
      <c r="AG357" s="21">
        <v>24</v>
      </c>
      <c r="AH357" s="21" t="s">
        <v>2845</v>
      </c>
      <c r="AI357" s="21" t="s">
        <v>2845</v>
      </c>
      <c r="AJ357" s="21">
        <v>36.5</v>
      </c>
      <c r="AK357" s="21">
        <v>15.2</v>
      </c>
      <c r="AL357" s="21">
        <v>34.200000000000003</v>
      </c>
      <c r="AM357" s="21">
        <v>9.6999999999999993</v>
      </c>
      <c r="AN357" s="21" t="s">
        <v>2947</v>
      </c>
      <c r="AO357" s="21" t="s">
        <v>1638</v>
      </c>
      <c r="AP357" s="21" t="s">
        <v>2846</v>
      </c>
      <c r="AQ357" s="21" t="s">
        <v>3455</v>
      </c>
      <c r="AR357" s="21" t="s">
        <v>1646</v>
      </c>
      <c r="AS357" s="21" t="s">
        <v>3683</v>
      </c>
      <c r="AT357" s="21" t="s">
        <v>1646</v>
      </c>
      <c r="AU357" s="21" t="s">
        <v>3694</v>
      </c>
      <c r="AV357" s="21" t="s">
        <v>2848</v>
      </c>
      <c r="AW357" s="21">
        <v>60</v>
      </c>
      <c r="AX357" s="21">
        <v>67</v>
      </c>
      <c r="AY357" s="21" t="s">
        <v>3700</v>
      </c>
      <c r="AZ357" s="21">
        <v>0.01</v>
      </c>
      <c r="BA357" s="21">
        <v>0.06</v>
      </c>
      <c r="BB357" s="21"/>
      <c r="BC357" s="21" t="s">
        <v>3709</v>
      </c>
      <c r="BD357" s="21">
        <v>0.05</v>
      </c>
      <c r="BE357" s="21">
        <v>0.17</v>
      </c>
      <c r="BF357" s="21"/>
    </row>
    <row r="358" spans="1:59" s="56" customFormat="1" x14ac:dyDescent="0.2">
      <c r="A358" s="40">
        <v>94</v>
      </c>
      <c r="B358" s="40" t="s">
        <v>645</v>
      </c>
      <c r="C358" s="40" t="s">
        <v>646</v>
      </c>
      <c r="D358" s="40" t="s">
        <v>647</v>
      </c>
      <c r="E358" s="40" t="s">
        <v>648</v>
      </c>
      <c r="F358" s="40" t="s">
        <v>94</v>
      </c>
      <c r="G358" s="40">
        <v>2003</v>
      </c>
      <c r="H358" s="85">
        <v>37863</v>
      </c>
      <c r="I358" s="40" t="s">
        <v>32</v>
      </c>
      <c r="J358" s="40" t="s">
        <v>32</v>
      </c>
      <c r="K358" s="40" t="s">
        <v>649</v>
      </c>
      <c r="L358" s="40">
        <v>1</v>
      </c>
      <c r="M358" s="40" t="s">
        <v>32</v>
      </c>
      <c r="N358" s="40" t="s">
        <v>34</v>
      </c>
      <c r="O358" s="40" t="s">
        <v>34</v>
      </c>
      <c r="P358" s="40" t="s">
        <v>34</v>
      </c>
      <c r="Q358" s="40" t="s">
        <v>34</v>
      </c>
      <c r="R358" s="40" t="s">
        <v>34</v>
      </c>
      <c r="S358" s="40" t="s">
        <v>34</v>
      </c>
      <c r="T358" s="40" t="s">
        <v>34</v>
      </c>
      <c r="U358" s="40" t="s">
        <v>34</v>
      </c>
      <c r="V358" s="40">
        <v>1</v>
      </c>
      <c r="W358" s="40" t="s">
        <v>32</v>
      </c>
      <c r="X358" s="40">
        <v>1</v>
      </c>
      <c r="Y358" s="40" t="s">
        <v>179</v>
      </c>
      <c r="Z358" s="40" t="s">
        <v>650</v>
      </c>
      <c r="AA358" s="40">
        <v>12946114</v>
      </c>
      <c r="AB358" s="21">
        <v>1</v>
      </c>
      <c r="AC358" s="21"/>
      <c r="AD358" s="21">
        <v>3</v>
      </c>
      <c r="AE358" s="21">
        <f t="shared" si="30"/>
        <v>46</v>
      </c>
      <c r="AF358" s="21">
        <v>22</v>
      </c>
      <c r="AG358" s="21">
        <v>24</v>
      </c>
      <c r="AH358" s="21" t="s">
        <v>2845</v>
      </c>
      <c r="AI358" s="21" t="s">
        <v>2845</v>
      </c>
      <c r="AJ358" s="21">
        <v>36.5</v>
      </c>
      <c r="AK358" s="21">
        <v>15.2</v>
      </c>
      <c r="AL358" s="21">
        <v>34.200000000000003</v>
      </c>
      <c r="AM358" s="21">
        <v>9.6999999999999993</v>
      </c>
      <c r="AN358" s="21" t="s">
        <v>2947</v>
      </c>
      <c r="AO358" s="21" t="s">
        <v>1638</v>
      </c>
      <c r="AP358" s="21" t="s">
        <v>2846</v>
      </c>
      <c r="AQ358" s="21" t="s">
        <v>3455</v>
      </c>
      <c r="AR358" s="21" t="s">
        <v>1646</v>
      </c>
      <c r="AS358" s="21" t="s">
        <v>3683</v>
      </c>
      <c r="AT358" s="21" t="s">
        <v>1646</v>
      </c>
      <c r="AU358" s="21" t="s">
        <v>3695</v>
      </c>
      <c r="AV358" s="21" t="s">
        <v>2848</v>
      </c>
      <c r="AW358" s="21">
        <v>60</v>
      </c>
      <c r="AX358" s="21">
        <v>67</v>
      </c>
      <c r="AY358" s="21" t="s">
        <v>3701</v>
      </c>
      <c r="AZ358" s="21">
        <v>2E-3</v>
      </c>
      <c r="BA358" s="21">
        <v>0.06</v>
      </c>
      <c r="BB358" s="21"/>
      <c r="BC358" s="21" t="s">
        <v>3710</v>
      </c>
      <c r="BD358" s="21">
        <v>0.05</v>
      </c>
      <c r="BE358" s="21">
        <v>0.17</v>
      </c>
      <c r="BF358" s="21"/>
    </row>
    <row r="359" spans="1:59" s="56" customFormat="1" x14ac:dyDescent="0.2">
      <c r="A359" s="40">
        <v>94</v>
      </c>
      <c r="B359" s="40" t="s">
        <v>645</v>
      </c>
      <c r="C359" s="40" t="s">
        <v>646</v>
      </c>
      <c r="D359" s="40" t="s">
        <v>647</v>
      </c>
      <c r="E359" s="40" t="s">
        <v>648</v>
      </c>
      <c r="F359" s="40" t="s">
        <v>94</v>
      </c>
      <c r="G359" s="40">
        <v>2003</v>
      </c>
      <c r="H359" s="85">
        <v>37863</v>
      </c>
      <c r="I359" s="40" t="s">
        <v>32</v>
      </c>
      <c r="J359" s="40" t="s">
        <v>32</v>
      </c>
      <c r="K359" s="40" t="s">
        <v>649</v>
      </c>
      <c r="L359" s="40">
        <v>1</v>
      </c>
      <c r="M359" s="40" t="s">
        <v>32</v>
      </c>
      <c r="N359" s="40" t="s">
        <v>34</v>
      </c>
      <c r="O359" s="40" t="s">
        <v>34</v>
      </c>
      <c r="P359" s="40" t="s">
        <v>34</v>
      </c>
      <c r="Q359" s="40" t="s">
        <v>34</v>
      </c>
      <c r="R359" s="40" t="s">
        <v>34</v>
      </c>
      <c r="S359" s="40" t="s">
        <v>34</v>
      </c>
      <c r="T359" s="40" t="s">
        <v>34</v>
      </c>
      <c r="U359" s="40" t="s">
        <v>34</v>
      </c>
      <c r="V359" s="40">
        <v>1</v>
      </c>
      <c r="W359" s="40" t="s">
        <v>32</v>
      </c>
      <c r="X359" s="40">
        <v>1</v>
      </c>
      <c r="Y359" s="40" t="s">
        <v>179</v>
      </c>
      <c r="Z359" s="40" t="s">
        <v>650</v>
      </c>
      <c r="AA359" s="40">
        <v>12946114</v>
      </c>
      <c r="AB359" s="21">
        <v>1</v>
      </c>
      <c r="AC359" s="21"/>
      <c r="AD359" s="21">
        <v>3</v>
      </c>
      <c r="AE359" s="21">
        <f t="shared" si="30"/>
        <v>46</v>
      </c>
      <c r="AF359" s="21">
        <v>22</v>
      </c>
      <c r="AG359" s="21">
        <v>24</v>
      </c>
      <c r="AH359" s="21" t="s">
        <v>2845</v>
      </c>
      <c r="AI359" s="21" t="s">
        <v>2845</v>
      </c>
      <c r="AJ359" s="21">
        <v>36.5</v>
      </c>
      <c r="AK359" s="21">
        <v>15.2</v>
      </c>
      <c r="AL359" s="21">
        <v>34.200000000000003</v>
      </c>
      <c r="AM359" s="21">
        <v>9.6999999999999993</v>
      </c>
      <c r="AN359" s="21" t="s">
        <v>2947</v>
      </c>
      <c r="AO359" s="21" t="s">
        <v>1638</v>
      </c>
      <c r="AP359" s="21" t="s">
        <v>2846</v>
      </c>
      <c r="AQ359" s="21" t="s">
        <v>3455</v>
      </c>
      <c r="AR359" s="21" t="s">
        <v>1646</v>
      </c>
      <c r="AS359" s="21" t="s">
        <v>3683</v>
      </c>
      <c r="AT359" s="21" t="s">
        <v>1646</v>
      </c>
      <c r="AU359" s="21" t="s">
        <v>3714</v>
      </c>
      <c r="AV359" s="21" t="s">
        <v>2848</v>
      </c>
      <c r="AW359" s="21">
        <v>60</v>
      </c>
      <c r="AX359" s="21">
        <v>67</v>
      </c>
      <c r="AY359" s="21" t="s">
        <v>3715</v>
      </c>
      <c r="AZ359" s="21">
        <v>-0.01</v>
      </c>
      <c r="BA359" s="21">
        <v>0.04</v>
      </c>
      <c r="BB359" s="21"/>
      <c r="BC359" s="21" t="s">
        <v>3716</v>
      </c>
      <c r="BD359" s="21">
        <v>0.01</v>
      </c>
      <c r="BE359" s="21">
        <v>0.06</v>
      </c>
      <c r="BF359" s="21"/>
    </row>
    <row r="360" spans="1:59" s="56" customFormat="1" x14ac:dyDescent="0.2">
      <c r="A360" s="21">
        <v>95</v>
      </c>
      <c r="B360" s="21" t="s">
        <v>651</v>
      </c>
      <c r="C360" s="21" t="s">
        <v>652</v>
      </c>
      <c r="D360" s="21" t="s">
        <v>653</v>
      </c>
      <c r="E360" s="21" t="s">
        <v>654</v>
      </c>
      <c r="F360" s="21" t="s">
        <v>256</v>
      </c>
      <c r="G360" s="21">
        <v>2003</v>
      </c>
      <c r="H360" s="70">
        <v>37862</v>
      </c>
      <c r="I360" s="21" t="s">
        <v>32</v>
      </c>
      <c r="J360" s="21" t="s">
        <v>32</v>
      </c>
      <c r="K360" s="21" t="s">
        <v>655</v>
      </c>
      <c r="L360" s="21">
        <v>1</v>
      </c>
      <c r="M360" s="21" t="s">
        <v>32</v>
      </c>
      <c r="N360" s="21" t="s">
        <v>34</v>
      </c>
      <c r="O360" s="21" t="s">
        <v>34</v>
      </c>
      <c r="P360" s="21" t="s">
        <v>34</v>
      </c>
      <c r="Q360" s="21" t="s">
        <v>34</v>
      </c>
      <c r="R360" s="21" t="s">
        <v>631</v>
      </c>
      <c r="S360" s="21" t="s">
        <v>34</v>
      </c>
      <c r="T360" s="21" t="s">
        <v>34</v>
      </c>
      <c r="U360" s="21" t="s">
        <v>32</v>
      </c>
      <c r="V360" s="21">
        <v>1</v>
      </c>
      <c r="W360" s="21" t="s">
        <v>32</v>
      </c>
      <c r="X360" s="21" t="s">
        <v>32</v>
      </c>
      <c r="Y360" s="21" t="s">
        <v>656</v>
      </c>
      <c r="Z360" s="21" t="s">
        <v>32</v>
      </c>
      <c r="AA360" s="21">
        <v>12943029</v>
      </c>
      <c r="AB360" s="21"/>
      <c r="AC360" s="21"/>
      <c r="AD360" s="21"/>
      <c r="AE360" s="21">
        <f t="shared" si="28"/>
        <v>56</v>
      </c>
      <c r="AF360" s="21">
        <v>28</v>
      </c>
      <c r="AG360" s="21">
        <v>28</v>
      </c>
      <c r="AH360" s="21" t="s">
        <v>1769</v>
      </c>
      <c r="AI360" s="21" t="s">
        <v>1769</v>
      </c>
      <c r="AJ360" s="21">
        <v>31.8</v>
      </c>
      <c r="AK360" s="21">
        <v>11.46</v>
      </c>
      <c r="AL360" s="21">
        <v>31.8</v>
      </c>
      <c r="AM360" s="21">
        <v>11.46</v>
      </c>
      <c r="AN360" s="21" t="s">
        <v>3148</v>
      </c>
      <c r="AO360" s="21" t="s">
        <v>1638</v>
      </c>
      <c r="AP360" s="21" t="s">
        <v>2846</v>
      </c>
      <c r="AQ360" s="21" t="s">
        <v>3717</v>
      </c>
      <c r="AR360" s="21" t="s">
        <v>1646</v>
      </c>
      <c r="AS360" s="21" t="s">
        <v>3719</v>
      </c>
      <c r="AT360" s="21" t="s">
        <v>1646</v>
      </c>
      <c r="AU360" s="21" t="s">
        <v>3720</v>
      </c>
      <c r="AV360" s="21" t="s">
        <v>2848</v>
      </c>
      <c r="AW360" s="21">
        <v>61</v>
      </c>
      <c r="AX360" s="21">
        <v>68</v>
      </c>
      <c r="AY360" s="21" t="s">
        <v>3726</v>
      </c>
      <c r="AZ360" s="21">
        <v>0.32</v>
      </c>
      <c r="BA360" s="21">
        <v>0.42</v>
      </c>
      <c r="BB360" s="21"/>
      <c r="BC360" s="21" t="s">
        <v>3732</v>
      </c>
      <c r="BD360" s="21">
        <v>0.43</v>
      </c>
      <c r="BE360" s="21">
        <v>0.33</v>
      </c>
      <c r="BF360" s="21"/>
      <c r="BG360" s="56" t="s">
        <v>3718</v>
      </c>
    </row>
    <row r="361" spans="1:59" s="56" customFormat="1" x14ac:dyDescent="0.2">
      <c r="A361" s="21">
        <v>95</v>
      </c>
      <c r="B361" s="21" t="s">
        <v>651</v>
      </c>
      <c r="C361" s="21" t="s">
        <v>652</v>
      </c>
      <c r="D361" s="21" t="s">
        <v>653</v>
      </c>
      <c r="E361" s="21" t="s">
        <v>654</v>
      </c>
      <c r="F361" s="21" t="s">
        <v>256</v>
      </c>
      <c r="G361" s="21">
        <v>2003</v>
      </c>
      <c r="H361" s="70">
        <v>37862</v>
      </c>
      <c r="I361" s="21" t="s">
        <v>32</v>
      </c>
      <c r="J361" s="21" t="s">
        <v>32</v>
      </c>
      <c r="K361" s="21" t="s">
        <v>655</v>
      </c>
      <c r="L361" s="21">
        <v>1</v>
      </c>
      <c r="M361" s="21" t="s">
        <v>32</v>
      </c>
      <c r="N361" s="21" t="s">
        <v>34</v>
      </c>
      <c r="O361" s="21" t="s">
        <v>34</v>
      </c>
      <c r="P361" s="21" t="s">
        <v>34</v>
      </c>
      <c r="Q361" s="21" t="s">
        <v>34</v>
      </c>
      <c r="R361" s="21" t="s">
        <v>631</v>
      </c>
      <c r="S361" s="21" t="s">
        <v>34</v>
      </c>
      <c r="T361" s="21" t="s">
        <v>34</v>
      </c>
      <c r="U361" s="21" t="s">
        <v>32</v>
      </c>
      <c r="V361" s="21">
        <v>1</v>
      </c>
      <c r="W361" s="21" t="s">
        <v>32</v>
      </c>
      <c r="X361" s="21" t="s">
        <v>32</v>
      </c>
      <c r="Y361" s="21" t="s">
        <v>656</v>
      </c>
      <c r="Z361" s="21" t="s">
        <v>32</v>
      </c>
      <c r="AA361" s="21">
        <v>12943029</v>
      </c>
      <c r="AB361" s="21"/>
      <c r="AC361" s="21"/>
      <c r="AD361" s="21"/>
      <c r="AE361" s="21">
        <f t="shared" ref="AE361:AE365" si="31">AF361+AG361</f>
        <v>56</v>
      </c>
      <c r="AF361" s="21">
        <v>28</v>
      </c>
      <c r="AG361" s="21">
        <v>28</v>
      </c>
      <c r="AH361" s="21" t="s">
        <v>1769</v>
      </c>
      <c r="AI361" s="21" t="s">
        <v>1769</v>
      </c>
      <c r="AJ361" s="21">
        <v>31.8</v>
      </c>
      <c r="AK361" s="21">
        <v>11.46</v>
      </c>
      <c r="AL361" s="21">
        <v>31.8</v>
      </c>
      <c r="AM361" s="21">
        <v>11.46</v>
      </c>
      <c r="AN361" s="21" t="s">
        <v>3148</v>
      </c>
      <c r="AO361" s="21" t="s">
        <v>1638</v>
      </c>
      <c r="AP361" s="21" t="s">
        <v>2846</v>
      </c>
      <c r="AQ361" s="21" t="s">
        <v>3717</v>
      </c>
      <c r="AR361" s="21" t="s">
        <v>1646</v>
      </c>
      <c r="AS361" s="21" t="s">
        <v>3719</v>
      </c>
      <c r="AT361" s="21" t="s">
        <v>1646</v>
      </c>
      <c r="AU361" s="21" t="s">
        <v>3722</v>
      </c>
      <c r="AV361" s="21" t="s">
        <v>2848</v>
      </c>
      <c r="AW361" s="21">
        <v>61</v>
      </c>
      <c r="AX361" s="21">
        <v>68</v>
      </c>
      <c r="AY361" s="21" t="s">
        <v>3727</v>
      </c>
      <c r="AZ361" s="21">
        <v>0.11</v>
      </c>
      <c r="BA361" s="21">
        <v>0.21</v>
      </c>
      <c r="BB361" s="21"/>
      <c r="BC361" s="21" t="s">
        <v>3733</v>
      </c>
      <c r="BD361" s="21">
        <v>0.43</v>
      </c>
      <c r="BE361" s="21">
        <v>0.33</v>
      </c>
      <c r="BF361" s="21"/>
    </row>
    <row r="362" spans="1:59" s="56" customFormat="1" x14ac:dyDescent="0.2">
      <c r="A362" s="21">
        <v>95</v>
      </c>
      <c r="B362" s="21" t="s">
        <v>651</v>
      </c>
      <c r="C362" s="21" t="s">
        <v>652</v>
      </c>
      <c r="D362" s="21" t="s">
        <v>653</v>
      </c>
      <c r="E362" s="21" t="s">
        <v>654</v>
      </c>
      <c r="F362" s="21" t="s">
        <v>256</v>
      </c>
      <c r="G362" s="21">
        <v>2003</v>
      </c>
      <c r="H362" s="70">
        <v>37862</v>
      </c>
      <c r="I362" s="21" t="s">
        <v>32</v>
      </c>
      <c r="J362" s="21" t="s">
        <v>32</v>
      </c>
      <c r="K362" s="21" t="s">
        <v>655</v>
      </c>
      <c r="L362" s="21">
        <v>1</v>
      </c>
      <c r="M362" s="21" t="s">
        <v>32</v>
      </c>
      <c r="N362" s="21" t="s">
        <v>34</v>
      </c>
      <c r="O362" s="21" t="s">
        <v>34</v>
      </c>
      <c r="P362" s="21" t="s">
        <v>34</v>
      </c>
      <c r="Q362" s="21" t="s">
        <v>34</v>
      </c>
      <c r="R362" s="21" t="s">
        <v>631</v>
      </c>
      <c r="S362" s="21" t="s">
        <v>34</v>
      </c>
      <c r="T362" s="21" t="s">
        <v>34</v>
      </c>
      <c r="U362" s="21" t="s">
        <v>32</v>
      </c>
      <c r="V362" s="21">
        <v>1</v>
      </c>
      <c r="W362" s="21" t="s">
        <v>32</v>
      </c>
      <c r="X362" s="21" t="s">
        <v>32</v>
      </c>
      <c r="Y362" s="21" t="s">
        <v>656</v>
      </c>
      <c r="Z362" s="21" t="s">
        <v>32</v>
      </c>
      <c r="AA362" s="21">
        <v>12943029</v>
      </c>
      <c r="AB362" s="21"/>
      <c r="AC362" s="21"/>
      <c r="AD362" s="21"/>
      <c r="AE362" s="21">
        <f t="shared" si="31"/>
        <v>56</v>
      </c>
      <c r="AF362" s="21">
        <v>28</v>
      </c>
      <c r="AG362" s="21">
        <v>28</v>
      </c>
      <c r="AH362" s="21" t="s">
        <v>1769</v>
      </c>
      <c r="AI362" s="21" t="s">
        <v>1769</v>
      </c>
      <c r="AJ362" s="21">
        <v>31.8</v>
      </c>
      <c r="AK362" s="21">
        <v>11.46</v>
      </c>
      <c r="AL362" s="21">
        <v>31.8</v>
      </c>
      <c r="AM362" s="21">
        <v>11.46</v>
      </c>
      <c r="AN362" s="21" t="s">
        <v>3148</v>
      </c>
      <c r="AO362" s="21" t="s">
        <v>1638</v>
      </c>
      <c r="AP362" s="21" t="s">
        <v>2846</v>
      </c>
      <c r="AQ362" s="21" t="s">
        <v>3717</v>
      </c>
      <c r="AR362" s="21" t="s">
        <v>1646</v>
      </c>
      <c r="AS362" s="21" t="s">
        <v>3719</v>
      </c>
      <c r="AT362" s="21" t="s">
        <v>1646</v>
      </c>
      <c r="AU362" s="21" t="s">
        <v>3721</v>
      </c>
      <c r="AV362" s="21" t="s">
        <v>2848</v>
      </c>
      <c r="AW362" s="21">
        <v>61</v>
      </c>
      <c r="AX362" s="21">
        <v>68</v>
      </c>
      <c r="AY362" s="21" t="s">
        <v>3728</v>
      </c>
      <c r="AZ362" s="21">
        <v>0.18</v>
      </c>
      <c r="BA362" s="21">
        <v>0.25</v>
      </c>
      <c r="BB362" s="21"/>
      <c r="BC362" s="21" t="s">
        <v>3734</v>
      </c>
      <c r="BD362" s="21">
        <v>0.56999999999999995</v>
      </c>
      <c r="BE362" s="21">
        <v>0.39</v>
      </c>
      <c r="BF362" s="21"/>
    </row>
    <row r="363" spans="1:59" s="56" customFormat="1" x14ac:dyDescent="0.2">
      <c r="A363" s="21">
        <v>95</v>
      </c>
      <c r="B363" s="21" t="s">
        <v>651</v>
      </c>
      <c r="C363" s="21" t="s">
        <v>652</v>
      </c>
      <c r="D363" s="21" t="s">
        <v>653</v>
      </c>
      <c r="E363" s="21" t="s">
        <v>654</v>
      </c>
      <c r="F363" s="21" t="s">
        <v>256</v>
      </c>
      <c r="G363" s="21">
        <v>2003</v>
      </c>
      <c r="H363" s="70">
        <v>37862</v>
      </c>
      <c r="I363" s="21" t="s">
        <v>32</v>
      </c>
      <c r="J363" s="21" t="s">
        <v>32</v>
      </c>
      <c r="K363" s="21" t="s">
        <v>655</v>
      </c>
      <c r="L363" s="21">
        <v>1</v>
      </c>
      <c r="M363" s="21" t="s">
        <v>32</v>
      </c>
      <c r="N363" s="21" t="s">
        <v>34</v>
      </c>
      <c r="O363" s="21" t="s">
        <v>34</v>
      </c>
      <c r="P363" s="21" t="s">
        <v>34</v>
      </c>
      <c r="Q363" s="21" t="s">
        <v>34</v>
      </c>
      <c r="R363" s="21" t="s">
        <v>631</v>
      </c>
      <c r="S363" s="21" t="s">
        <v>34</v>
      </c>
      <c r="T363" s="21" t="s">
        <v>34</v>
      </c>
      <c r="U363" s="21" t="s">
        <v>32</v>
      </c>
      <c r="V363" s="21">
        <v>1</v>
      </c>
      <c r="W363" s="21" t="s">
        <v>32</v>
      </c>
      <c r="X363" s="21" t="s">
        <v>32</v>
      </c>
      <c r="Y363" s="21" t="s">
        <v>656</v>
      </c>
      <c r="Z363" s="21" t="s">
        <v>32</v>
      </c>
      <c r="AA363" s="21">
        <v>12943029</v>
      </c>
      <c r="AB363" s="21"/>
      <c r="AC363" s="21"/>
      <c r="AD363" s="21"/>
      <c r="AE363" s="21">
        <f t="shared" si="31"/>
        <v>56</v>
      </c>
      <c r="AF363" s="21">
        <v>28</v>
      </c>
      <c r="AG363" s="21">
        <v>28</v>
      </c>
      <c r="AH363" s="21" t="s">
        <v>1769</v>
      </c>
      <c r="AI363" s="21" t="s">
        <v>1769</v>
      </c>
      <c r="AJ363" s="21">
        <v>31.8</v>
      </c>
      <c r="AK363" s="21">
        <v>11.46</v>
      </c>
      <c r="AL363" s="21">
        <v>31.8</v>
      </c>
      <c r="AM363" s="21">
        <v>11.46</v>
      </c>
      <c r="AN363" s="21" t="s">
        <v>3148</v>
      </c>
      <c r="AO363" s="21" t="s">
        <v>1638</v>
      </c>
      <c r="AP363" s="21" t="s">
        <v>2846</v>
      </c>
      <c r="AQ363" s="21" t="s">
        <v>3717</v>
      </c>
      <c r="AR363" s="21" t="s">
        <v>1646</v>
      </c>
      <c r="AS363" s="21" t="s">
        <v>3719</v>
      </c>
      <c r="AT363" s="21" t="s">
        <v>1646</v>
      </c>
      <c r="AU363" s="56" t="s">
        <v>3723</v>
      </c>
      <c r="AV363" s="21" t="s">
        <v>2848</v>
      </c>
      <c r="AW363" s="21">
        <v>61</v>
      </c>
      <c r="AX363" s="21">
        <v>68</v>
      </c>
      <c r="AY363" s="21" t="s">
        <v>3729</v>
      </c>
      <c r="AZ363" s="21">
        <v>0.82</v>
      </c>
      <c r="BA363" s="21">
        <v>0.32</v>
      </c>
      <c r="BB363" s="21"/>
      <c r="BC363" s="21" t="s">
        <v>3735</v>
      </c>
      <c r="BD363" s="21">
        <v>0.79</v>
      </c>
      <c r="BE363" s="21">
        <v>0.26</v>
      </c>
      <c r="BF363" s="21"/>
    </row>
    <row r="364" spans="1:59" s="56" customFormat="1" x14ac:dyDescent="0.2">
      <c r="A364" s="21">
        <v>95</v>
      </c>
      <c r="B364" s="21" t="s">
        <v>651</v>
      </c>
      <c r="C364" s="21" t="s">
        <v>652</v>
      </c>
      <c r="D364" s="21" t="s">
        <v>653</v>
      </c>
      <c r="E364" s="21" t="s">
        <v>654</v>
      </c>
      <c r="F364" s="21" t="s">
        <v>256</v>
      </c>
      <c r="G364" s="21">
        <v>2003</v>
      </c>
      <c r="H364" s="70">
        <v>37862</v>
      </c>
      <c r="I364" s="21" t="s">
        <v>32</v>
      </c>
      <c r="J364" s="21" t="s">
        <v>32</v>
      </c>
      <c r="K364" s="21" t="s">
        <v>655</v>
      </c>
      <c r="L364" s="21">
        <v>1</v>
      </c>
      <c r="M364" s="21" t="s">
        <v>32</v>
      </c>
      <c r="N364" s="21" t="s">
        <v>34</v>
      </c>
      <c r="O364" s="21" t="s">
        <v>34</v>
      </c>
      <c r="P364" s="21" t="s">
        <v>34</v>
      </c>
      <c r="Q364" s="21" t="s">
        <v>34</v>
      </c>
      <c r="R364" s="21" t="s">
        <v>631</v>
      </c>
      <c r="S364" s="21" t="s">
        <v>34</v>
      </c>
      <c r="T364" s="21" t="s">
        <v>34</v>
      </c>
      <c r="U364" s="21" t="s">
        <v>32</v>
      </c>
      <c r="V364" s="21">
        <v>1</v>
      </c>
      <c r="W364" s="21" t="s">
        <v>32</v>
      </c>
      <c r="X364" s="21" t="s">
        <v>32</v>
      </c>
      <c r="Y364" s="21" t="s">
        <v>656</v>
      </c>
      <c r="Z364" s="21" t="s">
        <v>32</v>
      </c>
      <c r="AA364" s="21">
        <v>12943029</v>
      </c>
      <c r="AB364" s="21"/>
      <c r="AC364" s="21"/>
      <c r="AD364" s="21"/>
      <c r="AE364" s="21">
        <f t="shared" si="31"/>
        <v>56</v>
      </c>
      <c r="AF364" s="21">
        <v>28</v>
      </c>
      <c r="AG364" s="21">
        <v>28</v>
      </c>
      <c r="AH364" s="21" t="s">
        <v>1769</v>
      </c>
      <c r="AI364" s="21" t="s">
        <v>1769</v>
      </c>
      <c r="AJ364" s="21">
        <v>31.8</v>
      </c>
      <c r="AK364" s="21">
        <v>11.46</v>
      </c>
      <c r="AL364" s="21">
        <v>31.8</v>
      </c>
      <c r="AM364" s="21">
        <v>11.46</v>
      </c>
      <c r="AN364" s="21" t="s">
        <v>3148</v>
      </c>
      <c r="AO364" s="21" t="s">
        <v>1638</v>
      </c>
      <c r="AP364" s="21" t="s">
        <v>2846</v>
      </c>
      <c r="AQ364" s="21" t="s">
        <v>3717</v>
      </c>
      <c r="AR364" s="21" t="s">
        <v>1646</v>
      </c>
      <c r="AS364" s="21" t="s">
        <v>3719</v>
      </c>
      <c r="AT364" s="21" t="s">
        <v>1646</v>
      </c>
      <c r="AU364" s="21" t="s">
        <v>3724</v>
      </c>
      <c r="AV364" s="21" t="s">
        <v>2848</v>
      </c>
      <c r="AW364" s="21">
        <v>61</v>
      </c>
      <c r="AX364" s="21">
        <v>68</v>
      </c>
      <c r="AY364" s="21" t="s">
        <v>3730</v>
      </c>
      <c r="AZ364" s="21">
        <v>0.56999999999999995</v>
      </c>
      <c r="BA364" s="21">
        <v>0.39</v>
      </c>
      <c r="BB364" s="21"/>
      <c r="BC364" s="21" t="s">
        <v>3736</v>
      </c>
      <c r="BD364" s="21">
        <v>0.71</v>
      </c>
      <c r="BE364" s="21">
        <v>0.32</v>
      </c>
      <c r="BF364" s="21"/>
    </row>
    <row r="365" spans="1:59" s="56" customFormat="1" x14ac:dyDescent="0.2">
      <c r="A365" s="21">
        <v>95</v>
      </c>
      <c r="B365" s="21" t="s">
        <v>651</v>
      </c>
      <c r="C365" s="21" t="s">
        <v>652</v>
      </c>
      <c r="D365" s="21" t="s">
        <v>653</v>
      </c>
      <c r="E365" s="21" t="s">
        <v>654</v>
      </c>
      <c r="F365" s="21" t="s">
        <v>256</v>
      </c>
      <c r="G365" s="21">
        <v>2003</v>
      </c>
      <c r="H365" s="70">
        <v>37862</v>
      </c>
      <c r="I365" s="21" t="s">
        <v>32</v>
      </c>
      <c r="J365" s="21" t="s">
        <v>32</v>
      </c>
      <c r="K365" s="21" t="s">
        <v>655</v>
      </c>
      <c r="L365" s="21">
        <v>1</v>
      </c>
      <c r="M365" s="21" t="s">
        <v>32</v>
      </c>
      <c r="N365" s="21" t="s">
        <v>34</v>
      </c>
      <c r="O365" s="21" t="s">
        <v>34</v>
      </c>
      <c r="P365" s="21" t="s">
        <v>34</v>
      </c>
      <c r="Q365" s="21" t="s">
        <v>34</v>
      </c>
      <c r="R365" s="21" t="s">
        <v>631</v>
      </c>
      <c r="S365" s="21" t="s">
        <v>34</v>
      </c>
      <c r="T365" s="21" t="s">
        <v>34</v>
      </c>
      <c r="U365" s="21" t="s">
        <v>32</v>
      </c>
      <c r="V365" s="21">
        <v>1</v>
      </c>
      <c r="W365" s="21" t="s">
        <v>32</v>
      </c>
      <c r="X365" s="21" t="s">
        <v>32</v>
      </c>
      <c r="Y365" s="21" t="s">
        <v>656</v>
      </c>
      <c r="Z365" s="21" t="s">
        <v>32</v>
      </c>
      <c r="AA365" s="21">
        <v>12943029</v>
      </c>
      <c r="AB365" s="21"/>
      <c r="AC365" s="21"/>
      <c r="AD365" s="21"/>
      <c r="AE365" s="21">
        <f t="shared" si="31"/>
        <v>56</v>
      </c>
      <c r="AF365" s="21">
        <v>28</v>
      </c>
      <c r="AG365" s="21">
        <v>28</v>
      </c>
      <c r="AH365" s="21" t="s">
        <v>1769</v>
      </c>
      <c r="AI365" s="21" t="s">
        <v>1769</v>
      </c>
      <c r="AJ365" s="21">
        <v>31.8</v>
      </c>
      <c r="AK365" s="21">
        <v>11.46</v>
      </c>
      <c r="AL365" s="21">
        <v>31.8</v>
      </c>
      <c r="AM365" s="21">
        <v>11.46</v>
      </c>
      <c r="AN365" s="21" t="s">
        <v>3148</v>
      </c>
      <c r="AO365" s="21" t="s">
        <v>1638</v>
      </c>
      <c r="AP365" s="21" t="s">
        <v>2846</v>
      </c>
      <c r="AQ365" s="21" t="s">
        <v>3717</v>
      </c>
      <c r="AR365" s="21" t="s">
        <v>1646</v>
      </c>
      <c r="AS365" s="21" t="s">
        <v>3719</v>
      </c>
      <c r="AT365" s="21" t="s">
        <v>1646</v>
      </c>
      <c r="AU365" s="21" t="s">
        <v>3725</v>
      </c>
      <c r="AV365" s="21" t="s">
        <v>2848</v>
      </c>
      <c r="AW365" s="21">
        <v>61</v>
      </c>
      <c r="AX365" s="21">
        <v>68</v>
      </c>
      <c r="AY365" s="21" t="s">
        <v>3731</v>
      </c>
      <c r="AZ365" s="21">
        <v>0.75</v>
      </c>
      <c r="BA365" s="21">
        <v>0.33</v>
      </c>
      <c r="BB365" s="21"/>
      <c r="BC365" s="21" t="s">
        <v>3737</v>
      </c>
      <c r="BD365" s="21">
        <v>0.89</v>
      </c>
      <c r="BE365" s="21">
        <v>0.21</v>
      </c>
      <c r="BF365" s="21"/>
    </row>
    <row r="366" spans="1:59" s="65" customFormat="1" x14ac:dyDescent="0.2">
      <c r="A366" s="20">
        <v>96</v>
      </c>
      <c r="B366" s="20" t="s">
        <v>657</v>
      </c>
      <c r="C366" s="20" t="s">
        <v>658</v>
      </c>
      <c r="D366" s="20" t="s">
        <v>659</v>
      </c>
      <c r="E366" s="20" t="s">
        <v>617</v>
      </c>
      <c r="F366" s="20" t="s">
        <v>468</v>
      </c>
      <c r="G366" s="20">
        <v>2003</v>
      </c>
      <c r="H366" s="64">
        <v>37755</v>
      </c>
      <c r="I366" s="20" t="s">
        <v>32</v>
      </c>
      <c r="J366" s="20" t="s">
        <v>32</v>
      </c>
      <c r="K366" s="20" t="s">
        <v>660</v>
      </c>
      <c r="L366" s="20">
        <v>1</v>
      </c>
      <c r="M366" s="20" t="s">
        <v>661</v>
      </c>
      <c r="N366" s="20" t="s">
        <v>34</v>
      </c>
      <c r="O366" s="20" t="s">
        <v>34</v>
      </c>
      <c r="P366" s="20" t="s">
        <v>34</v>
      </c>
      <c r="Q366" s="20" t="s">
        <v>34</v>
      </c>
      <c r="R366" s="20" t="s">
        <v>34</v>
      </c>
      <c r="S366" s="20" t="s">
        <v>34</v>
      </c>
      <c r="T366" s="20" t="s">
        <v>34</v>
      </c>
      <c r="U366" s="20" t="s">
        <v>32</v>
      </c>
      <c r="V366" s="20">
        <v>1</v>
      </c>
      <c r="W366" s="20" t="s">
        <v>32</v>
      </c>
      <c r="X366" s="20" t="s">
        <v>32</v>
      </c>
      <c r="Y366" s="20" t="s">
        <v>644</v>
      </c>
      <c r="Z366" s="20" t="s">
        <v>32</v>
      </c>
      <c r="AA366" s="20">
        <v>12742675</v>
      </c>
      <c r="AB366" s="20">
        <v>0</v>
      </c>
      <c r="AC366" s="20" t="s">
        <v>3456</v>
      </c>
      <c r="AD366" s="20"/>
      <c r="AE366" s="20">
        <f t="shared" si="28"/>
        <v>0</v>
      </c>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row>
    <row r="367" spans="1:59" x14ac:dyDescent="0.2">
      <c r="A367" s="7">
        <v>97</v>
      </c>
      <c r="B367" s="7" t="s">
        <v>662</v>
      </c>
      <c r="C367" s="7" t="s">
        <v>663</v>
      </c>
      <c r="D367" s="7" t="s">
        <v>664</v>
      </c>
      <c r="E367" s="7" t="s">
        <v>665</v>
      </c>
      <c r="F367" s="7" t="s">
        <v>468</v>
      </c>
      <c r="G367" s="7">
        <v>2002</v>
      </c>
      <c r="H367" s="8">
        <v>37594</v>
      </c>
      <c r="I367" s="7" t="s">
        <v>32</v>
      </c>
      <c r="J367" s="7" t="s">
        <v>32</v>
      </c>
      <c r="K367" s="7" t="s">
        <v>666</v>
      </c>
      <c r="L367" s="7">
        <v>1</v>
      </c>
      <c r="M367" s="7" t="s">
        <v>32</v>
      </c>
      <c r="N367" s="7" t="s">
        <v>34</v>
      </c>
      <c r="O367" s="7" t="s">
        <v>34</v>
      </c>
      <c r="P367" s="7" t="s">
        <v>34</v>
      </c>
      <c r="Q367" s="7" t="s">
        <v>34</v>
      </c>
      <c r="R367" s="7" t="s">
        <v>34</v>
      </c>
      <c r="S367" s="7" t="s">
        <v>34</v>
      </c>
      <c r="T367" s="7" t="s">
        <v>34</v>
      </c>
      <c r="U367" s="7" t="s">
        <v>32</v>
      </c>
      <c r="V367" s="7">
        <v>1</v>
      </c>
      <c r="W367" s="7" t="s">
        <v>32</v>
      </c>
      <c r="X367" s="7" t="s">
        <v>32</v>
      </c>
      <c r="Y367" s="7" t="s">
        <v>32</v>
      </c>
      <c r="Z367" s="7" t="s">
        <v>32</v>
      </c>
      <c r="AA367" s="7">
        <v>12460691</v>
      </c>
      <c r="AB367" s="7">
        <v>1</v>
      </c>
      <c r="AC367" s="7"/>
      <c r="AD367" s="7">
        <v>3</v>
      </c>
      <c r="AE367" s="7">
        <f t="shared" si="28"/>
        <v>38</v>
      </c>
      <c r="AF367" s="7">
        <v>17</v>
      </c>
      <c r="AG367" s="7">
        <v>21</v>
      </c>
      <c r="AH367" s="7" t="s">
        <v>1769</v>
      </c>
      <c r="AI367" s="7" t="s">
        <v>1769</v>
      </c>
      <c r="AJ367" s="7">
        <v>33.799999999999997</v>
      </c>
      <c r="AK367" s="7">
        <v>9.8000000000000007</v>
      </c>
      <c r="AL367" s="7">
        <v>34.5</v>
      </c>
      <c r="AM367" s="7">
        <v>9</v>
      </c>
      <c r="AN367" s="7" t="s">
        <v>3148</v>
      </c>
      <c r="AO367" s="7" t="s">
        <v>1770</v>
      </c>
      <c r="AP367" s="7" t="s">
        <v>3457</v>
      </c>
      <c r="AQ367" s="7" t="s">
        <v>3255</v>
      </c>
      <c r="AR367" s="7" t="s">
        <v>1646</v>
      </c>
      <c r="AS367" s="7" t="s">
        <v>2920</v>
      </c>
      <c r="AT367" s="7" t="s">
        <v>1646</v>
      </c>
      <c r="AU367" s="7" t="s">
        <v>3459</v>
      </c>
      <c r="AV367" s="7" t="s">
        <v>2907</v>
      </c>
      <c r="AW367" s="7">
        <v>54</v>
      </c>
      <c r="AX367" s="7">
        <v>59</v>
      </c>
      <c r="AY367" s="7" t="s">
        <v>3468</v>
      </c>
      <c r="AZ367" s="7">
        <v>13.6</v>
      </c>
      <c r="BA367" s="7">
        <v>3.7</v>
      </c>
      <c r="BB367" s="7"/>
      <c r="BC367" s="7" t="s">
        <v>3494</v>
      </c>
      <c r="BD367" s="7">
        <v>12.7</v>
      </c>
      <c r="BE367" s="7">
        <v>4.5</v>
      </c>
      <c r="BF367" s="7"/>
    </row>
    <row r="368" spans="1:59" x14ac:dyDescent="0.2">
      <c r="A368" s="7">
        <v>97</v>
      </c>
      <c r="B368" s="7" t="s">
        <v>662</v>
      </c>
      <c r="C368" s="7" t="s">
        <v>663</v>
      </c>
      <c r="D368" s="7" t="s">
        <v>664</v>
      </c>
      <c r="E368" s="7" t="s">
        <v>665</v>
      </c>
      <c r="F368" s="7" t="s">
        <v>468</v>
      </c>
      <c r="G368" s="7">
        <v>2002</v>
      </c>
      <c r="H368" s="8">
        <v>37594</v>
      </c>
      <c r="I368" s="7" t="s">
        <v>32</v>
      </c>
      <c r="J368" s="7" t="s">
        <v>32</v>
      </c>
      <c r="K368" s="7" t="s">
        <v>666</v>
      </c>
      <c r="L368" s="7">
        <v>1</v>
      </c>
      <c r="M368" s="7" t="s">
        <v>32</v>
      </c>
      <c r="N368" s="7" t="s">
        <v>34</v>
      </c>
      <c r="O368" s="7" t="s">
        <v>34</v>
      </c>
      <c r="P368" s="7" t="s">
        <v>34</v>
      </c>
      <c r="Q368" s="7" t="s">
        <v>34</v>
      </c>
      <c r="R368" s="7" t="s">
        <v>34</v>
      </c>
      <c r="S368" s="7" t="s">
        <v>34</v>
      </c>
      <c r="T368" s="7" t="s">
        <v>34</v>
      </c>
      <c r="U368" s="7" t="s">
        <v>32</v>
      </c>
      <c r="V368" s="7">
        <v>1</v>
      </c>
      <c r="W368" s="7" t="s">
        <v>32</v>
      </c>
      <c r="X368" s="7" t="s">
        <v>32</v>
      </c>
      <c r="Y368" s="7" t="s">
        <v>32</v>
      </c>
      <c r="Z368" s="7" t="s">
        <v>32</v>
      </c>
      <c r="AA368" s="7">
        <v>12460691</v>
      </c>
      <c r="AB368" s="7">
        <v>1</v>
      </c>
      <c r="AC368" s="7"/>
      <c r="AD368" s="7">
        <v>3</v>
      </c>
      <c r="AE368" s="7">
        <f t="shared" si="28"/>
        <v>38</v>
      </c>
      <c r="AF368" s="7">
        <v>17</v>
      </c>
      <c r="AG368" s="7">
        <v>21</v>
      </c>
      <c r="AH368" s="7" t="s">
        <v>1769</v>
      </c>
      <c r="AI368" s="7" t="s">
        <v>1769</v>
      </c>
      <c r="AJ368" s="7">
        <v>33.799999999999997</v>
      </c>
      <c r="AK368" s="7">
        <v>9.8000000000000007</v>
      </c>
      <c r="AL368" s="7">
        <v>34.5</v>
      </c>
      <c r="AM368" s="7">
        <v>9</v>
      </c>
      <c r="AN368" s="7" t="s">
        <v>3148</v>
      </c>
      <c r="AO368" s="7" t="s">
        <v>1770</v>
      </c>
      <c r="AP368" s="7" t="s">
        <v>3457</v>
      </c>
      <c r="AQ368" s="7" t="s">
        <v>3255</v>
      </c>
      <c r="AR368" s="7" t="s">
        <v>1646</v>
      </c>
      <c r="AS368" s="7" t="s">
        <v>2920</v>
      </c>
      <c r="AT368" s="7" t="s">
        <v>1646</v>
      </c>
      <c r="AU368" s="7" t="s">
        <v>3460</v>
      </c>
      <c r="AV368" s="7" t="s">
        <v>2907</v>
      </c>
      <c r="AW368" s="7">
        <v>54</v>
      </c>
      <c r="AX368" s="7">
        <v>59</v>
      </c>
      <c r="AY368" s="7" t="s">
        <v>3469</v>
      </c>
      <c r="AZ368" s="7">
        <v>12.2</v>
      </c>
      <c r="BA368" s="7">
        <v>3.8</v>
      </c>
      <c r="BB368" s="7"/>
      <c r="BC368" s="7" t="s">
        <v>3495</v>
      </c>
      <c r="BD368" s="7">
        <v>11.6</v>
      </c>
      <c r="BE368" s="7">
        <v>4.8</v>
      </c>
      <c r="BF368" s="7"/>
    </row>
    <row r="369" spans="1:58" x14ac:dyDescent="0.2">
      <c r="A369" s="7">
        <v>97</v>
      </c>
      <c r="B369" s="7" t="s">
        <v>662</v>
      </c>
      <c r="C369" s="7" t="s">
        <v>663</v>
      </c>
      <c r="D369" s="7" t="s">
        <v>664</v>
      </c>
      <c r="E369" s="7" t="s">
        <v>665</v>
      </c>
      <c r="F369" s="7" t="s">
        <v>468</v>
      </c>
      <c r="G369" s="7">
        <v>2002</v>
      </c>
      <c r="H369" s="8">
        <v>37594</v>
      </c>
      <c r="I369" s="7" t="s">
        <v>32</v>
      </c>
      <c r="J369" s="7" t="s">
        <v>32</v>
      </c>
      <c r="K369" s="7" t="s">
        <v>666</v>
      </c>
      <c r="L369" s="7">
        <v>1</v>
      </c>
      <c r="M369" s="7" t="s">
        <v>32</v>
      </c>
      <c r="N369" s="7" t="s">
        <v>34</v>
      </c>
      <c r="O369" s="7" t="s">
        <v>34</v>
      </c>
      <c r="P369" s="7" t="s">
        <v>34</v>
      </c>
      <c r="Q369" s="7" t="s">
        <v>34</v>
      </c>
      <c r="R369" s="7" t="s">
        <v>34</v>
      </c>
      <c r="S369" s="7" t="s">
        <v>34</v>
      </c>
      <c r="T369" s="7" t="s">
        <v>34</v>
      </c>
      <c r="U369" s="7" t="s">
        <v>32</v>
      </c>
      <c r="V369" s="7">
        <v>1</v>
      </c>
      <c r="W369" s="7" t="s">
        <v>32</v>
      </c>
      <c r="X369" s="7" t="s">
        <v>32</v>
      </c>
      <c r="Y369" s="7" t="s">
        <v>32</v>
      </c>
      <c r="Z369" s="7" t="s">
        <v>32</v>
      </c>
      <c r="AA369" s="7">
        <v>12460691</v>
      </c>
      <c r="AB369" s="7">
        <v>1</v>
      </c>
      <c r="AC369" s="7"/>
      <c r="AD369" s="7">
        <v>3</v>
      </c>
      <c r="AE369" s="7">
        <f t="shared" si="28"/>
        <v>38</v>
      </c>
      <c r="AF369" s="7">
        <v>17</v>
      </c>
      <c r="AG369" s="7">
        <v>21</v>
      </c>
      <c r="AH369" s="7" t="s">
        <v>1769</v>
      </c>
      <c r="AI369" s="7" t="s">
        <v>1769</v>
      </c>
      <c r="AJ369" s="7">
        <v>33.799999999999997</v>
      </c>
      <c r="AK369" s="7">
        <v>9.8000000000000007</v>
      </c>
      <c r="AL369" s="7">
        <v>34.5</v>
      </c>
      <c r="AM369" s="7">
        <v>9</v>
      </c>
      <c r="AN369" s="7" t="s">
        <v>3148</v>
      </c>
      <c r="AO369" s="7" t="s">
        <v>1770</v>
      </c>
      <c r="AP369" s="7" t="s">
        <v>3457</v>
      </c>
      <c r="AQ369" s="7" t="s">
        <v>3255</v>
      </c>
      <c r="AR369" s="7" t="s">
        <v>1646</v>
      </c>
      <c r="AS369" s="7" t="s">
        <v>2920</v>
      </c>
      <c r="AT369" s="7" t="s">
        <v>1646</v>
      </c>
      <c r="AU369" s="7" t="s">
        <v>3461</v>
      </c>
      <c r="AV369" s="7" t="s">
        <v>2907</v>
      </c>
      <c r="AW369" s="7">
        <v>54</v>
      </c>
      <c r="AX369" s="7">
        <v>59</v>
      </c>
      <c r="AY369" s="7" t="s">
        <v>3470</v>
      </c>
      <c r="AZ369" s="7">
        <v>88.3</v>
      </c>
      <c r="BA369" s="7">
        <v>11.6</v>
      </c>
      <c r="BB369" s="7"/>
      <c r="BC369" s="7" t="s">
        <v>3496</v>
      </c>
      <c r="BD369" s="7">
        <v>89.2</v>
      </c>
      <c r="BE369" s="7">
        <v>16.5</v>
      </c>
      <c r="BF369" s="7"/>
    </row>
    <row r="370" spans="1:58" x14ac:dyDescent="0.2">
      <c r="A370" s="7">
        <v>97</v>
      </c>
      <c r="B370" s="7" t="s">
        <v>662</v>
      </c>
      <c r="C370" s="7" t="s">
        <v>663</v>
      </c>
      <c r="D370" s="7" t="s">
        <v>664</v>
      </c>
      <c r="E370" s="7" t="s">
        <v>665</v>
      </c>
      <c r="F370" s="7" t="s">
        <v>468</v>
      </c>
      <c r="G370" s="7">
        <v>2002</v>
      </c>
      <c r="H370" s="8">
        <v>37594</v>
      </c>
      <c r="I370" s="7" t="s">
        <v>32</v>
      </c>
      <c r="J370" s="7" t="s">
        <v>32</v>
      </c>
      <c r="K370" s="7" t="s">
        <v>666</v>
      </c>
      <c r="L370" s="7">
        <v>1</v>
      </c>
      <c r="M370" s="7" t="s">
        <v>32</v>
      </c>
      <c r="N370" s="7" t="s">
        <v>34</v>
      </c>
      <c r="O370" s="7" t="s">
        <v>34</v>
      </c>
      <c r="P370" s="7" t="s">
        <v>34</v>
      </c>
      <c r="Q370" s="7" t="s">
        <v>34</v>
      </c>
      <c r="R370" s="7" t="s">
        <v>34</v>
      </c>
      <c r="S370" s="7" t="s">
        <v>34</v>
      </c>
      <c r="T370" s="7" t="s">
        <v>34</v>
      </c>
      <c r="U370" s="7" t="s">
        <v>32</v>
      </c>
      <c r="V370" s="7">
        <v>1</v>
      </c>
      <c r="W370" s="7" t="s">
        <v>32</v>
      </c>
      <c r="X370" s="7" t="s">
        <v>32</v>
      </c>
      <c r="Y370" s="7" t="s">
        <v>32</v>
      </c>
      <c r="Z370" s="7" t="s">
        <v>32</v>
      </c>
      <c r="AA370" s="7">
        <v>12460691</v>
      </c>
      <c r="AB370" s="7">
        <v>1</v>
      </c>
      <c r="AC370" s="7"/>
      <c r="AD370" s="7">
        <v>3</v>
      </c>
      <c r="AE370" s="7">
        <f t="shared" si="28"/>
        <v>39</v>
      </c>
      <c r="AF370" s="7">
        <v>17</v>
      </c>
      <c r="AG370" s="7">
        <v>22</v>
      </c>
      <c r="AH370" s="7" t="s">
        <v>1769</v>
      </c>
      <c r="AI370" s="7" t="s">
        <v>1769</v>
      </c>
      <c r="AJ370" s="7">
        <v>33.799999999999997</v>
      </c>
      <c r="AK370" s="7">
        <v>9.8000000000000007</v>
      </c>
      <c r="AL370" s="7">
        <v>34.5</v>
      </c>
      <c r="AM370" s="7">
        <v>9</v>
      </c>
      <c r="AN370" s="7" t="s">
        <v>3148</v>
      </c>
      <c r="AO370" s="7" t="s">
        <v>1770</v>
      </c>
      <c r="AP370" s="7" t="s">
        <v>3457</v>
      </c>
      <c r="AQ370" s="7" t="s">
        <v>3255</v>
      </c>
      <c r="AR370" s="7" t="s">
        <v>1646</v>
      </c>
      <c r="AS370" s="7" t="s">
        <v>3113</v>
      </c>
      <c r="AT370" s="7" t="s">
        <v>1646</v>
      </c>
      <c r="AU370" s="7" t="s">
        <v>2952</v>
      </c>
      <c r="AV370" s="7" t="s">
        <v>2907</v>
      </c>
      <c r="AW370" s="7">
        <v>54</v>
      </c>
      <c r="AX370" s="7">
        <v>59</v>
      </c>
      <c r="AY370" s="7" t="s">
        <v>3471</v>
      </c>
      <c r="AZ370" s="7">
        <v>57.3</v>
      </c>
      <c r="BA370" s="7">
        <v>8.6</v>
      </c>
      <c r="BB370" s="7"/>
      <c r="BC370" s="7" t="s">
        <v>3497</v>
      </c>
      <c r="BD370" s="7">
        <v>56.4</v>
      </c>
      <c r="BE370" s="7">
        <v>10.4</v>
      </c>
      <c r="BF370" s="7"/>
    </row>
    <row r="371" spans="1:58" x14ac:dyDescent="0.2">
      <c r="A371" s="7">
        <v>97</v>
      </c>
      <c r="B371" s="7" t="s">
        <v>662</v>
      </c>
      <c r="C371" s="7" t="s">
        <v>663</v>
      </c>
      <c r="D371" s="7" t="s">
        <v>664</v>
      </c>
      <c r="E371" s="7" t="s">
        <v>665</v>
      </c>
      <c r="F371" s="7" t="s">
        <v>468</v>
      </c>
      <c r="G371" s="7">
        <v>2002</v>
      </c>
      <c r="H371" s="8">
        <v>37594</v>
      </c>
      <c r="I371" s="7" t="s">
        <v>32</v>
      </c>
      <c r="J371" s="7" t="s">
        <v>32</v>
      </c>
      <c r="K371" s="7" t="s">
        <v>666</v>
      </c>
      <c r="L371" s="7">
        <v>1</v>
      </c>
      <c r="M371" s="7" t="s">
        <v>32</v>
      </c>
      <c r="N371" s="7" t="s">
        <v>34</v>
      </c>
      <c r="O371" s="7" t="s">
        <v>34</v>
      </c>
      <c r="P371" s="7" t="s">
        <v>34</v>
      </c>
      <c r="Q371" s="7" t="s">
        <v>34</v>
      </c>
      <c r="R371" s="7" t="s">
        <v>34</v>
      </c>
      <c r="S371" s="7" t="s">
        <v>34</v>
      </c>
      <c r="T371" s="7" t="s">
        <v>34</v>
      </c>
      <c r="U371" s="7" t="s">
        <v>32</v>
      </c>
      <c r="V371" s="7">
        <v>1</v>
      </c>
      <c r="W371" s="7" t="s">
        <v>32</v>
      </c>
      <c r="X371" s="7" t="s">
        <v>32</v>
      </c>
      <c r="Y371" s="7" t="s">
        <v>32</v>
      </c>
      <c r="Z371" s="7" t="s">
        <v>32</v>
      </c>
      <c r="AA371" s="7">
        <v>12460691</v>
      </c>
      <c r="AB371" s="7">
        <v>1</v>
      </c>
      <c r="AC371" s="7"/>
      <c r="AD371" s="7">
        <v>3</v>
      </c>
      <c r="AE371" s="7">
        <f t="shared" si="28"/>
        <v>39</v>
      </c>
      <c r="AF371" s="7">
        <v>17</v>
      </c>
      <c r="AG371" s="7">
        <v>22</v>
      </c>
      <c r="AH371" s="7" t="s">
        <v>1769</v>
      </c>
      <c r="AI371" s="7" t="s">
        <v>1769</v>
      </c>
      <c r="AJ371" s="7">
        <v>33.799999999999997</v>
      </c>
      <c r="AK371" s="7">
        <v>9.8000000000000007</v>
      </c>
      <c r="AL371" s="7">
        <v>34.5</v>
      </c>
      <c r="AM371" s="7">
        <v>9</v>
      </c>
      <c r="AN371" s="7" t="s">
        <v>3148</v>
      </c>
      <c r="AO371" s="7" t="s">
        <v>1770</v>
      </c>
      <c r="AP371" s="7" t="s">
        <v>3457</v>
      </c>
      <c r="AQ371" s="7" t="s">
        <v>3255</v>
      </c>
      <c r="AR371" s="7" t="s">
        <v>1646</v>
      </c>
      <c r="AS371" s="7" t="s">
        <v>3113</v>
      </c>
      <c r="AT371" s="7" t="s">
        <v>1646</v>
      </c>
      <c r="AU371" s="7" t="s">
        <v>3118</v>
      </c>
      <c r="AV371" s="7" t="s">
        <v>2907</v>
      </c>
      <c r="AW371" s="7">
        <v>54</v>
      </c>
      <c r="AX371" s="7">
        <v>59</v>
      </c>
      <c r="AY371" s="7" t="s">
        <v>3472</v>
      </c>
      <c r="AZ371" s="7">
        <v>12.5</v>
      </c>
      <c r="BA371" s="7">
        <v>2.4</v>
      </c>
      <c r="BB371" s="7"/>
      <c r="BC371" s="7" t="s">
        <v>3498</v>
      </c>
      <c r="BD371" s="7">
        <v>12.4</v>
      </c>
      <c r="BE371" s="7">
        <v>2.1</v>
      </c>
      <c r="BF371" s="7"/>
    </row>
    <row r="372" spans="1:58" x14ac:dyDescent="0.2">
      <c r="A372" s="7">
        <v>97</v>
      </c>
      <c r="B372" s="7" t="s">
        <v>662</v>
      </c>
      <c r="C372" s="7" t="s">
        <v>663</v>
      </c>
      <c r="D372" s="7" t="s">
        <v>664</v>
      </c>
      <c r="E372" s="7" t="s">
        <v>665</v>
      </c>
      <c r="F372" s="7" t="s">
        <v>468</v>
      </c>
      <c r="G372" s="7">
        <v>2002</v>
      </c>
      <c r="H372" s="8">
        <v>37594</v>
      </c>
      <c r="I372" s="7" t="s">
        <v>32</v>
      </c>
      <c r="J372" s="7" t="s">
        <v>32</v>
      </c>
      <c r="K372" s="7" t="s">
        <v>666</v>
      </c>
      <c r="L372" s="7">
        <v>1</v>
      </c>
      <c r="M372" s="7" t="s">
        <v>32</v>
      </c>
      <c r="N372" s="7" t="s">
        <v>34</v>
      </c>
      <c r="O372" s="7" t="s">
        <v>34</v>
      </c>
      <c r="P372" s="7" t="s">
        <v>34</v>
      </c>
      <c r="Q372" s="7" t="s">
        <v>34</v>
      </c>
      <c r="R372" s="7" t="s">
        <v>34</v>
      </c>
      <c r="S372" s="7" t="s">
        <v>34</v>
      </c>
      <c r="T372" s="7" t="s">
        <v>34</v>
      </c>
      <c r="U372" s="7" t="s">
        <v>32</v>
      </c>
      <c r="V372" s="7">
        <v>1</v>
      </c>
      <c r="W372" s="7" t="s">
        <v>32</v>
      </c>
      <c r="X372" s="7" t="s">
        <v>32</v>
      </c>
      <c r="Y372" s="7" t="s">
        <v>32</v>
      </c>
      <c r="Z372" s="7" t="s">
        <v>32</v>
      </c>
      <c r="AA372" s="7">
        <v>12460691</v>
      </c>
      <c r="AB372" s="7">
        <v>1</v>
      </c>
      <c r="AC372" s="7"/>
      <c r="AD372" s="7">
        <v>3</v>
      </c>
      <c r="AE372" s="7">
        <f t="shared" si="28"/>
        <v>39</v>
      </c>
      <c r="AF372" s="7">
        <v>17</v>
      </c>
      <c r="AG372" s="7">
        <v>22</v>
      </c>
      <c r="AH372" s="7" t="s">
        <v>1769</v>
      </c>
      <c r="AI372" s="7" t="s">
        <v>1769</v>
      </c>
      <c r="AJ372" s="7">
        <v>33.799999999999997</v>
      </c>
      <c r="AK372" s="7">
        <v>9.8000000000000007</v>
      </c>
      <c r="AL372" s="7">
        <v>34.5</v>
      </c>
      <c r="AM372" s="7">
        <v>9</v>
      </c>
      <c r="AN372" s="7" t="s">
        <v>3148</v>
      </c>
      <c r="AO372" s="7" t="s">
        <v>1770</v>
      </c>
      <c r="AP372" s="7" t="s">
        <v>3457</v>
      </c>
      <c r="AQ372" s="7" t="s">
        <v>3255</v>
      </c>
      <c r="AR372" s="7" t="s">
        <v>1646</v>
      </c>
      <c r="AS372" s="7" t="s">
        <v>3113</v>
      </c>
      <c r="AT372" s="7" t="s">
        <v>1646</v>
      </c>
      <c r="AU372" s="7" t="s">
        <v>2958</v>
      </c>
      <c r="AV372" s="7" t="s">
        <v>2907</v>
      </c>
      <c r="AW372" s="7">
        <v>54</v>
      </c>
      <c r="AX372" s="7">
        <v>59</v>
      </c>
      <c r="AY372" s="7" t="s">
        <v>3473</v>
      </c>
      <c r="AZ372" s="7">
        <v>13.1</v>
      </c>
      <c r="BA372" s="7">
        <v>2.4</v>
      </c>
      <c r="BB372" s="7"/>
      <c r="BC372" s="7" t="s">
        <v>3499</v>
      </c>
      <c r="BD372" s="7">
        <v>12.2</v>
      </c>
      <c r="BE372" s="7">
        <v>3.5</v>
      </c>
      <c r="BF372" s="7"/>
    </row>
    <row r="373" spans="1:58" x14ac:dyDescent="0.2">
      <c r="A373" s="7">
        <v>97</v>
      </c>
      <c r="B373" s="7" t="s">
        <v>662</v>
      </c>
      <c r="C373" s="7" t="s">
        <v>663</v>
      </c>
      <c r="D373" s="7" t="s">
        <v>664</v>
      </c>
      <c r="E373" s="7" t="s">
        <v>665</v>
      </c>
      <c r="F373" s="7" t="s">
        <v>468</v>
      </c>
      <c r="G373" s="7">
        <v>2002</v>
      </c>
      <c r="H373" s="8">
        <v>37594</v>
      </c>
      <c r="I373" s="7" t="s">
        <v>32</v>
      </c>
      <c r="J373" s="7" t="s">
        <v>32</v>
      </c>
      <c r="K373" s="7" t="s">
        <v>666</v>
      </c>
      <c r="L373" s="7">
        <v>1</v>
      </c>
      <c r="M373" s="7" t="s">
        <v>32</v>
      </c>
      <c r="N373" s="7" t="s">
        <v>34</v>
      </c>
      <c r="O373" s="7" t="s">
        <v>34</v>
      </c>
      <c r="P373" s="7" t="s">
        <v>34</v>
      </c>
      <c r="Q373" s="7" t="s">
        <v>34</v>
      </c>
      <c r="R373" s="7" t="s">
        <v>34</v>
      </c>
      <c r="S373" s="7" t="s">
        <v>34</v>
      </c>
      <c r="T373" s="7" t="s">
        <v>34</v>
      </c>
      <c r="U373" s="7" t="s">
        <v>32</v>
      </c>
      <c r="V373" s="7">
        <v>1</v>
      </c>
      <c r="W373" s="7" t="s">
        <v>32</v>
      </c>
      <c r="X373" s="7" t="s">
        <v>32</v>
      </c>
      <c r="Y373" s="7" t="s">
        <v>32</v>
      </c>
      <c r="Z373" s="7" t="s">
        <v>32</v>
      </c>
      <c r="AA373" s="7">
        <v>12460691</v>
      </c>
      <c r="AB373" s="7">
        <v>1</v>
      </c>
      <c r="AC373" s="7"/>
      <c r="AD373" s="7">
        <v>3</v>
      </c>
      <c r="AE373" s="7">
        <f t="shared" si="28"/>
        <v>30</v>
      </c>
      <c r="AF373" s="7">
        <v>13</v>
      </c>
      <c r="AG373" s="7">
        <v>17</v>
      </c>
      <c r="AH373" s="7" t="s">
        <v>1769</v>
      </c>
      <c r="AI373" s="7" t="s">
        <v>1769</v>
      </c>
      <c r="AJ373" s="7">
        <v>33.799999999999997</v>
      </c>
      <c r="AK373" s="7">
        <v>9.8000000000000007</v>
      </c>
      <c r="AL373" s="7">
        <v>34.5</v>
      </c>
      <c r="AM373" s="7">
        <v>9</v>
      </c>
      <c r="AN373" s="7" t="s">
        <v>3148</v>
      </c>
      <c r="AO373" s="7" t="s">
        <v>1770</v>
      </c>
      <c r="AP373" s="7" t="s">
        <v>3457</v>
      </c>
      <c r="AQ373" s="7" t="s">
        <v>3255</v>
      </c>
      <c r="AR373" s="7" t="s">
        <v>1646</v>
      </c>
      <c r="AS373" s="7" t="s">
        <v>2920</v>
      </c>
      <c r="AT373" s="7" t="s">
        <v>1646</v>
      </c>
      <c r="AU373" s="7" t="s">
        <v>3462</v>
      </c>
      <c r="AV373" s="7" t="s">
        <v>2907</v>
      </c>
      <c r="AW373" s="7">
        <v>54</v>
      </c>
      <c r="AX373" s="7">
        <v>59</v>
      </c>
      <c r="AY373" s="7" t="s">
        <v>3474</v>
      </c>
      <c r="AZ373" s="7">
        <v>17.8</v>
      </c>
      <c r="BA373" s="7">
        <v>7.5</v>
      </c>
      <c r="BB373" s="7"/>
      <c r="BC373" s="7" t="s">
        <v>3500</v>
      </c>
      <c r="BD373" s="7">
        <v>20.7</v>
      </c>
      <c r="BE373" s="7">
        <v>6.7</v>
      </c>
      <c r="BF373" s="7"/>
    </row>
    <row r="374" spans="1:58" x14ac:dyDescent="0.2">
      <c r="A374" s="7">
        <v>97</v>
      </c>
      <c r="B374" s="7" t="s">
        <v>662</v>
      </c>
      <c r="C374" s="7" t="s">
        <v>663</v>
      </c>
      <c r="D374" s="7" t="s">
        <v>664</v>
      </c>
      <c r="E374" s="7" t="s">
        <v>665</v>
      </c>
      <c r="F374" s="7" t="s">
        <v>468</v>
      </c>
      <c r="G374" s="7">
        <v>2002</v>
      </c>
      <c r="H374" s="8">
        <v>37594</v>
      </c>
      <c r="I374" s="7" t="s">
        <v>32</v>
      </c>
      <c r="J374" s="7" t="s">
        <v>32</v>
      </c>
      <c r="K374" s="7" t="s">
        <v>666</v>
      </c>
      <c r="L374" s="7">
        <v>1</v>
      </c>
      <c r="M374" s="7" t="s">
        <v>32</v>
      </c>
      <c r="N374" s="7" t="s">
        <v>34</v>
      </c>
      <c r="O374" s="7" t="s">
        <v>34</v>
      </c>
      <c r="P374" s="7" t="s">
        <v>34</v>
      </c>
      <c r="Q374" s="7" t="s">
        <v>34</v>
      </c>
      <c r="R374" s="7" t="s">
        <v>34</v>
      </c>
      <c r="S374" s="7" t="s">
        <v>34</v>
      </c>
      <c r="T374" s="7" t="s">
        <v>34</v>
      </c>
      <c r="U374" s="7" t="s">
        <v>32</v>
      </c>
      <c r="V374" s="7">
        <v>1</v>
      </c>
      <c r="W374" s="7" t="s">
        <v>32</v>
      </c>
      <c r="X374" s="7" t="s">
        <v>32</v>
      </c>
      <c r="Y374" s="7" t="s">
        <v>32</v>
      </c>
      <c r="Z374" s="7" t="s">
        <v>32</v>
      </c>
      <c r="AA374" s="7">
        <v>12460691</v>
      </c>
      <c r="AB374" s="7">
        <v>1</v>
      </c>
      <c r="AC374" s="7"/>
      <c r="AD374" s="7">
        <v>3</v>
      </c>
      <c r="AE374" s="7">
        <f t="shared" si="28"/>
        <v>30</v>
      </c>
      <c r="AF374" s="7">
        <v>13</v>
      </c>
      <c r="AG374" s="7">
        <v>17</v>
      </c>
      <c r="AH374" s="7" t="s">
        <v>1769</v>
      </c>
      <c r="AI374" s="7" t="s">
        <v>1769</v>
      </c>
      <c r="AJ374" s="7">
        <v>33.799999999999997</v>
      </c>
      <c r="AK374" s="7">
        <v>9.8000000000000007</v>
      </c>
      <c r="AL374" s="7">
        <v>34.5</v>
      </c>
      <c r="AM374" s="7">
        <v>9</v>
      </c>
      <c r="AN374" s="7" t="s">
        <v>3148</v>
      </c>
      <c r="AO374" s="7" t="s">
        <v>1770</v>
      </c>
      <c r="AP374" s="7" t="s">
        <v>3457</v>
      </c>
      <c r="AQ374" s="7" t="s">
        <v>3255</v>
      </c>
      <c r="AR374" s="7" t="s">
        <v>1646</v>
      </c>
      <c r="AS374" s="7" t="s">
        <v>2920</v>
      </c>
      <c r="AT374" s="7" t="s">
        <v>1646</v>
      </c>
      <c r="AU374" s="7" t="s">
        <v>3463</v>
      </c>
      <c r="AV374" s="7" t="s">
        <v>2907</v>
      </c>
      <c r="AW374" s="7">
        <v>54</v>
      </c>
      <c r="AX374" s="7">
        <v>59</v>
      </c>
      <c r="AY374" s="7" t="s">
        <v>3475</v>
      </c>
      <c r="AZ374" s="7">
        <v>6.2</v>
      </c>
      <c r="BA374" s="7">
        <v>2.2000000000000002</v>
      </c>
      <c r="BB374" s="7"/>
      <c r="BC374" s="7" t="s">
        <v>3501</v>
      </c>
      <c r="BD374" s="7">
        <v>7</v>
      </c>
      <c r="BE374" s="7">
        <v>1.7</v>
      </c>
      <c r="BF374" s="7"/>
    </row>
    <row r="375" spans="1:58" x14ac:dyDescent="0.2">
      <c r="A375" s="7">
        <v>97</v>
      </c>
      <c r="B375" s="7" t="s">
        <v>662</v>
      </c>
      <c r="C375" s="7" t="s">
        <v>663</v>
      </c>
      <c r="D375" s="7" t="s">
        <v>664</v>
      </c>
      <c r="E375" s="7" t="s">
        <v>665</v>
      </c>
      <c r="F375" s="7" t="s">
        <v>468</v>
      </c>
      <c r="G375" s="7">
        <v>2002</v>
      </c>
      <c r="H375" s="8">
        <v>37594</v>
      </c>
      <c r="I375" s="7" t="s">
        <v>32</v>
      </c>
      <c r="J375" s="7" t="s">
        <v>32</v>
      </c>
      <c r="K375" s="7" t="s">
        <v>666</v>
      </c>
      <c r="L375" s="7">
        <v>1</v>
      </c>
      <c r="M375" s="7" t="s">
        <v>32</v>
      </c>
      <c r="N375" s="7" t="s">
        <v>34</v>
      </c>
      <c r="O375" s="7" t="s">
        <v>34</v>
      </c>
      <c r="P375" s="7" t="s">
        <v>34</v>
      </c>
      <c r="Q375" s="7" t="s">
        <v>34</v>
      </c>
      <c r="R375" s="7" t="s">
        <v>34</v>
      </c>
      <c r="S375" s="7" t="s">
        <v>34</v>
      </c>
      <c r="T375" s="7" t="s">
        <v>34</v>
      </c>
      <c r="U375" s="7" t="s">
        <v>32</v>
      </c>
      <c r="V375" s="7">
        <v>1</v>
      </c>
      <c r="W375" s="7" t="s">
        <v>32</v>
      </c>
      <c r="X375" s="7" t="s">
        <v>32</v>
      </c>
      <c r="Y375" s="7" t="s">
        <v>32</v>
      </c>
      <c r="Z375" s="7" t="s">
        <v>32</v>
      </c>
      <c r="AA375" s="7">
        <v>12460691</v>
      </c>
      <c r="AB375" s="7">
        <v>1</v>
      </c>
      <c r="AC375" s="7"/>
      <c r="AD375" s="7">
        <v>3</v>
      </c>
      <c r="AE375" s="7">
        <f t="shared" si="28"/>
        <v>30</v>
      </c>
      <c r="AF375" s="7">
        <v>13</v>
      </c>
      <c r="AG375" s="7">
        <v>17</v>
      </c>
      <c r="AH375" s="7" t="s">
        <v>1769</v>
      </c>
      <c r="AI375" s="7" t="s">
        <v>1769</v>
      </c>
      <c r="AJ375" s="7">
        <v>33.799999999999997</v>
      </c>
      <c r="AK375" s="7">
        <v>9.8000000000000007</v>
      </c>
      <c r="AL375" s="7">
        <v>34.5</v>
      </c>
      <c r="AM375" s="7">
        <v>9</v>
      </c>
      <c r="AN375" s="7" t="s">
        <v>3148</v>
      </c>
      <c r="AO375" s="7" t="s">
        <v>1770</v>
      </c>
      <c r="AP375" s="7" t="s">
        <v>3457</v>
      </c>
      <c r="AQ375" s="7" t="s">
        <v>3255</v>
      </c>
      <c r="AR375" s="7" t="s">
        <v>1646</v>
      </c>
      <c r="AS375" s="7" t="s">
        <v>2920</v>
      </c>
      <c r="AT375" s="7" t="s">
        <v>1646</v>
      </c>
      <c r="AU375" s="7" t="s">
        <v>3464</v>
      </c>
      <c r="AV375" s="7" t="s">
        <v>2907</v>
      </c>
      <c r="AW375" s="7">
        <v>54</v>
      </c>
      <c r="AX375" s="7">
        <v>59</v>
      </c>
      <c r="AY375" s="7" t="s">
        <v>3476</v>
      </c>
      <c r="AZ375" s="7">
        <v>94.6</v>
      </c>
      <c r="BA375" s="7">
        <v>10.3</v>
      </c>
      <c r="BB375" s="7"/>
      <c r="BC375" s="7" t="s">
        <v>3502</v>
      </c>
      <c r="BD375" s="7">
        <v>96</v>
      </c>
      <c r="BE375" s="7">
        <v>9.9</v>
      </c>
      <c r="BF375" s="7"/>
    </row>
    <row r="376" spans="1:58" x14ac:dyDescent="0.2">
      <c r="A376" s="7">
        <v>97</v>
      </c>
      <c r="B376" s="7" t="s">
        <v>662</v>
      </c>
      <c r="C376" s="7" t="s">
        <v>663</v>
      </c>
      <c r="D376" s="7" t="s">
        <v>664</v>
      </c>
      <c r="E376" s="7" t="s">
        <v>665</v>
      </c>
      <c r="F376" s="7" t="s">
        <v>468</v>
      </c>
      <c r="G376" s="7">
        <v>2002</v>
      </c>
      <c r="H376" s="8">
        <v>37594</v>
      </c>
      <c r="I376" s="7" t="s">
        <v>32</v>
      </c>
      <c r="J376" s="7" t="s">
        <v>32</v>
      </c>
      <c r="K376" s="7" t="s">
        <v>666</v>
      </c>
      <c r="L376" s="7">
        <v>1</v>
      </c>
      <c r="M376" s="7" t="s">
        <v>32</v>
      </c>
      <c r="N376" s="7" t="s">
        <v>34</v>
      </c>
      <c r="O376" s="7" t="s">
        <v>34</v>
      </c>
      <c r="P376" s="7" t="s">
        <v>34</v>
      </c>
      <c r="Q376" s="7" t="s">
        <v>34</v>
      </c>
      <c r="R376" s="7" t="s">
        <v>34</v>
      </c>
      <c r="S376" s="7" t="s">
        <v>34</v>
      </c>
      <c r="T376" s="7" t="s">
        <v>34</v>
      </c>
      <c r="U376" s="7" t="s">
        <v>32</v>
      </c>
      <c r="V376" s="7">
        <v>1</v>
      </c>
      <c r="W376" s="7" t="s">
        <v>32</v>
      </c>
      <c r="X376" s="7" t="s">
        <v>32</v>
      </c>
      <c r="Y376" s="7" t="s">
        <v>32</v>
      </c>
      <c r="Z376" s="7" t="s">
        <v>32</v>
      </c>
      <c r="AA376" s="7">
        <v>12460691</v>
      </c>
      <c r="AB376" s="7">
        <v>1</v>
      </c>
      <c r="AC376" s="7"/>
      <c r="AD376" s="7">
        <v>3</v>
      </c>
      <c r="AE376" s="7">
        <f t="shared" si="28"/>
        <v>30</v>
      </c>
      <c r="AF376" s="7">
        <v>13</v>
      </c>
      <c r="AG376" s="7">
        <v>17</v>
      </c>
      <c r="AH376" s="7" t="s">
        <v>1769</v>
      </c>
      <c r="AI376" s="7" t="s">
        <v>1769</v>
      </c>
      <c r="AJ376" s="7">
        <v>33.799999999999997</v>
      </c>
      <c r="AK376" s="7">
        <v>9.8000000000000007</v>
      </c>
      <c r="AL376" s="7">
        <v>34.5</v>
      </c>
      <c r="AM376" s="7">
        <v>9</v>
      </c>
      <c r="AN376" s="7" t="s">
        <v>3148</v>
      </c>
      <c r="AO376" s="7" t="s">
        <v>1770</v>
      </c>
      <c r="AP376" s="7" t="s">
        <v>3457</v>
      </c>
      <c r="AQ376" s="7" t="s">
        <v>3255</v>
      </c>
      <c r="AR376" s="7" t="s">
        <v>1646</v>
      </c>
      <c r="AS376" s="7" t="s">
        <v>2920</v>
      </c>
      <c r="AT376" s="7" t="s">
        <v>1646</v>
      </c>
      <c r="AU376" s="7" t="s">
        <v>3465</v>
      </c>
      <c r="AV376" s="7" t="s">
        <v>2907</v>
      </c>
      <c r="AW376" s="7">
        <v>54</v>
      </c>
      <c r="AX376" s="7">
        <v>59</v>
      </c>
      <c r="AY376" s="7" t="s">
        <v>3477</v>
      </c>
      <c r="AZ376" s="7">
        <v>23.9</v>
      </c>
      <c r="BA376" s="7">
        <v>0.2</v>
      </c>
      <c r="BB376" s="7"/>
      <c r="BC376" s="7" t="s">
        <v>3503</v>
      </c>
      <c r="BD376" s="7">
        <v>23.9</v>
      </c>
      <c r="BE376" s="7">
        <v>0.2</v>
      </c>
      <c r="BF376" s="7"/>
    </row>
    <row r="377" spans="1:58" x14ac:dyDescent="0.2">
      <c r="A377" s="7">
        <v>97</v>
      </c>
      <c r="B377" s="7" t="s">
        <v>662</v>
      </c>
      <c r="C377" s="7" t="s">
        <v>663</v>
      </c>
      <c r="D377" s="7" t="s">
        <v>664</v>
      </c>
      <c r="E377" s="7" t="s">
        <v>665</v>
      </c>
      <c r="F377" s="7" t="s">
        <v>468</v>
      </c>
      <c r="G377" s="7">
        <v>2002</v>
      </c>
      <c r="H377" s="8">
        <v>37594</v>
      </c>
      <c r="I377" s="7" t="s">
        <v>32</v>
      </c>
      <c r="J377" s="7" t="s">
        <v>32</v>
      </c>
      <c r="K377" s="7" t="s">
        <v>666</v>
      </c>
      <c r="L377" s="7">
        <v>1</v>
      </c>
      <c r="M377" s="7" t="s">
        <v>32</v>
      </c>
      <c r="N377" s="7" t="s">
        <v>34</v>
      </c>
      <c r="O377" s="7" t="s">
        <v>34</v>
      </c>
      <c r="P377" s="7" t="s">
        <v>34</v>
      </c>
      <c r="Q377" s="7" t="s">
        <v>34</v>
      </c>
      <c r="R377" s="7" t="s">
        <v>34</v>
      </c>
      <c r="S377" s="7" t="s">
        <v>34</v>
      </c>
      <c r="T377" s="7" t="s">
        <v>34</v>
      </c>
      <c r="U377" s="7" t="s">
        <v>32</v>
      </c>
      <c r="V377" s="7">
        <v>1</v>
      </c>
      <c r="W377" s="7" t="s">
        <v>32</v>
      </c>
      <c r="X377" s="7" t="s">
        <v>32</v>
      </c>
      <c r="Y377" s="7" t="s">
        <v>32</v>
      </c>
      <c r="Z377" s="7" t="s">
        <v>32</v>
      </c>
      <c r="AA377" s="7">
        <v>12460691</v>
      </c>
      <c r="AB377" s="7">
        <v>1</v>
      </c>
      <c r="AC377" s="7"/>
      <c r="AD377" s="7">
        <v>3</v>
      </c>
      <c r="AE377" s="7">
        <f t="shared" si="28"/>
        <v>28</v>
      </c>
      <c r="AF377" s="7">
        <v>13</v>
      </c>
      <c r="AG377" s="7">
        <v>15</v>
      </c>
      <c r="AH377" s="7" t="s">
        <v>1769</v>
      </c>
      <c r="AI377" s="7" t="s">
        <v>1769</v>
      </c>
      <c r="AJ377" s="7">
        <v>33.799999999999997</v>
      </c>
      <c r="AK377" s="7">
        <v>9.8000000000000007</v>
      </c>
      <c r="AL377" s="7">
        <v>34.5</v>
      </c>
      <c r="AM377" s="7">
        <v>9</v>
      </c>
      <c r="AN377" s="7" t="s">
        <v>3148</v>
      </c>
      <c r="AO377" s="7" t="s">
        <v>1770</v>
      </c>
      <c r="AP377" s="7" t="s">
        <v>3457</v>
      </c>
      <c r="AQ377" s="7" t="s">
        <v>3255</v>
      </c>
      <c r="AR377" s="7" t="s">
        <v>1646</v>
      </c>
      <c r="AS377" s="7" t="s">
        <v>3458</v>
      </c>
      <c r="AT377" s="7" t="s">
        <v>1646</v>
      </c>
      <c r="AU377" s="7" t="s">
        <v>3466</v>
      </c>
      <c r="AV377" s="7" t="s">
        <v>2907</v>
      </c>
      <c r="AW377" s="7">
        <v>54</v>
      </c>
      <c r="AX377" s="7">
        <v>59</v>
      </c>
      <c r="AY377" s="7" t="s">
        <v>3478</v>
      </c>
      <c r="AZ377" s="7">
        <v>74.5</v>
      </c>
      <c r="BA377" s="7">
        <v>8.5</v>
      </c>
      <c r="BB377" s="7"/>
      <c r="BC377" s="7" t="s">
        <v>3504</v>
      </c>
      <c r="BD377" s="7">
        <v>73.599999999999994</v>
      </c>
      <c r="BE377" s="7">
        <v>6.8</v>
      </c>
      <c r="BF377" s="7"/>
    </row>
    <row r="378" spans="1:58" x14ac:dyDescent="0.2">
      <c r="A378" s="7">
        <v>97</v>
      </c>
      <c r="B378" s="7" t="s">
        <v>662</v>
      </c>
      <c r="C378" s="7" t="s">
        <v>663</v>
      </c>
      <c r="D378" s="7" t="s">
        <v>664</v>
      </c>
      <c r="E378" s="7" t="s">
        <v>665</v>
      </c>
      <c r="F378" s="7" t="s">
        <v>468</v>
      </c>
      <c r="G378" s="7">
        <v>2002</v>
      </c>
      <c r="H378" s="8">
        <v>37594</v>
      </c>
      <c r="I378" s="7" t="s">
        <v>32</v>
      </c>
      <c r="J378" s="7" t="s">
        <v>32</v>
      </c>
      <c r="K378" s="7" t="s">
        <v>666</v>
      </c>
      <c r="L378" s="7">
        <v>1</v>
      </c>
      <c r="M378" s="7" t="s">
        <v>32</v>
      </c>
      <c r="N378" s="7" t="s">
        <v>34</v>
      </c>
      <c r="O378" s="7" t="s">
        <v>34</v>
      </c>
      <c r="P378" s="7" t="s">
        <v>34</v>
      </c>
      <c r="Q378" s="7" t="s">
        <v>34</v>
      </c>
      <c r="R378" s="7" t="s">
        <v>34</v>
      </c>
      <c r="S378" s="7" t="s">
        <v>34</v>
      </c>
      <c r="T378" s="7" t="s">
        <v>34</v>
      </c>
      <c r="U378" s="7" t="s">
        <v>32</v>
      </c>
      <c r="V378" s="7">
        <v>1</v>
      </c>
      <c r="W378" s="7" t="s">
        <v>32</v>
      </c>
      <c r="X378" s="7" t="s">
        <v>32</v>
      </c>
      <c r="Y378" s="7" t="s">
        <v>32</v>
      </c>
      <c r="Z378" s="7" t="s">
        <v>32</v>
      </c>
      <c r="AA378" s="7">
        <v>12460691</v>
      </c>
      <c r="AB378" s="7">
        <v>1</v>
      </c>
      <c r="AC378" s="7"/>
      <c r="AD378" s="7">
        <v>3</v>
      </c>
      <c r="AE378" s="7">
        <f t="shared" si="28"/>
        <v>32</v>
      </c>
      <c r="AF378" s="7">
        <v>13</v>
      </c>
      <c r="AG378" s="7">
        <v>19</v>
      </c>
      <c r="AH378" s="7" t="s">
        <v>1769</v>
      </c>
      <c r="AI378" s="7" t="s">
        <v>1769</v>
      </c>
      <c r="AJ378" s="7">
        <v>33.799999999999997</v>
      </c>
      <c r="AK378" s="7">
        <v>9.8000000000000007</v>
      </c>
      <c r="AL378" s="7">
        <v>34.5</v>
      </c>
      <c r="AM378" s="7">
        <v>9</v>
      </c>
      <c r="AN378" s="7" t="s">
        <v>3148</v>
      </c>
      <c r="AO378" s="7" t="s">
        <v>1770</v>
      </c>
      <c r="AP378" s="7" t="s">
        <v>3457</v>
      </c>
      <c r="AQ378" s="7" t="s">
        <v>3255</v>
      </c>
      <c r="AR378" s="7" t="s">
        <v>1646</v>
      </c>
      <c r="AS378" s="7" t="s">
        <v>3189</v>
      </c>
      <c r="AT378" s="7" t="s">
        <v>1646</v>
      </c>
      <c r="AU378" s="7" t="s">
        <v>2969</v>
      </c>
      <c r="AV378" s="7" t="s">
        <v>2907</v>
      </c>
      <c r="AW378" s="7">
        <v>54</v>
      </c>
      <c r="AX378" s="7">
        <v>59</v>
      </c>
      <c r="AY378" s="7" t="s">
        <v>3479</v>
      </c>
      <c r="AZ378" s="7">
        <v>33.5</v>
      </c>
      <c r="BA378" s="7">
        <v>15.7</v>
      </c>
      <c r="BB378" s="7"/>
      <c r="BC378" s="7" t="s">
        <v>3505</v>
      </c>
      <c r="BD378" s="7">
        <v>28.2</v>
      </c>
      <c r="BE378" s="7">
        <v>9.6</v>
      </c>
      <c r="BF378" s="7"/>
    </row>
    <row r="379" spans="1:58" x14ac:dyDescent="0.2">
      <c r="A379" s="7">
        <v>97</v>
      </c>
      <c r="B379" s="7" t="s">
        <v>662</v>
      </c>
      <c r="C379" s="7" t="s">
        <v>663</v>
      </c>
      <c r="D379" s="7" t="s">
        <v>664</v>
      </c>
      <c r="E379" s="7" t="s">
        <v>665</v>
      </c>
      <c r="F379" s="7" t="s">
        <v>468</v>
      </c>
      <c r="G379" s="7">
        <v>2002</v>
      </c>
      <c r="H379" s="8">
        <v>37594</v>
      </c>
      <c r="I379" s="7" t="s">
        <v>32</v>
      </c>
      <c r="J379" s="7" t="s">
        <v>32</v>
      </c>
      <c r="K379" s="7" t="s">
        <v>666</v>
      </c>
      <c r="L379" s="7">
        <v>1</v>
      </c>
      <c r="M379" s="7" t="s">
        <v>32</v>
      </c>
      <c r="N379" s="7" t="s">
        <v>34</v>
      </c>
      <c r="O379" s="7" t="s">
        <v>34</v>
      </c>
      <c r="P379" s="7" t="s">
        <v>34</v>
      </c>
      <c r="Q379" s="7" t="s">
        <v>34</v>
      </c>
      <c r="R379" s="7" t="s">
        <v>34</v>
      </c>
      <c r="S379" s="7" t="s">
        <v>34</v>
      </c>
      <c r="T379" s="7" t="s">
        <v>34</v>
      </c>
      <c r="U379" s="7" t="s">
        <v>32</v>
      </c>
      <c r="V379" s="7">
        <v>1</v>
      </c>
      <c r="W379" s="7" t="s">
        <v>32</v>
      </c>
      <c r="X379" s="7" t="s">
        <v>32</v>
      </c>
      <c r="Y379" s="7" t="s">
        <v>32</v>
      </c>
      <c r="Z379" s="7" t="s">
        <v>32</v>
      </c>
      <c r="AA379" s="7">
        <v>12460691</v>
      </c>
      <c r="AB379" s="7">
        <v>1</v>
      </c>
      <c r="AC379" s="7"/>
      <c r="AD379" s="7">
        <v>3</v>
      </c>
      <c r="AE379" s="7">
        <f t="shared" si="28"/>
        <v>32</v>
      </c>
      <c r="AF379" s="7">
        <v>13</v>
      </c>
      <c r="AG379" s="7">
        <v>19</v>
      </c>
      <c r="AH379" s="7" t="s">
        <v>1769</v>
      </c>
      <c r="AI379" s="7" t="s">
        <v>1769</v>
      </c>
      <c r="AJ379" s="7">
        <v>33.799999999999997</v>
      </c>
      <c r="AK379" s="7">
        <v>9.8000000000000007</v>
      </c>
      <c r="AL379" s="7">
        <v>34.5</v>
      </c>
      <c r="AM379" s="7">
        <v>9</v>
      </c>
      <c r="AN379" s="7" t="s">
        <v>3148</v>
      </c>
      <c r="AO379" s="7" t="s">
        <v>1770</v>
      </c>
      <c r="AP379" s="7" t="s">
        <v>3457</v>
      </c>
      <c r="AQ379" s="7" t="s">
        <v>3255</v>
      </c>
      <c r="AR379" s="7" t="s">
        <v>1646</v>
      </c>
      <c r="AS379" s="7" t="s">
        <v>3189</v>
      </c>
      <c r="AT379" s="7" t="s">
        <v>1646</v>
      </c>
      <c r="AU379" s="7" t="s">
        <v>3467</v>
      </c>
      <c r="AV379" s="7" t="s">
        <v>2907</v>
      </c>
      <c r="AW379" s="7">
        <v>54</v>
      </c>
      <c r="AX379" s="7">
        <v>59</v>
      </c>
      <c r="AY379" s="7" t="s">
        <v>3480</v>
      </c>
      <c r="AZ379" s="7">
        <v>53.3</v>
      </c>
      <c r="BA379" s="7">
        <v>22.1</v>
      </c>
      <c r="BB379" s="7"/>
      <c r="BC379" s="7" t="s">
        <v>3506</v>
      </c>
      <c r="BD379" s="7">
        <v>44.6</v>
      </c>
      <c r="BE379" s="7">
        <v>14.2</v>
      </c>
      <c r="BF379" s="7"/>
    </row>
    <row r="380" spans="1:58" x14ac:dyDescent="0.2">
      <c r="A380" s="7">
        <v>97</v>
      </c>
      <c r="B380" s="7" t="s">
        <v>662</v>
      </c>
      <c r="C380" s="7" t="s">
        <v>663</v>
      </c>
      <c r="D380" s="7" t="s">
        <v>664</v>
      </c>
      <c r="E380" s="7" t="s">
        <v>665</v>
      </c>
      <c r="F380" s="7" t="s">
        <v>468</v>
      </c>
      <c r="G380" s="7">
        <v>2002</v>
      </c>
      <c r="H380" s="8">
        <v>37594</v>
      </c>
      <c r="I380" s="7" t="s">
        <v>32</v>
      </c>
      <c r="J380" s="7" t="s">
        <v>32</v>
      </c>
      <c r="K380" s="7" t="s">
        <v>666</v>
      </c>
      <c r="L380" s="7">
        <v>1</v>
      </c>
      <c r="M380" s="7" t="s">
        <v>32</v>
      </c>
      <c r="N380" s="7" t="s">
        <v>34</v>
      </c>
      <c r="O380" s="7" t="s">
        <v>34</v>
      </c>
      <c r="P380" s="7" t="s">
        <v>34</v>
      </c>
      <c r="Q380" s="7" t="s">
        <v>34</v>
      </c>
      <c r="R380" s="7" t="s">
        <v>34</v>
      </c>
      <c r="S380" s="7" t="s">
        <v>34</v>
      </c>
      <c r="T380" s="7" t="s">
        <v>34</v>
      </c>
      <c r="U380" s="7" t="s">
        <v>32</v>
      </c>
      <c r="V380" s="7">
        <v>1</v>
      </c>
      <c r="W380" s="7" t="s">
        <v>32</v>
      </c>
      <c r="X380" s="7" t="s">
        <v>32</v>
      </c>
      <c r="Y380" s="7" t="s">
        <v>32</v>
      </c>
      <c r="Z380" s="7" t="s">
        <v>32</v>
      </c>
      <c r="AA380" s="7">
        <v>12460691</v>
      </c>
      <c r="AB380" s="7">
        <v>1</v>
      </c>
      <c r="AC380" s="7"/>
      <c r="AD380" s="7">
        <v>3</v>
      </c>
      <c r="AE380" s="7">
        <f t="shared" si="28"/>
        <v>39</v>
      </c>
      <c r="AF380" s="7">
        <v>17</v>
      </c>
      <c r="AG380" s="7">
        <v>22</v>
      </c>
      <c r="AH380" s="7" t="s">
        <v>1769</v>
      </c>
      <c r="AI380" s="7" t="s">
        <v>1769</v>
      </c>
      <c r="AJ380" s="7">
        <v>33.799999999999997</v>
      </c>
      <c r="AK380" s="7">
        <v>9.8000000000000007</v>
      </c>
      <c r="AL380" s="7">
        <v>29.4</v>
      </c>
      <c r="AM380" s="7">
        <v>10.7</v>
      </c>
      <c r="AN380" s="7" t="s">
        <v>3148</v>
      </c>
      <c r="AO380" s="7" t="s">
        <v>1638</v>
      </c>
      <c r="AP380" s="7" t="s">
        <v>3457</v>
      </c>
      <c r="AQ380" s="7" t="s">
        <v>3255</v>
      </c>
      <c r="AR380" s="7" t="s">
        <v>1646</v>
      </c>
      <c r="AS380" s="7" t="s">
        <v>2920</v>
      </c>
      <c r="AT380" s="7" t="s">
        <v>1646</v>
      </c>
      <c r="AU380" s="7" t="s">
        <v>3459</v>
      </c>
      <c r="AV380" s="7" t="s">
        <v>2848</v>
      </c>
      <c r="AW380" s="7">
        <v>54</v>
      </c>
      <c r="AX380" s="7">
        <v>60</v>
      </c>
      <c r="AY380" s="7" t="s">
        <v>3468</v>
      </c>
      <c r="AZ380" s="7">
        <v>13.6</v>
      </c>
      <c r="BA380" s="7">
        <v>3.7</v>
      </c>
      <c r="BB380" s="7"/>
      <c r="BC380" s="7" t="s">
        <v>3481</v>
      </c>
      <c r="BD380" s="7">
        <v>13.9</v>
      </c>
      <c r="BE380" s="7">
        <v>4.0999999999999996</v>
      </c>
      <c r="BF380" s="7"/>
    </row>
    <row r="381" spans="1:58" x14ac:dyDescent="0.2">
      <c r="A381" s="7">
        <v>97</v>
      </c>
      <c r="B381" s="7" t="s">
        <v>662</v>
      </c>
      <c r="C381" s="7" t="s">
        <v>663</v>
      </c>
      <c r="D381" s="7" t="s">
        <v>664</v>
      </c>
      <c r="E381" s="7" t="s">
        <v>665</v>
      </c>
      <c r="F381" s="7" t="s">
        <v>468</v>
      </c>
      <c r="G381" s="7">
        <v>2002</v>
      </c>
      <c r="H381" s="8">
        <v>37594</v>
      </c>
      <c r="I381" s="7" t="s">
        <v>32</v>
      </c>
      <c r="J381" s="7" t="s">
        <v>32</v>
      </c>
      <c r="K381" s="7" t="s">
        <v>666</v>
      </c>
      <c r="L381" s="7">
        <v>1</v>
      </c>
      <c r="M381" s="7" t="s">
        <v>32</v>
      </c>
      <c r="N381" s="7" t="s">
        <v>34</v>
      </c>
      <c r="O381" s="7" t="s">
        <v>34</v>
      </c>
      <c r="P381" s="7" t="s">
        <v>34</v>
      </c>
      <c r="Q381" s="7" t="s">
        <v>34</v>
      </c>
      <c r="R381" s="7" t="s">
        <v>34</v>
      </c>
      <c r="S381" s="7" t="s">
        <v>34</v>
      </c>
      <c r="T381" s="7" t="s">
        <v>34</v>
      </c>
      <c r="U381" s="7" t="s">
        <v>32</v>
      </c>
      <c r="V381" s="7">
        <v>1</v>
      </c>
      <c r="W381" s="7" t="s">
        <v>32</v>
      </c>
      <c r="X381" s="7" t="s">
        <v>32</v>
      </c>
      <c r="Y381" s="7" t="s">
        <v>32</v>
      </c>
      <c r="Z381" s="7" t="s">
        <v>32</v>
      </c>
      <c r="AA381" s="7">
        <v>12460691</v>
      </c>
      <c r="AB381" s="7">
        <v>1</v>
      </c>
      <c r="AC381" s="7"/>
      <c r="AD381" s="7">
        <v>3</v>
      </c>
      <c r="AE381" s="7">
        <f t="shared" si="28"/>
        <v>39</v>
      </c>
      <c r="AF381" s="7">
        <v>17</v>
      </c>
      <c r="AG381" s="7">
        <v>22</v>
      </c>
      <c r="AH381" s="7" t="s">
        <v>1769</v>
      </c>
      <c r="AI381" s="7" t="s">
        <v>1769</v>
      </c>
      <c r="AJ381" s="7">
        <v>33.799999999999997</v>
      </c>
      <c r="AK381" s="7">
        <v>9.8000000000000007</v>
      </c>
      <c r="AL381" s="7">
        <v>29.4</v>
      </c>
      <c r="AM381" s="7">
        <v>10.7</v>
      </c>
      <c r="AN381" s="7" t="s">
        <v>3148</v>
      </c>
      <c r="AO381" s="7" t="s">
        <v>1638</v>
      </c>
      <c r="AP381" s="7" t="s">
        <v>3457</v>
      </c>
      <c r="AQ381" s="7" t="s">
        <v>3255</v>
      </c>
      <c r="AR381" s="7" t="s">
        <v>1646</v>
      </c>
      <c r="AS381" s="7" t="s">
        <v>2920</v>
      </c>
      <c r="AT381" s="7" t="s">
        <v>1646</v>
      </c>
      <c r="AU381" s="7" t="s">
        <v>3460</v>
      </c>
      <c r="AV381" s="7" t="s">
        <v>2848</v>
      </c>
      <c r="AW381" s="7">
        <v>54</v>
      </c>
      <c r="AX381" s="7">
        <v>60</v>
      </c>
      <c r="AY381" s="7" t="s">
        <v>3469</v>
      </c>
      <c r="AZ381" s="7">
        <v>12.2</v>
      </c>
      <c r="BA381" s="7">
        <v>3.8</v>
      </c>
      <c r="BB381" s="7"/>
      <c r="BC381" s="7" t="s">
        <v>3482</v>
      </c>
      <c r="BD381" s="7">
        <v>12.4</v>
      </c>
      <c r="BE381" s="7">
        <v>4.2</v>
      </c>
      <c r="BF381" s="7"/>
    </row>
    <row r="382" spans="1:58" x14ac:dyDescent="0.2">
      <c r="A382" s="7">
        <v>97</v>
      </c>
      <c r="B382" s="7" t="s">
        <v>662</v>
      </c>
      <c r="C382" s="7" t="s">
        <v>663</v>
      </c>
      <c r="D382" s="7" t="s">
        <v>664</v>
      </c>
      <c r="E382" s="7" t="s">
        <v>665</v>
      </c>
      <c r="F382" s="7" t="s">
        <v>468</v>
      </c>
      <c r="G382" s="7">
        <v>2002</v>
      </c>
      <c r="H382" s="8">
        <v>37594</v>
      </c>
      <c r="I382" s="7" t="s">
        <v>32</v>
      </c>
      <c r="J382" s="7" t="s">
        <v>32</v>
      </c>
      <c r="K382" s="7" t="s">
        <v>666</v>
      </c>
      <c r="L382" s="7">
        <v>1</v>
      </c>
      <c r="M382" s="7" t="s">
        <v>32</v>
      </c>
      <c r="N382" s="7" t="s">
        <v>34</v>
      </c>
      <c r="O382" s="7" t="s">
        <v>34</v>
      </c>
      <c r="P382" s="7" t="s">
        <v>34</v>
      </c>
      <c r="Q382" s="7" t="s">
        <v>34</v>
      </c>
      <c r="R382" s="7" t="s">
        <v>34</v>
      </c>
      <c r="S382" s="7" t="s">
        <v>34</v>
      </c>
      <c r="T382" s="7" t="s">
        <v>34</v>
      </c>
      <c r="U382" s="7" t="s">
        <v>32</v>
      </c>
      <c r="V382" s="7">
        <v>1</v>
      </c>
      <c r="W382" s="7" t="s">
        <v>32</v>
      </c>
      <c r="X382" s="7" t="s">
        <v>32</v>
      </c>
      <c r="Y382" s="7" t="s">
        <v>32</v>
      </c>
      <c r="Z382" s="7" t="s">
        <v>32</v>
      </c>
      <c r="AA382" s="7">
        <v>12460691</v>
      </c>
      <c r="AB382" s="7">
        <v>1</v>
      </c>
      <c r="AC382" s="7"/>
      <c r="AD382" s="7">
        <v>3</v>
      </c>
      <c r="AE382" s="7">
        <f t="shared" si="28"/>
        <v>39</v>
      </c>
      <c r="AF382" s="7">
        <v>17</v>
      </c>
      <c r="AG382" s="7">
        <v>22</v>
      </c>
      <c r="AH382" s="7" t="s">
        <v>1769</v>
      </c>
      <c r="AI382" s="7" t="s">
        <v>1769</v>
      </c>
      <c r="AJ382" s="7">
        <v>33.799999999999997</v>
      </c>
      <c r="AK382" s="7">
        <v>9.8000000000000007</v>
      </c>
      <c r="AL382" s="7">
        <v>29.4</v>
      </c>
      <c r="AM382" s="7">
        <v>10.7</v>
      </c>
      <c r="AN382" s="7" t="s">
        <v>3148</v>
      </c>
      <c r="AO382" s="7" t="s">
        <v>1638</v>
      </c>
      <c r="AP382" s="7" t="s">
        <v>3457</v>
      </c>
      <c r="AQ382" s="7" t="s">
        <v>3255</v>
      </c>
      <c r="AR382" s="7" t="s">
        <v>1646</v>
      </c>
      <c r="AS382" s="7" t="s">
        <v>2920</v>
      </c>
      <c r="AT382" s="7" t="s">
        <v>1646</v>
      </c>
      <c r="AU382" s="7" t="s">
        <v>3461</v>
      </c>
      <c r="AV382" s="7" t="s">
        <v>2848</v>
      </c>
      <c r="AW382" s="7">
        <v>54</v>
      </c>
      <c r="AX382" s="7">
        <v>60</v>
      </c>
      <c r="AY382" s="7" t="s">
        <v>3470</v>
      </c>
      <c r="AZ382" s="7">
        <v>88.3</v>
      </c>
      <c r="BA382" s="7">
        <v>11.6</v>
      </c>
      <c r="BB382" s="7"/>
      <c r="BC382" s="7" t="s">
        <v>3483</v>
      </c>
      <c r="BD382" s="7">
        <v>87.3</v>
      </c>
      <c r="BE382" s="7">
        <v>15.6</v>
      </c>
      <c r="BF382" s="7"/>
    </row>
    <row r="383" spans="1:58" x14ac:dyDescent="0.2">
      <c r="A383" s="7">
        <v>97</v>
      </c>
      <c r="B383" s="7" t="s">
        <v>662</v>
      </c>
      <c r="C383" s="7" t="s">
        <v>663</v>
      </c>
      <c r="D383" s="7" t="s">
        <v>664</v>
      </c>
      <c r="E383" s="7" t="s">
        <v>665</v>
      </c>
      <c r="F383" s="7" t="s">
        <v>468</v>
      </c>
      <c r="G383" s="7">
        <v>2002</v>
      </c>
      <c r="H383" s="8">
        <v>37594</v>
      </c>
      <c r="I383" s="7" t="s">
        <v>32</v>
      </c>
      <c r="J383" s="7" t="s">
        <v>32</v>
      </c>
      <c r="K383" s="7" t="s">
        <v>666</v>
      </c>
      <c r="L383" s="7">
        <v>1</v>
      </c>
      <c r="M383" s="7" t="s">
        <v>32</v>
      </c>
      <c r="N383" s="7" t="s">
        <v>34</v>
      </c>
      <c r="O383" s="7" t="s">
        <v>34</v>
      </c>
      <c r="P383" s="7" t="s">
        <v>34</v>
      </c>
      <c r="Q383" s="7" t="s">
        <v>34</v>
      </c>
      <c r="R383" s="7" t="s">
        <v>34</v>
      </c>
      <c r="S383" s="7" t="s">
        <v>34</v>
      </c>
      <c r="T383" s="7" t="s">
        <v>34</v>
      </c>
      <c r="U383" s="7" t="s">
        <v>32</v>
      </c>
      <c r="V383" s="7">
        <v>1</v>
      </c>
      <c r="W383" s="7" t="s">
        <v>32</v>
      </c>
      <c r="X383" s="7" t="s">
        <v>32</v>
      </c>
      <c r="Y383" s="7" t="s">
        <v>32</v>
      </c>
      <c r="Z383" s="7" t="s">
        <v>32</v>
      </c>
      <c r="AA383" s="7">
        <v>12460691</v>
      </c>
      <c r="AB383" s="7">
        <v>1</v>
      </c>
      <c r="AC383" s="7"/>
      <c r="AD383" s="7">
        <v>3</v>
      </c>
      <c r="AE383" s="7">
        <f t="shared" si="28"/>
        <v>39</v>
      </c>
      <c r="AF383" s="7">
        <v>17</v>
      </c>
      <c r="AG383" s="7">
        <v>22</v>
      </c>
      <c r="AH383" s="7" t="s">
        <v>1769</v>
      </c>
      <c r="AI383" s="7" t="s">
        <v>1769</v>
      </c>
      <c r="AJ383" s="7">
        <v>33.799999999999997</v>
      </c>
      <c r="AK383" s="7">
        <v>9.8000000000000007</v>
      </c>
      <c r="AL383" s="7">
        <v>29.4</v>
      </c>
      <c r="AM383" s="7">
        <v>10.7</v>
      </c>
      <c r="AN383" s="7" t="s">
        <v>3148</v>
      </c>
      <c r="AO383" s="7" t="s">
        <v>1638</v>
      </c>
      <c r="AP383" s="7" t="s">
        <v>3457</v>
      </c>
      <c r="AQ383" s="7" t="s">
        <v>3255</v>
      </c>
      <c r="AR383" s="7" t="s">
        <v>1646</v>
      </c>
      <c r="AS383" s="7" t="s">
        <v>3113</v>
      </c>
      <c r="AT383" s="7" t="s">
        <v>1646</v>
      </c>
      <c r="AU383" s="7" t="s">
        <v>2952</v>
      </c>
      <c r="AV383" s="7" t="s">
        <v>2848</v>
      </c>
      <c r="AW383" s="7">
        <v>54</v>
      </c>
      <c r="AX383" s="7">
        <v>60</v>
      </c>
      <c r="AY383" s="7" t="s">
        <v>3471</v>
      </c>
      <c r="AZ383" s="7">
        <v>57.3</v>
      </c>
      <c r="BA383" s="7">
        <v>8.6</v>
      </c>
      <c r="BB383" s="7"/>
      <c r="BC383" s="7" t="s">
        <v>3484</v>
      </c>
      <c r="BD383" s="7">
        <v>61.1</v>
      </c>
      <c r="BE383" s="7">
        <v>7.9</v>
      </c>
      <c r="BF383" s="7"/>
    </row>
    <row r="384" spans="1:58" x14ac:dyDescent="0.2">
      <c r="A384" s="7">
        <v>97</v>
      </c>
      <c r="B384" s="7" t="s">
        <v>662</v>
      </c>
      <c r="C384" s="7" t="s">
        <v>663</v>
      </c>
      <c r="D384" s="7" t="s">
        <v>664</v>
      </c>
      <c r="E384" s="7" t="s">
        <v>665</v>
      </c>
      <c r="F384" s="7" t="s">
        <v>468</v>
      </c>
      <c r="G384" s="7">
        <v>2002</v>
      </c>
      <c r="H384" s="8">
        <v>37594</v>
      </c>
      <c r="I384" s="7" t="s">
        <v>32</v>
      </c>
      <c r="J384" s="7" t="s">
        <v>32</v>
      </c>
      <c r="K384" s="7" t="s">
        <v>666</v>
      </c>
      <c r="L384" s="7">
        <v>1</v>
      </c>
      <c r="M384" s="7" t="s">
        <v>32</v>
      </c>
      <c r="N384" s="7" t="s">
        <v>34</v>
      </c>
      <c r="O384" s="7" t="s">
        <v>34</v>
      </c>
      <c r="P384" s="7" t="s">
        <v>34</v>
      </c>
      <c r="Q384" s="7" t="s">
        <v>34</v>
      </c>
      <c r="R384" s="7" t="s">
        <v>34</v>
      </c>
      <c r="S384" s="7" t="s">
        <v>34</v>
      </c>
      <c r="T384" s="7" t="s">
        <v>34</v>
      </c>
      <c r="U384" s="7" t="s">
        <v>32</v>
      </c>
      <c r="V384" s="7">
        <v>1</v>
      </c>
      <c r="W384" s="7" t="s">
        <v>32</v>
      </c>
      <c r="X384" s="7" t="s">
        <v>32</v>
      </c>
      <c r="Y384" s="7" t="s">
        <v>32</v>
      </c>
      <c r="Z384" s="7" t="s">
        <v>32</v>
      </c>
      <c r="AA384" s="7">
        <v>12460691</v>
      </c>
      <c r="AB384" s="7">
        <v>1</v>
      </c>
      <c r="AC384" s="7"/>
      <c r="AD384" s="7">
        <v>3</v>
      </c>
      <c r="AE384" s="7">
        <f t="shared" si="28"/>
        <v>39</v>
      </c>
      <c r="AF384" s="7">
        <v>17</v>
      </c>
      <c r="AG384" s="7">
        <v>22</v>
      </c>
      <c r="AH384" s="7" t="s">
        <v>1769</v>
      </c>
      <c r="AI384" s="7" t="s">
        <v>1769</v>
      </c>
      <c r="AJ384" s="7">
        <v>33.799999999999997</v>
      </c>
      <c r="AK384" s="7">
        <v>9.8000000000000007</v>
      </c>
      <c r="AL384" s="7">
        <v>29.4</v>
      </c>
      <c r="AM384" s="7">
        <v>10.7</v>
      </c>
      <c r="AN384" s="7" t="s">
        <v>3148</v>
      </c>
      <c r="AO384" s="7" t="s">
        <v>1638</v>
      </c>
      <c r="AP384" s="7" t="s">
        <v>3457</v>
      </c>
      <c r="AQ384" s="7" t="s">
        <v>3255</v>
      </c>
      <c r="AR384" s="7" t="s">
        <v>1646</v>
      </c>
      <c r="AS384" s="7" t="s">
        <v>3113</v>
      </c>
      <c r="AT384" s="7" t="s">
        <v>1646</v>
      </c>
      <c r="AU384" s="7" t="s">
        <v>3118</v>
      </c>
      <c r="AV384" s="7" t="s">
        <v>2848</v>
      </c>
      <c r="AW384" s="7">
        <v>54</v>
      </c>
      <c r="AX384" s="7">
        <v>60</v>
      </c>
      <c r="AY384" s="7" t="s">
        <v>3472</v>
      </c>
      <c r="AZ384" s="7">
        <v>12.5</v>
      </c>
      <c r="BA384" s="7">
        <v>2.4</v>
      </c>
      <c r="BB384" s="7"/>
      <c r="BC384" s="7" t="s">
        <v>3485</v>
      </c>
      <c r="BD384" s="7">
        <v>13.2</v>
      </c>
      <c r="BE384" s="7">
        <v>2.5</v>
      </c>
      <c r="BF384" s="7"/>
    </row>
    <row r="385" spans="1:58" x14ac:dyDescent="0.2">
      <c r="A385" s="7">
        <v>97</v>
      </c>
      <c r="B385" s="7" t="s">
        <v>662</v>
      </c>
      <c r="C385" s="7" t="s">
        <v>663</v>
      </c>
      <c r="D385" s="7" t="s">
        <v>664</v>
      </c>
      <c r="E385" s="7" t="s">
        <v>665</v>
      </c>
      <c r="F385" s="7" t="s">
        <v>468</v>
      </c>
      <c r="G385" s="7">
        <v>2002</v>
      </c>
      <c r="H385" s="8">
        <v>37594</v>
      </c>
      <c r="I385" s="7" t="s">
        <v>32</v>
      </c>
      <c r="J385" s="7" t="s">
        <v>32</v>
      </c>
      <c r="K385" s="7" t="s">
        <v>666</v>
      </c>
      <c r="L385" s="7">
        <v>1</v>
      </c>
      <c r="M385" s="7" t="s">
        <v>32</v>
      </c>
      <c r="N385" s="7" t="s">
        <v>34</v>
      </c>
      <c r="O385" s="7" t="s">
        <v>34</v>
      </c>
      <c r="P385" s="7" t="s">
        <v>34</v>
      </c>
      <c r="Q385" s="7" t="s">
        <v>34</v>
      </c>
      <c r="R385" s="7" t="s">
        <v>34</v>
      </c>
      <c r="S385" s="7" t="s">
        <v>34</v>
      </c>
      <c r="T385" s="7" t="s">
        <v>34</v>
      </c>
      <c r="U385" s="7" t="s">
        <v>32</v>
      </c>
      <c r="V385" s="7">
        <v>1</v>
      </c>
      <c r="W385" s="7" t="s">
        <v>32</v>
      </c>
      <c r="X385" s="7" t="s">
        <v>32</v>
      </c>
      <c r="Y385" s="7" t="s">
        <v>32</v>
      </c>
      <c r="Z385" s="7" t="s">
        <v>32</v>
      </c>
      <c r="AA385" s="7">
        <v>12460691</v>
      </c>
      <c r="AB385" s="7">
        <v>1</v>
      </c>
      <c r="AC385" s="7"/>
      <c r="AD385" s="7">
        <v>3</v>
      </c>
      <c r="AE385" s="7">
        <f t="shared" si="28"/>
        <v>39</v>
      </c>
      <c r="AF385" s="7">
        <v>17</v>
      </c>
      <c r="AG385" s="7">
        <v>22</v>
      </c>
      <c r="AH385" s="7" t="s">
        <v>1769</v>
      </c>
      <c r="AI385" s="7" t="s">
        <v>1769</v>
      </c>
      <c r="AJ385" s="7">
        <v>33.799999999999997</v>
      </c>
      <c r="AK385" s="7">
        <v>9.8000000000000007</v>
      </c>
      <c r="AL385" s="7">
        <v>29.4</v>
      </c>
      <c r="AM385" s="7">
        <v>10.7</v>
      </c>
      <c r="AN385" s="7" t="s">
        <v>3148</v>
      </c>
      <c r="AO385" s="7" t="s">
        <v>1638</v>
      </c>
      <c r="AP385" s="7" t="s">
        <v>3457</v>
      </c>
      <c r="AQ385" s="7" t="s">
        <v>3255</v>
      </c>
      <c r="AR385" s="7" t="s">
        <v>1646</v>
      </c>
      <c r="AS385" s="7" t="s">
        <v>3113</v>
      </c>
      <c r="AT385" s="7" t="s">
        <v>1646</v>
      </c>
      <c r="AU385" s="7" t="s">
        <v>2958</v>
      </c>
      <c r="AV385" s="7" t="s">
        <v>2848</v>
      </c>
      <c r="AW385" s="7">
        <v>54</v>
      </c>
      <c r="AX385" s="7">
        <v>60</v>
      </c>
      <c r="AY385" s="7" t="s">
        <v>3473</v>
      </c>
      <c r="AZ385" s="7">
        <v>13.1</v>
      </c>
      <c r="BA385" s="7">
        <v>2.4</v>
      </c>
      <c r="BB385" s="7"/>
      <c r="BC385" s="7" t="s">
        <v>3486</v>
      </c>
      <c r="BD385" s="7">
        <v>13.3</v>
      </c>
      <c r="BE385" s="7">
        <v>2.4</v>
      </c>
      <c r="BF385" s="7"/>
    </row>
    <row r="386" spans="1:58" x14ac:dyDescent="0.2">
      <c r="A386" s="7">
        <v>97</v>
      </c>
      <c r="B386" s="7" t="s">
        <v>662</v>
      </c>
      <c r="C386" s="7" t="s">
        <v>663</v>
      </c>
      <c r="D386" s="7" t="s">
        <v>664</v>
      </c>
      <c r="E386" s="7" t="s">
        <v>665</v>
      </c>
      <c r="F386" s="7" t="s">
        <v>468</v>
      </c>
      <c r="G386" s="7">
        <v>2002</v>
      </c>
      <c r="H386" s="8">
        <v>37594</v>
      </c>
      <c r="I386" s="7" t="s">
        <v>32</v>
      </c>
      <c r="J386" s="7" t="s">
        <v>32</v>
      </c>
      <c r="K386" s="7" t="s">
        <v>666</v>
      </c>
      <c r="L386" s="7">
        <v>1</v>
      </c>
      <c r="M386" s="7" t="s">
        <v>32</v>
      </c>
      <c r="N386" s="7" t="s">
        <v>34</v>
      </c>
      <c r="O386" s="7" t="s">
        <v>34</v>
      </c>
      <c r="P386" s="7" t="s">
        <v>34</v>
      </c>
      <c r="Q386" s="7" t="s">
        <v>34</v>
      </c>
      <c r="R386" s="7" t="s">
        <v>34</v>
      </c>
      <c r="S386" s="7" t="s">
        <v>34</v>
      </c>
      <c r="T386" s="7" t="s">
        <v>34</v>
      </c>
      <c r="U386" s="7" t="s">
        <v>32</v>
      </c>
      <c r="V386" s="7">
        <v>1</v>
      </c>
      <c r="W386" s="7" t="s">
        <v>32</v>
      </c>
      <c r="X386" s="7" t="s">
        <v>32</v>
      </c>
      <c r="Y386" s="7" t="s">
        <v>32</v>
      </c>
      <c r="Z386" s="7" t="s">
        <v>32</v>
      </c>
      <c r="AA386" s="7">
        <v>12460691</v>
      </c>
      <c r="AB386" s="7">
        <v>1</v>
      </c>
      <c r="AC386" s="7"/>
      <c r="AD386" s="7">
        <v>3</v>
      </c>
      <c r="AE386" s="7">
        <f t="shared" si="28"/>
        <v>33</v>
      </c>
      <c r="AF386" s="7">
        <v>13</v>
      </c>
      <c r="AG386" s="7">
        <v>20</v>
      </c>
      <c r="AH386" s="7" t="s">
        <v>1769</v>
      </c>
      <c r="AI386" s="7" t="s">
        <v>1769</v>
      </c>
      <c r="AJ386" s="7">
        <v>33.799999999999997</v>
      </c>
      <c r="AK386" s="7">
        <v>9.8000000000000007</v>
      </c>
      <c r="AL386" s="7">
        <v>29.4</v>
      </c>
      <c r="AM386" s="7">
        <v>10.7</v>
      </c>
      <c r="AN386" s="7" t="s">
        <v>3148</v>
      </c>
      <c r="AO386" s="7" t="s">
        <v>1638</v>
      </c>
      <c r="AP386" s="7" t="s">
        <v>3457</v>
      </c>
      <c r="AQ386" s="7" t="s">
        <v>3255</v>
      </c>
      <c r="AR386" s="7" t="s">
        <v>1646</v>
      </c>
      <c r="AS386" s="7" t="s">
        <v>2920</v>
      </c>
      <c r="AT386" s="7" t="s">
        <v>1646</v>
      </c>
      <c r="AU386" s="7" t="s">
        <v>3462</v>
      </c>
      <c r="AV386" s="7" t="s">
        <v>2848</v>
      </c>
      <c r="AW386" s="7">
        <v>54</v>
      </c>
      <c r="AX386" s="7">
        <v>60</v>
      </c>
      <c r="AY386" s="7" t="s">
        <v>3474</v>
      </c>
      <c r="AZ386" s="7">
        <v>17.8</v>
      </c>
      <c r="BA386" s="7">
        <v>7.5</v>
      </c>
      <c r="BB386" s="7"/>
      <c r="BC386" s="7" t="s">
        <v>3487</v>
      </c>
      <c r="BD386" s="7">
        <v>24.1</v>
      </c>
      <c r="BE386" s="77">
        <v>6</v>
      </c>
      <c r="BF386" s="7"/>
    </row>
    <row r="387" spans="1:58" x14ac:dyDescent="0.2">
      <c r="A387" s="7">
        <v>97</v>
      </c>
      <c r="B387" s="7" t="s">
        <v>662</v>
      </c>
      <c r="C387" s="7" t="s">
        <v>663</v>
      </c>
      <c r="D387" s="7" t="s">
        <v>664</v>
      </c>
      <c r="E387" s="7" t="s">
        <v>665</v>
      </c>
      <c r="F387" s="7" t="s">
        <v>468</v>
      </c>
      <c r="G387" s="7">
        <v>2002</v>
      </c>
      <c r="H387" s="8">
        <v>37594</v>
      </c>
      <c r="I387" s="7" t="s">
        <v>32</v>
      </c>
      <c r="J387" s="7" t="s">
        <v>32</v>
      </c>
      <c r="K387" s="7" t="s">
        <v>666</v>
      </c>
      <c r="L387" s="7">
        <v>1</v>
      </c>
      <c r="M387" s="7" t="s">
        <v>32</v>
      </c>
      <c r="N387" s="7" t="s">
        <v>34</v>
      </c>
      <c r="O387" s="7" t="s">
        <v>34</v>
      </c>
      <c r="P387" s="7" t="s">
        <v>34</v>
      </c>
      <c r="Q387" s="7" t="s">
        <v>34</v>
      </c>
      <c r="R387" s="7" t="s">
        <v>34</v>
      </c>
      <c r="S387" s="7" t="s">
        <v>34</v>
      </c>
      <c r="T387" s="7" t="s">
        <v>34</v>
      </c>
      <c r="U387" s="7" t="s">
        <v>32</v>
      </c>
      <c r="V387" s="7">
        <v>1</v>
      </c>
      <c r="W387" s="7" t="s">
        <v>32</v>
      </c>
      <c r="X387" s="7" t="s">
        <v>32</v>
      </c>
      <c r="Y387" s="7" t="s">
        <v>32</v>
      </c>
      <c r="Z387" s="7" t="s">
        <v>32</v>
      </c>
      <c r="AA387" s="7">
        <v>12460691</v>
      </c>
      <c r="AB387" s="7">
        <v>1</v>
      </c>
      <c r="AC387" s="7"/>
      <c r="AD387" s="7">
        <v>3</v>
      </c>
      <c r="AE387" s="7">
        <f t="shared" si="28"/>
        <v>33</v>
      </c>
      <c r="AF387" s="7">
        <v>13</v>
      </c>
      <c r="AG387" s="7">
        <v>20</v>
      </c>
      <c r="AH387" s="7" t="s">
        <v>1769</v>
      </c>
      <c r="AI387" s="7" t="s">
        <v>1769</v>
      </c>
      <c r="AJ387" s="7">
        <v>33.799999999999997</v>
      </c>
      <c r="AK387" s="7">
        <v>9.8000000000000007</v>
      </c>
      <c r="AL387" s="7">
        <v>29.4</v>
      </c>
      <c r="AM387" s="7">
        <v>10.7</v>
      </c>
      <c r="AN387" s="7" t="s">
        <v>3148</v>
      </c>
      <c r="AO387" s="7" t="s">
        <v>1638</v>
      </c>
      <c r="AP387" s="7" t="s">
        <v>3457</v>
      </c>
      <c r="AQ387" s="7" t="s">
        <v>3255</v>
      </c>
      <c r="AR387" s="7" t="s">
        <v>1646</v>
      </c>
      <c r="AS387" s="7" t="s">
        <v>2920</v>
      </c>
      <c r="AT387" s="7" t="s">
        <v>1646</v>
      </c>
      <c r="AU387" s="7" t="s">
        <v>3463</v>
      </c>
      <c r="AV387" s="7" t="s">
        <v>2848</v>
      </c>
      <c r="AW387" s="7">
        <v>54</v>
      </c>
      <c r="AX387" s="7">
        <v>60</v>
      </c>
      <c r="AY387" s="7" t="s">
        <v>3475</v>
      </c>
      <c r="AZ387" s="7">
        <v>6.2</v>
      </c>
      <c r="BA387" s="7">
        <v>2.2000000000000002</v>
      </c>
      <c r="BB387" s="7"/>
      <c r="BC387" s="7" t="s">
        <v>3488</v>
      </c>
      <c r="BD387" s="77">
        <v>7.1</v>
      </c>
      <c r="BE387" s="7">
        <v>1.8</v>
      </c>
      <c r="BF387" s="7"/>
    </row>
    <row r="388" spans="1:58" x14ac:dyDescent="0.2">
      <c r="A388" s="7">
        <v>97</v>
      </c>
      <c r="B388" s="7" t="s">
        <v>662</v>
      </c>
      <c r="C388" s="7" t="s">
        <v>663</v>
      </c>
      <c r="D388" s="7" t="s">
        <v>664</v>
      </c>
      <c r="E388" s="7" t="s">
        <v>665</v>
      </c>
      <c r="F388" s="7" t="s">
        <v>468</v>
      </c>
      <c r="G388" s="7">
        <v>2002</v>
      </c>
      <c r="H388" s="8">
        <v>37594</v>
      </c>
      <c r="I388" s="7" t="s">
        <v>32</v>
      </c>
      <c r="J388" s="7" t="s">
        <v>32</v>
      </c>
      <c r="K388" s="7" t="s">
        <v>666</v>
      </c>
      <c r="L388" s="7">
        <v>1</v>
      </c>
      <c r="M388" s="7" t="s">
        <v>32</v>
      </c>
      <c r="N388" s="7" t="s">
        <v>34</v>
      </c>
      <c r="O388" s="7" t="s">
        <v>34</v>
      </c>
      <c r="P388" s="7" t="s">
        <v>34</v>
      </c>
      <c r="Q388" s="7" t="s">
        <v>34</v>
      </c>
      <c r="R388" s="7" t="s">
        <v>34</v>
      </c>
      <c r="S388" s="7" t="s">
        <v>34</v>
      </c>
      <c r="T388" s="7" t="s">
        <v>34</v>
      </c>
      <c r="U388" s="7" t="s">
        <v>32</v>
      </c>
      <c r="V388" s="7">
        <v>1</v>
      </c>
      <c r="W388" s="7" t="s">
        <v>32</v>
      </c>
      <c r="X388" s="7" t="s">
        <v>32</v>
      </c>
      <c r="Y388" s="7" t="s">
        <v>32</v>
      </c>
      <c r="Z388" s="7" t="s">
        <v>32</v>
      </c>
      <c r="AA388" s="7">
        <v>12460691</v>
      </c>
      <c r="AB388" s="7">
        <v>1</v>
      </c>
      <c r="AC388" s="7"/>
      <c r="AD388" s="7">
        <v>3</v>
      </c>
      <c r="AE388" s="7">
        <f t="shared" si="28"/>
        <v>33</v>
      </c>
      <c r="AF388" s="7">
        <v>13</v>
      </c>
      <c r="AG388" s="7">
        <v>20</v>
      </c>
      <c r="AH388" s="7" t="s">
        <v>1769</v>
      </c>
      <c r="AI388" s="7" t="s">
        <v>1769</v>
      </c>
      <c r="AJ388" s="7">
        <v>33.799999999999997</v>
      </c>
      <c r="AK388" s="7">
        <v>9.8000000000000007</v>
      </c>
      <c r="AL388" s="7">
        <v>29.4</v>
      </c>
      <c r="AM388" s="7">
        <v>10.7</v>
      </c>
      <c r="AN388" s="7" t="s">
        <v>3148</v>
      </c>
      <c r="AO388" s="7" t="s">
        <v>1638</v>
      </c>
      <c r="AP388" s="7" t="s">
        <v>3457</v>
      </c>
      <c r="AQ388" s="7" t="s">
        <v>3255</v>
      </c>
      <c r="AR388" s="7" t="s">
        <v>1646</v>
      </c>
      <c r="AS388" s="7" t="s">
        <v>2920</v>
      </c>
      <c r="AT388" s="7" t="s">
        <v>1646</v>
      </c>
      <c r="AU388" s="7" t="s">
        <v>3464</v>
      </c>
      <c r="AV388" s="7" t="s">
        <v>2848</v>
      </c>
      <c r="AW388" s="7">
        <v>54</v>
      </c>
      <c r="AX388" s="7">
        <v>60</v>
      </c>
      <c r="AY388" s="7" t="s">
        <v>3476</v>
      </c>
      <c r="AZ388" s="7">
        <v>94.6</v>
      </c>
      <c r="BA388" s="7">
        <v>10.3</v>
      </c>
      <c r="BB388" s="7"/>
      <c r="BC388" s="7" t="s">
        <v>3489</v>
      </c>
      <c r="BD388" s="77">
        <v>93</v>
      </c>
      <c r="BE388" s="7">
        <v>14.8</v>
      </c>
      <c r="BF388" s="7"/>
    </row>
    <row r="389" spans="1:58" x14ac:dyDescent="0.2">
      <c r="A389" s="7">
        <v>97</v>
      </c>
      <c r="B389" s="7" t="s">
        <v>662</v>
      </c>
      <c r="C389" s="7" t="s">
        <v>663</v>
      </c>
      <c r="D389" s="7" t="s">
        <v>664</v>
      </c>
      <c r="E389" s="7" t="s">
        <v>665</v>
      </c>
      <c r="F389" s="7" t="s">
        <v>468</v>
      </c>
      <c r="G389" s="7">
        <v>2002</v>
      </c>
      <c r="H389" s="8">
        <v>37594</v>
      </c>
      <c r="I389" s="7" t="s">
        <v>32</v>
      </c>
      <c r="J389" s="7" t="s">
        <v>32</v>
      </c>
      <c r="K389" s="7" t="s">
        <v>666</v>
      </c>
      <c r="L389" s="7">
        <v>1</v>
      </c>
      <c r="M389" s="7" t="s">
        <v>32</v>
      </c>
      <c r="N389" s="7" t="s">
        <v>34</v>
      </c>
      <c r="O389" s="7" t="s">
        <v>34</v>
      </c>
      <c r="P389" s="7" t="s">
        <v>34</v>
      </c>
      <c r="Q389" s="7" t="s">
        <v>34</v>
      </c>
      <c r="R389" s="7" t="s">
        <v>34</v>
      </c>
      <c r="S389" s="7" t="s">
        <v>34</v>
      </c>
      <c r="T389" s="7" t="s">
        <v>34</v>
      </c>
      <c r="U389" s="7" t="s">
        <v>32</v>
      </c>
      <c r="V389" s="7">
        <v>1</v>
      </c>
      <c r="W389" s="7" t="s">
        <v>32</v>
      </c>
      <c r="X389" s="7" t="s">
        <v>32</v>
      </c>
      <c r="Y389" s="7" t="s">
        <v>32</v>
      </c>
      <c r="Z389" s="7" t="s">
        <v>32</v>
      </c>
      <c r="AA389" s="7">
        <v>12460691</v>
      </c>
      <c r="AB389" s="7">
        <v>1</v>
      </c>
      <c r="AC389" s="7"/>
      <c r="AD389" s="7">
        <v>3</v>
      </c>
      <c r="AE389" s="7">
        <f t="shared" si="28"/>
        <v>33</v>
      </c>
      <c r="AF389" s="7">
        <v>13</v>
      </c>
      <c r="AG389" s="7">
        <v>20</v>
      </c>
      <c r="AH389" s="7" t="s">
        <v>1769</v>
      </c>
      <c r="AI389" s="7" t="s">
        <v>1769</v>
      </c>
      <c r="AJ389" s="7">
        <v>33.799999999999997</v>
      </c>
      <c r="AK389" s="7">
        <v>9.8000000000000007</v>
      </c>
      <c r="AL389" s="7">
        <v>29.4</v>
      </c>
      <c r="AM389" s="7">
        <v>10.7</v>
      </c>
      <c r="AN389" s="7" t="s">
        <v>3148</v>
      </c>
      <c r="AO389" s="7" t="s">
        <v>1638</v>
      </c>
      <c r="AP389" s="7" t="s">
        <v>3457</v>
      </c>
      <c r="AQ389" s="7" t="s">
        <v>3255</v>
      </c>
      <c r="AR389" s="7" t="s">
        <v>1646</v>
      </c>
      <c r="AS389" s="7" t="s">
        <v>2920</v>
      </c>
      <c r="AT389" s="7" t="s">
        <v>1646</v>
      </c>
      <c r="AU389" s="7" t="s">
        <v>3465</v>
      </c>
      <c r="AV389" s="7" t="s">
        <v>2848</v>
      </c>
      <c r="AW389" s="7">
        <v>54</v>
      </c>
      <c r="AX389" s="7">
        <v>60</v>
      </c>
      <c r="AY389" s="7" t="s">
        <v>3477</v>
      </c>
      <c r="AZ389" s="7">
        <v>23.9</v>
      </c>
      <c r="BA389" s="7">
        <v>0.2</v>
      </c>
      <c r="BB389" s="7"/>
      <c r="BC389" s="7" t="s">
        <v>3490</v>
      </c>
      <c r="BD389" s="77">
        <v>24</v>
      </c>
      <c r="BE389" s="7">
        <v>0.2</v>
      </c>
      <c r="BF389" s="7"/>
    </row>
    <row r="390" spans="1:58" x14ac:dyDescent="0.2">
      <c r="A390" s="7">
        <v>97</v>
      </c>
      <c r="B390" s="7" t="s">
        <v>662</v>
      </c>
      <c r="C390" s="7" t="s">
        <v>663</v>
      </c>
      <c r="D390" s="7" t="s">
        <v>664</v>
      </c>
      <c r="E390" s="7" t="s">
        <v>665</v>
      </c>
      <c r="F390" s="7" t="s">
        <v>468</v>
      </c>
      <c r="G390" s="7">
        <v>2002</v>
      </c>
      <c r="H390" s="8">
        <v>37594</v>
      </c>
      <c r="I390" s="7" t="s">
        <v>32</v>
      </c>
      <c r="J390" s="7" t="s">
        <v>32</v>
      </c>
      <c r="K390" s="7" t="s">
        <v>666</v>
      </c>
      <c r="L390" s="7">
        <v>1</v>
      </c>
      <c r="M390" s="7" t="s">
        <v>32</v>
      </c>
      <c r="N390" s="7" t="s">
        <v>34</v>
      </c>
      <c r="O390" s="7" t="s">
        <v>34</v>
      </c>
      <c r="P390" s="7" t="s">
        <v>34</v>
      </c>
      <c r="Q390" s="7" t="s">
        <v>34</v>
      </c>
      <c r="R390" s="7" t="s">
        <v>34</v>
      </c>
      <c r="S390" s="7" t="s">
        <v>34</v>
      </c>
      <c r="T390" s="7" t="s">
        <v>34</v>
      </c>
      <c r="U390" s="7" t="s">
        <v>32</v>
      </c>
      <c r="V390" s="7">
        <v>1</v>
      </c>
      <c r="W390" s="7" t="s">
        <v>32</v>
      </c>
      <c r="X390" s="7" t="s">
        <v>32</v>
      </c>
      <c r="Y390" s="7" t="s">
        <v>32</v>
      </c>
      <c r="Z390" s="7" t="s">
        <v>32</v>
      </c>
      <c r="AA390" s="7">
        <v>12460691</v>
      </c>
      <c r="AB390" s="7">
        <v>1</v>
      </c>
      <c r="AC390" s="7"/>
      <c r="AD390" s="7">
        <v>3</v>
      </c>
      <c r="AE390" s="7">
        <f t="shared" si="28"/>
        <v>32</v>
      </c>
      <c r="AF390" s="7">
        <v>13</v>
      </c>
      <c r="AG390" s="7">
        <v>19</v>
      </c>
      <c r="AH390" s="7" t="s">
        <v>1769</v>
      </c>
      <c r="AI390" s="7" t="s">
        <v>1769</v>
      </c>
      <c r="AJ390" s="7">
        <v>33.799999999999997</v>
      </c>
      <c r="AK390" s="7">
        <v>9.8000000000000007</v>
      </c>
      <c r="AL390" s="7">
        <v>29.4</v>
      </c>
      <c r="AM390" s="7">
        <v>10.7</v>
      </c>
      <c r="AN390" s="7" t="s">
        <v>3148</v>
      </c>
      <c r="AO390" s="7" t="s">
        <v>1638</v>
      </c>
      <c r="AP390" s="7" t="s">
        <v>3457</v>
      </c>
      <c r="AQ390" s="7" t="s">
        <v>3255</v>
      </c>
      <c r="AR390" s="7" t="s">
        <v>1646</v>
      </c>
      <c r="AS390" s="7" t="s">
        <v>3458</v>
      </c>
      <c r="AT390" s="7" t="s">
        <v>1646</v>
      </c>
      <c r="AU390" s="7" t="s">
        <v>3466</v>
      </c>
      <c r="AV390" s="7" t="s">
        <v>2848</v>
      </c>
      <c r="AW390" s="7">
        <v>54</v>
      </c>
      <c r="AX390" s="7">
        <v>60</v>
      </c>
      <c r="AY390" s="7" t="s">
        <v>3478</v>
      </c>
      <c r="AZ390" s="7">
        <v>74.5</v>
      </c>
      <c r="BA390" s="7">
        <v>8.5</v>
      </c>
      <c r="BB390" s="7"/>
      <c r="BC390" s="7" t="s">
        <v>3491</v>
      </c>
      <c r="BD390" s="77">
        <v>77</v>
      </c>
      <c r="BE390" s="77">
        <v>7.7</v>
      </c>
      <c r="BF390" s="7"/>
    </row>
    <row r="391" spans="1:58" x14ac:dyDescent="0.2">
      <c r="A391" s="7">
        <v>97</v>
      </c>
      <c r="B391" s="7" t="s">
        <v>662</v>
      </c>
      <c r="C391" s="7" t="s">
        <v>663</v>
      </c>
      <c r="D391" s="7" t="s">
        <v>664</v>
      </c>
      <c r="E391" s="7" t="s">
        <v>665</v>
      </c>
      <c r="F391" s="7" t="s">
        <v>468</v>
      </c>
      <c r="G391" s="7">
        <v>2002</v>
      </c>
      <c r="H391" s="8">
        <v>37594</v>
      </c>
      <c r="I391" s="7" t="s">
        <v>32</v>
      </c>
      <c r="J391" s="7" t="s">
        <v>32</v>
      </c>
      <c r="K391" s="7" t="s">
        <v>666</v>
      </c>
      <c r="L391" s="7">
        <v>1</v>
      </c>
      <c r="M391" s="7" t="s">
        <v>32</v>
      </c>
      <c r="N391" s="7" t="s">
        <v>34</v>
      </c>
      <c r="O391" s="7" t="s">
        <v>34</v>
      </c>
      <c r="P391" s="7" t="s">
        <v>34</v>
      </c>
      <c r="Q391" s="7" t="s">
        <v>34</v>
      </c>
      <c r="R391" s="7" t="s">
        <v>34</v>
      </c>
      <c r="S391" s="7" t="s">
        <v>34</v>
      </c>
      <c r="T391" s="7" t="s">
        <v>34</v>
      </c>
      <c r="U391" s="7" t="s">
        <v>32</v>
      </c>
      <c r="V391" s="7">
        <v>1</v>
      </c>
      <c r="W391" s="7" t="s">
        <v>32</v>
      </c>
      <c r="X391" s="7" t="s">
        <v>32</v>
      </c>
      <c r="Y391" s="7" t="s">
        <v>32</v>
      </c>
      <c r="Z391" s="7" t="s">
        <v>32</v>
      </c>
      <c r="AA391" s="7">
        <v>12460691</v>
      </c>
      <c r="AB391" s="7">
        <v>1</v>
      </c>
      <c r="AC391" s="7"/>
      <c r="AD391" s="7">
        <v>3</v>
      </c>
      <c r="AE391" s="7">
        <f t="shared" si="28"/>
        <v>33</v>
      </c>
      <c r="AF391" s="7">
        <v>13</v>
      </c>
      <c r="AG391" s="7">
        <v>20</v>
      </c>
      <c r="AH391" s="7" t="s">
        <v>1769</v>
      </c>
      <c r="AI391" s="7" t="s">
        <v>1769</v>
      </c>
      <c r="AJ391" s="7">
        <v>33.799999999999997</v>
      </c>
      <c r="AK391" s="7">
        <v>9.8000000000000007</v>
      </c>
      <c r="AL391" s="7">
        <v>29.4</v>
      </c>
      <c r="AM391" s="7">
        <v>10.7</v>
      </c>
      <c r="AN391" s="7" t="s">
        <v>3148</v>
      </c>
      <c r="AO391" s="7" t="s">
        <v>1638</v>
      </c>
      <c r="AP391" s="7" t="s">
        <v>3457</v>
      </c>
      <c r="AQ391" s="7" t="s">
        <v>3255</v>
      </c>
      <c r="AR391" s="7" t="s">
        <v>1646</v>
      </c>
      <c r="AS391" s="7" t="s">
        <v>3189</v>
      </c>
      <c r="AT391" s="7" t="s">
        <v>1646</v>
      </c>
      <c r="AU391" s="7" t="s">
        <v>2969</v>
      </c>
      <c r="AV391" s="7" t="s">
        <v>2848</v>
      </c>
      <c r="AW391" s="7">
        <v>54</v>
      </c>
      <c r="AX391" s="7">
        <v>60</v>
      </c>
      <c r="AY391" s="7" t="s">
        <v>3479</v>
      </c>
      <c r="AZ391" s="7">
        <v>33.5</v>
      </c>
      <c r="BA391" s="7">
        <v>15.7</v>
      </c>
      <c r="BB391" s="7"/>
      <c r="BC391" s="7" t="s">
        <v>3492</v>
      </c>
      <c r="BD391" s="77">
        <v>41.6</v>
      </c>
      <c r="BE391" s="77">
        <v>11</v>
      </c>
      <c r="BF391" s="7"/>
    </row>
    <row r="392" spans="1:58" x14ac:dyDescent="0.2">
      <c r="A392" s="7">
        <v>97</v>
      </c>
      <c r="B392" s="7" t="s">
        <v>662</v>
      </c>
      <c r="C392" s="7" t="s">
        <v>663</v>
      </c>
      <c r="D392" s="7" t="s">
        <v>664</v>
      </c>
      <c r="E392" s="7" t="s">
        <v>665</v>
      </c>
      <c r="F392" s="7" t="s">
        <v>468</v>
      </c>
      <c r="G392" s="7">
        <v>2002</v>
      </c>
      <c r="H392" s="8">
        <v>37594</v>
      </c>
      <c r="I392" s="7" t="s">
        <v>32</v>
      </c>
      <c r="J392" s="7" t="s">
        <v>32</v>
      </c>
      <c r="K392" s="7" t="s">
        <v>666</v>
      </c>
      <c r="L392" s="7">
        <v>1</v>
      </c>
      <c r="M392" s="7" t="s">
        <v>32</v>
      </c>
      <c r="N392" s="7" t="s">
        <v>34</v>
      </c>
      <c r="O392" s="7" t="s">
        <v>34</v>
      </c>
      <c r="P392" s="7" t="s">
        <v>34</v>
      </c>
      <c r="Q392" s="7" t="s">
        <v>34</v>
      </c>
      <c r="R392" s="7" t="s">
        <v>34</v>
      </c>
      <c r="S392" s="7" t="s">
        <v>34</v>
      </c>
      <c r="T392" s="7" t="s">
        <v>34</v>
      </c>
      <c r="U392" s="7" t="s">
        <v>32</v>
      </c>
      <c r="V392" s="7">
        <v>1</v>
      </c>
      <c r="W392" s="7" t="s">
        <v>32</v>
      </c>
      <c r="X392" s="7" t="s">
        <v>32</v>
      </c>
      <c r="Y392" s="7" t="s">
        <v>32</v>
      </c>
      <c r="Z392" s="7" t="s">
        <v>32</v>
      </c>
      <c r="AA392" s="7">
        <v>12460691</v>
      </c>
      <c r="AB392" s="7">
        <v>1</v>
      </c>
      <c r="AC392" s="7"/>
      <c r="AD392" s="7">
        <v>3</v>
      </c>
      <c r="AE392" s="7">
        <f t="shared" si="28"/>
        <v>33</v>
      </c>
      <c r="AF392" s="7">
        <v>13</v>
      </c>
      <c r="AG392" s="7">
        <v>20</v>
      </c>
      <c r="AH392" s="7" t="s">
        <v>1769</v>
      </c>
      <c r="AI392" s="7" t="s">
        <v>1769</v>
      </c>
      <c r="AJ392" s="7">
        <v>33.799999999999997</v>
      </c>
      <c r="AK392" s="7">
        <v>9.8000000000000007</v>
      </c>
      <c r="AL392" s="7">
        <v>29.4</v>
      </c>
      <c r="AM392" s="7">
        <v>10.7</v>
      </c>
      <c r="AN392" s="7" t="s">
        <v>3148</v>
      </c>
      <c r="AO392" s="7" t="s">
        <v>1638</v>
      </c>
      <c r="AP392" s="7" t="s">
        <v>3457</v>
      </c>
      <c r="AQ392" s="7" t="s">
        <v>3255</v>
      </c>
      <c r="AR392" s="7" t="s">
        <v>1646</v>
      </c>
      <c r="AS392" s="7" t="s">
        <v>3189</v>
      </c>
      <c r="AT392" s="7" t="s">
        <v>1646</v>
      </c>
      <c r="AU392" s="7" t="s">
        <v>3467</v>
      </c>
      <c r="AV392" s="7" t="s">
        <v>2848</v>
      </c>
      <c r="AW392" s="7">
        <v>54</v>
      </c>
      <c r="AX392" s="7">
        <v>60</v>
      </c>
      <c r="AY392" s="7" t="s">
        <v>3480</v>
      </c>
      <c r="AZ392" s="7">
        <v>53.3</v>
      </c>
      <c r="BA392" s="7">
        <v>22.1</v>
      </c>
      <c r="BB392" s="7"/>
      <c r="BC392" s="7" t="s">
        <v>3493</v>
      </c>
      <c r="BD392" s="74">
        <v>60.6</v>
      </c>
      <c r="BE392" s="74">
        <v>14.3</v>
      </c>
      <c r="BF392" s="7"/>
    </row>
    <row r="393" spans="1:58" x14ac:dyDescent="0.2">
      <c r="A393" s="7">
        <v>98</v>
      </c>
      <c r="B393" s="7" t="s">
        <v>667</v>
      </c>
      <c r="C393" s="7" t="s">
        <v>668</v>
      </c>
      <c r="D393" s="7" t="s">
        <v>669</v>
      </c>
      <c r="E393" s="7" t="s">
        <v>670</v>
      </c>
      <c r="F393" s="7" t="s">
        <v>329</v>
      </c>
      <c r="G393" s="7">
        <v>2000</v>
      </c>
      <c r="H393" s="8">
        <v>36683</v>
      </c>
      <c r="I393" s="7" t="s">
        <v>32</v>
      </c>
      <c r="J393" s="7" t="s">
        <v>32</v>
      </c>
      <c r="K393" s="7" t="s">
        <v>671</v>
      </c>
      <c r="L393" s="7">
        <v>1</v>
      </c>
      <c r="M393" s="7" t="s">
        <v>32</v>
      </c>
      <c r="N393" s="7" t="s">
        <v>34</v>
      </c>
      <c r="O393" s="7" t="s">
        <v>34</v>
      </c>
      <c r="P393" s="7" t="s">
        <v>34</v>
      </c>
      <c r="Q393" s="7" t="s">
        <v>672</v>
      </c>
      <c r="R393" s="7" t="s">
        <v>34</v>
      </c>
      <c r="S393" s="7" t="s">
        <v>34</v>
      </c>
      <c r="T393" s="7" t="s">
        <v>34</v>
      </c>
      <c r="U393" s="7" t="s">
        <v>34</v>
      </c>
      <c r="V393" s="7">
        <v>1</v>
      </c>
      <c r="W393" s="7" t="s">
        <v>32</v>
      </c>
      <c r="X393" s="7">
        <v>1</v>
      </c>
      <c r="Y393" s="7" t="s">
        <v>673</v>
      </c>
      <c r="Z393" s="7" t="s">
        <v>674</v>
      </c>
      <c r="AA393" s="7">
        <v>10838673</v>
      </c>
      <c r="AB393" s="7">
        <v>1</v>
      </c>
      <c r="AC393" s="7"/>
      <c r="AD393" s="7">
        <v>2</v>
      </c>
      <c r="AE393" s="7">
        <f t="shared" ref="AE393:AE413" si="32">AF393+AG393</f>
        <v>105</v>
      </c>
      <c r="AF393" s="7">
        <v>72</v>
      </c>
      <c r="AG393" s="7">
        <v>33</v>
      </c>
      <c r="AH393" s="7" t="s">
        <v>2845</v>
      </c>
      <c r="AI393" s="7" t="s">
        <v>2845</v>
      </c>
      <c r="AJ393" s="7">
        <v>39.58</v>
      </c>
      <c r="AK393" s="7">
        <v>8.2200000000000006</v>
      </c>
      <c r="AL393" s="7">
        <v>37.97</v>
      </c>
      <c r="AM393" s="7">
        <v>11.42</v>
      </c>
      <c r="AN393" s="7" t="s">
        <v>2902</v>
      </c>
      <c r="AO393" s="7" t="s">
        <v>1638</v>
      </c>
      <c r="AP393" s="7" t="s">
        <v>3507</v>
      </c>
      <c r="AQ393" s="7" t="s">
        <v>3259</v>
      </c>
      <c r="AR393" s="7" t="s">
        <v>1646</v>
      </c>
      <c r="AS393" s="7" t="s">
        <v>2950</v>
      </c>
      <c r="AT393" s="7" t="s">
        <v>1646</v>
      </c>
      <c r="AU393" s="7" t="s">
        <v>2952</v>
      </c>
      <c r="AV393" s="7" t="s">
        <v>2848</v>
      </c>
      <c r="AW393" s="7">
        <v>55</v>
      </c>
      <c r="AX393" s="7">
        <v>61</v>
      </c>
      <c r="AY393" s="7" t="s">
        <v>3510</v>
      </c>
      <c r="AZ393" s="7">
        <v>47.85</v>
      </c>
      <c r="BA393" s="7">
        <v>8.91</v>
      </c>
      <c r="BB393" s="7"/>
      <c r="BC393" s="7" t="s">
        <v>3514</v>
      </c>
      <c r="BD393" s="74">
        <v>46.61</v>
      </c>
      <c r="BE393" s="74">
        <v>9.32</v>
      </c>
      <c r="BF393" s="7"/>
    </row>
    <row r="394" spans="1:58" x14ac:dyDescent="0.2">
      <c r="A394" s="7">
        <v>98</v>
      </c>
      <c r="B394" s="7" t="s">
        <v>667</v>
      </c>
      <c r="C394" s="7" t="s">
        <v>668</v>
      </c>
      <c r="D394" s="7" t="s">
        <v>669</v>
      </c>
      <c r="E394" s="7" t="s">
        <v>670</v>
      </c>
      <c r="F394" s="7" t="s">
        <v>329</v>
      </c>
      <c r="G394" s="7">
        <v>2000</v>
      </c>
      <c r="H394" s="8">
        <v>36683</v>
      </c>
      <c r="I394" s="7" t="s">
        <v>32</v>
      </c>
      <c r="J394" s="7" t="s">
        <v>32</v>
      </c>
      <c r="K394" s="7" t="s">
        <v>671</v>
      </c>
      <c r="L394" s="7">
        <v>1</v>
      </c>
      <c r="M394" s="7" t="s">
        <v>32</v>
      </c>
      <c r="N394" s="7" t="s">
        <v>34</v>
      </c>
      <c r="O394" s="7" t="s">
        <v>34</v>
      </c>
      <c r="P394" s="7" t="s">
        <v>34</v>
      </c>
      <c r="Q394" s="7" t="s">
        <v>672</v>
      </c>
      <c r="R394" s="7" t="s">
        <v>34</v>
      </c>
      <c r="S394" s="7" t="s">
        <v>34</v>
      </c>
      <c r="T394" s="7" t="s">
        <v>34</v>
      </c>
      <c r="U394" s="7" t="s">
        <v>34</v>
      </c>
      <c r="V394" s="7">
        <v>1</v>
      </c>
      <c r="W394" s="7" t="s">
        <v>32</v>
      </c>
      <c r="X394" s="7">
        <v>1</v>
      </c>
      <c r="Y394" s="7" t="s">
        <v>673</v>
      </c>
      <c r="Z394" s="7" t="s">
        <v>674</v>
      </c>
      <c r="AA394" s="7">
        <v>10838673</v>
      </c>
      <c r="AB394" s="7">
        <v>1</v>
      </c>
      <c r="AC394" s="7"/>
      <c r="AD394" s="7">
        <v>2</v>
      </c>
      <c r="AE394" s="7">
        <f t="shared" ref="AE394:AE396" si="33">AF394+AG394</f>
        <v>105</v>
      </c>
      <c r="AF394" s="7">
        <v>72</v>
      </c>
      <c r="AG394" s="7">
        <v>33</v>
      </c>
      <c r="AH394" s="7" t="s">
        <v>2845</v>
      </c>
      <c r="AI394" s="7" t="s">
        <v>2845</v>
      </c>
      <c r="AJ394" s="7">
        <v>39.58</v>
      </c>
      <c r="AK394" s="7">
        <v>8.2200000000000006</v>
      </c>
      <c r="AL394" s="7">
        <v>37.97</v>
      </c>
      <c r="AM394" s="7">
        <v>11.42</v>
      </c>
      <c r="AN394" s="7" t="s">
        <v>2902</v>
      </c>
      <c r="AO394" s="7" t="s">
        <v>1638</v>
      </c>
      <c r="AP394" s="7" t="s">
        <v>3507</v>
      </c>
      <c r="AQ394" s="7" t="s">
        <v>3259</v>
      </c>
      <c r="AR394" s="7" t="s">
        <v>1646</v>
      </c>
      <c r="AS394" s="7" t="s">
        <v>2950</v>
      </c>
      <c r="AT394" s="7" t="s">
        <v>1646</v>
      </c>
      <c r="AU394" s="7" t="s">
        <v>3508</v>
      </c>
      <c r="AV394" s="7" t="s">
        <v>2848</v>
      </c>
      <c r="AW394" s="7">
        <v>55</v>
      </c>
      <c r="AX394" s="7">
        <v>61</v>
      </c>
      <c r="AY394" s="7" t="s">
        <v>3511</v>
      </c>
      <c r="AZ394" s="7">
        <v>0.93</v>
      </c>
      <c r="BA394" s="7">
        <v>0.28000000000000003</v>
      </c>
      <c r="BB394" s="7"/>
      <c r="BC394" s="7" t="s">
        <v>3515</v>
      </c>
      <c r="BD394" s="74">
        <v>0.88</v>
      </c>
      <c r="BE394" s="74">
        <v>0.3</v>
      </c>
      <c r="BF394" s="7"/>
    </row>
    <row r="395" spans="1:58" x14ac:dyDescent="0.2">
      <c r="A395" s="7">
        <v>98</v>
      </c>
      <c r="B395" s="7" t="s">
        <v>667</v>
      </c>
      <c r="C395" s="7" t="s">
        <v>668</v>
      </c>
      <c r="D395" s="7" t="s">
        <v>669</v>
      </c>
      <c r="E395" s="7" t="s">
        <v>670</v>
      </c>
      <c r="F395" s="7" t="s">
        <v>329</v>
      </c>
      <c r="G395" s="7">
        <v>2000</v>
      </c>
      <c r="H395" s="8">
        <v>36683</v>
      </c>
      <c r="I395" s="7" t="s">
        <v>32</v>
      </c>
      <c r="J395" s="7" t="s">
        <v>32</v>
      </c>
      <c r="K395" s="7" t="s">
        <v>671</v>
      </c>
      <c r="L395" s="7">
        <v>1</v>
      </c>
      <c r="M395" s="7" t="s">
        <v>32</v>
      </c>
      <c r="N395" s="7" t="s">
        <v>34</v>
      </c>
      <c r="O395" s="7" t="s">
        <v>34</v>
      </c>
      <c r="P395" s="7" t="s">
        <v>34</v>
      </c>
      <c r="Q395" s="7" t="s">
        <v>672</v>
      </c>
      <c r="R395" s="7" t="s">
        <v>34</v>
      </c>
      <c r="S395" s="7" t="s">
        <v>34</v>
      </c>
      <c r="T395" s="7" t="s">
        <v>34</v>
      </c>
      <c r="U395" s="7" t="s">
        <v>34</v>
      </c>
      <c r="V395" s="7">
        <v>1</v>
      </c>
      <c r="W395" s="7" t="s">
        <v>32</v>
      </c>
      <c r="X395" s="7">
        <v>1</v>
      </c>
      <c r="Y395" s="7" t="s">
        <v>673</v>
      </c>
      <c r="Z395" s="7" t="s">
        <v>674</v>
      </c>
      <c r="AA395" s="7">
        <v>10838673</v>
      </c>
      <c r="AB395" s="7">
        <v>1</v>
      </c>
      <c r="AC395" s="7"/>
      <c r="AD395" s="7">
        <v>2</v>
      </c>
      <c r="AE395" s="7">
        <f t="shared" si="33"/>
        <v>105</v>
      </c>
      <c r="AF395" s="7">
        <v>72</v>
      </c>
      <c r="AG395" s="7">
        <v>33</v>
      </c>
      <c r="AH395" s="7" t="s">
        <v>2845</v>
      </c>
      <c r="AI395" s="7" t="s">
        <v>2845</v>
      </c>
      <c r="AJ395" s="7">
        <v>39.58</v>
      </c>
      <c r="AK395" s="7">
        <v>8.2200000000000006</v>
      </c>
      <c r="AL395" s="7">
        <v>37.97</v>
      </c>
      <c r="AM395" s="7">
        <v>11.42</v>
      </c>
      <c r="AN395" s="7" t="s">
        <v>2902</v>
      </c>
      <c r="AO395" s="7" t="s">
        <v>1638</v>
      </c>
      <c r="AP395" s="7" t="s">
        <v>3507</v>
      </c>
      <c r="AQ395" s="7" t="s">
        <v>3259</v>
      </c>
      <c r="AR395" s="7" t="s">
        <v>1646</v>
      </c>
      <c r="AS395" s="7" t="s">
        <v>3458</v>
      </c>
      <c r="AT395" s="7" t="s">
        <v>1646</v>
      </c>
      <c r="AU395" s="7" t="s">
        <v>3466</v>
      </c>
      <c r="AV395" s="7" t="s">
        <v>2848</v>
      </c>
      <c r="AW395" s="7">
        <v>55</v>
      </c>
      <c r="AX395" s="7">
        <v>61</v>
      </c>
      <c r="AY395" s="7" t="s">
        <v>3512</v>
      </c>
      <c r="AZ395" s="7">
        <v>76.260000000000005</v>
      </c>
      <c r="BA395" s="7">
        <v>7.73</v>
      </c>
      <c r="BB395" s="7"/>
      <c r="BC395" s="7" t="s">
        <v>3516</v>
      </c>
      <c r="BD395" s="74">
        <v>74.760000000000005</v>
      </c>
      <c r="BE395" s="74">
        <v>7.5</v>
      </c>
      <c r="BF395" s="7"/>
    </row>
    <row r="396" spans="1:58" x14ac:dyDescent="0.2">
      <c r="A396" s="7">
        <v>98</v>
      </c>
      <c r="B396" s="7" t="s">
        <v>667</v>
      </c>
      <c r="C396" s="7" t="s">
        <v>668</v>
      </c>
      <c r="D396" s="7" t="s">
        <v>669</v>
      </c>
      <c r="E396" s="7" t="s">
        <v>670</v>
      </c>
      <c r="F396" s="7" t="s">
        <v>329</v>
      </c>
      <c r="G396" s="7">
        <v>2000</v>
      </c>
      <c r="H396" s="8">
        <v>36683</v>
      </c>
      <c r="I396" s="7" t="s">
        <v>32</v>
      </c>
      <c r="J396" s="7" t="s">
        <v>32</v>
      </c>
      <c r="K396" s="7" t="s">
        <v>671</v>
      </c>
      <c r="L396" s="7">
        <v>1</v>
      </c>
      <c r="M396" s="7" t="s">
        <v>32</v>
      </c>
      <c r="N396" s="7" t="s">
        <v>34</v>
      </c>
      <c r="O396" s="7" t="s">
        <v>34</v>
      </c>
      <c r="P396" s="7" t="s">
        <v>34</v>
      </c>
      <c r="Q396" s="7" t="s">
        <v>672</v>
      </c>
      <c r="R396" s="7" t="s">
        <v>34</v>
      </c>
      <c r="S396" s="7" t="s">
        <v>34</v>
      </c>
      <c r="T396" s="7" t="s">
        <v>34</v>
      </c>
      <c r="U396" s="7" t="s">
        <v>34</v>
      </c>
      <c r="V396" s="7">
        <v>1</v>
      </c>
      <c r="W396" s="7" t="s">
        <v>32</v>
      </c>
      <c r="X396" s="7">
        <v>1</v>
      </c>
      <c r="Y396" s="7" t="s">
        <v>673</v>
      </c>
      <c r="Z396" s="7" t="s">
        <v>674</v>
      </c>
      <c r="AA396" s="7">
        <v>10838673</v>
      </c>
      <c r="AB396" s="7">
        <v>1</v>
      </c>
      <c r="AC396" s="7"/>
      <c r="AD396" s="7">
        <v>2</v>
      </c>
      <c r="AE396" s="7">
        <f t="shared" si="33"/>
        <v>105</v>
      </c>
      <c r="AF396" s="7">
        <v>72</v>
      </c>
      <c r="AG396" s="7">
        <v>33</v>
      </c>
      <c r="AH396" s="7" t="s">
        <v>2845</v>
      </c>
      <c r="AI396" s="7" t="s">
        <v>2845</v>
      </c>
      <c r="AJ396" s="7">
        <v>39.58</v>
      </c>
      <c r="AK396" s="7">
        <v>8.2200000000000006</v>
      </c>
      <c r="AL396" s="7">
        <v>37.97</v>
      </c>
      <c r="AM396" s="7">
        <v>11.42</v>
      </c>
      <c r="AN396" s="7" t="s">
        <v>2902</v>
      </c>
      <c r="AO396" s="7" t="s">
        <v>1638</v>
      </c>
      <c r="AP396" s="7" t="s">
        <v>3507</v>
      </c>
      <c r="AQ396" s="7" t="s">
        <v>3259</v>
      </c>
      <c r="AR396" s="7" t="s">
        <v>1646</v>
      </c>
      <c r="AS396" s="7" t="s">
        <v>3458</v>
      </c>
      <c r="AT396" s="7" t="s">
        <v>1646</v>
      </c>
      <c r="AU396" s="7" t="s">
        <v>3509</v>
      </c>
      <c r="AV396" s="7" t="s">
        <v>2848</v>
      </c>
      <c r="AW396" s="7">
        <v>55</v>
      </c>
      <c r="AX396" s="7">
        <v>61</v>
      </c>
      <c r="AY396" s="7" t="s">
        <v>3513</v>
      </c>
      <c r="AZ396" s="7">
        <v>4.32</v>
      </c>
      <c r="BA396" s="7">
        <v>1.57</v>
      </c>
      <c r="BB396" s="7"/>
      <c r="BC396" s="7" t="s">
        <v>3517</v>
      </c>
      <c r="BD396" s="74">
        <v>4.3</v>
      </c>
      <c r="BE396" s="74">
        <v>1.67</v>
      </c>
      <c r="BF396" s="7"/>
    </row>
    <row r="397" spans="1:58" x14ac:dyDescent="0.2">
      <c r="A397" s="7">
        <v>99</v>
      </c>
      <c r="B397" s="7" t="s">
        <v>675</v>
      </c>
      <c r="C397" s="7" t="s">
        <v>676</v>
      </c>
      <c r="D397" s="7" t="s">
        <v>677</v>
      </c>
      <c r="E397" s="7" t="s">
        <v>678</v>
      </c>
      <c r="F397" s="7" t="s">
        <v>679</v>
      </c>
      <c r="G397" s="7">
        <v>1997</v>
      </c>
      <c r="H397" s="8">
        <v>35602</v>
      </c>
      <c r="I397" s="7" t="s">
        <v>32</v>
      </c>
      <c r="J397" s="7" t="s">
        <v>32</v>
      </c>
      <c r="K397" s="7" t="s">
        <v>680</v>
      </c>
      <c r="L397" s="7">
        <v>1</v>
      </c>
      <c r="M397" s="7" t="s">
        <v>32</v>
      </c>
      <c r="N397" s="7" t="s">
        <v>34</v>
      </c>
      <c r="O397" s="7" t="s">
        <v>34</v>
      </c>
      <c r="P397" s="7" t="s">
        <v>34</v>
      </c>
      <c r="Q397" s="7" t="s">
        <v>34</v>
      </c>
      <c r="R397" s="7" t="s">
        <v>34</v>
      </c>
      <c r="S397" s="7" t="s">
        <v>34</v>
      </c>
      <c r="T397" s="7" t="s">
        <v>34</v>
      </c>
      <c r="U397" s="7" t="s">
        <v>32</v>
      </c>
      <c r="V397" s="7">
        <v>1</v>
      </c>
      <c r="W397" s="7" t="s">
        <v>32</v>
      </c>
      <c r="X397" s="7" t="s">
        <v>32</v>
      </c>
      <c r="Y397" s="7" t="s">
        <v>32</v>
      </c>
      <c r="Z397" s="7" t="s">
        <v>32</v>
      </c>
      <c r="AA397" s="7">
        <v>9238233</v>
      </c>
      <c r="AB397" s="7">
        <v>1</v>
      </c>
      <c r="AC397" s="7"/>
      <c r="AD397" s="7">
        <v>2</v>
      </c>
      <c r="AE397" s="7">
        <f t="shared" si="32"/>
        <v>31</v>
      </c>
      <c r="AF397" s="7">
        <v>19</v>
      </c>
      <c r="AG397" s="7">
        <v>12</v>
      </c>
      <c r="AH397" s="7" t="s">
        <v>1642</v>
      </c>
      <c r="AI397" s="7" t="s">
        <v>1642</v>
      </c>
      <c r="AJ397" s="7">
        <v>46.4</v>
      </c>
      <c r="AK397" s="7">
        <v>2.8</v>
      </c>
      <c r="AL397" s="7">
        <v>49.1</v>
      </c>
      <c r="AM397" s="7">
        <v>3</v>
      </c>
      <c r="AN397" s="7" t="s">
        <v>2902</v>
      </c>
      <c r="AO397" s="7" t="s">
        <v>1770</v>
      </c>
      <c r="AP397" s="7" t="s">
        <v>3518</v>
      </c>
      <c r="AQ397" s="7" t="s">
        <v>3226</v>
      </c>
      <c r="AR397" s="7" t="s">
        <v>1646</v>
      </c>
      <c r="AS397" s="7" t="s">
        <v>2920</v>
      </c>
      <c r="AT397" s="7" t="s">
        <v>1646</v>
      </c>
      <c r="AU397" s="7" t="s">
        <v>3439</v>
      </c>
      <c r="AV397" s="7" t="s">
        <v>2907</v>
      </c>
      <c r="AW397" s="7">
        <v>56</v>
      </c>
      <c r="AX397" s="7">
        <v>62</v>
      </c>
      <c r="AY397" s="7" t="s">
        <v>3442</v>
      </c>
      <c r="AZ397" s="7">
        <v>96.1</v>
      </c>
      <c r="BA397" s="7">
        <v>12.3</v>
      </c>
      <c r="BB397" s="7"/>
      <c r="BC397" s="7" t="s">
        <v>3449</v>
      </c>
      <c r="BD397" s="7">
        <v>114.6</v>
      </c>
      <c r="BE397" s="7">
        <v>11.2</v>
      </c>
      <c r="BF397" s="7"/>
    </row>
    <row r="398" spans="1:58" x14ac:dyDescent="0.2">
      <c r="A398" s="7">
        <v>99</v>
      </c>
      <c r="B398" s="7" t="s">
        <v>675</v>
      </c>
      <c r="C398" s="7" t="s">
        <v>676</v>
      </c>
      <c r="D398" s="7" t="s">
        <v>677</v>
      </c>
      <c r="E398" s="7" t="s">
        <v>678</v>
      </c>
      <c r="F398" s="7" t="s">
        <v>679</v>
      </c>
      <c r="G398" s="7">
        <v>1997</v>
      </c>
      <c r="H398" s="8">
        <v>35602</v>
      </c>
      <c r="I398" s="7" t="s">
        <v>32</v>
      </c>
      <c r="J398" s="7" t="s">
        <v>32</v>
      </c>
      <c r="K398" s="7" t="s">
        <v>680</v>
      </c>
      <c r="L398" s="7">
        <v>1</v>
      </c>
      <c r="M398" s="7" t="s">
        <v>32</v>
      </c>
      <c r="N398" s="7" t="s">
        <v>34</v>
      </c>
      <c r="O398" s="7" t="s">
        <v>34</v>
      </c>
      <c r="P398" s="7" t="s">
        <v>34</v>
      </c>
      <c r="Q398" s="7" t="s">
        <v>34</v>
      </c>
      <c r="R398" s="7" t="s">
        <v>34</v>
      </c>
      <c r="S398" s="7" t="s">
        <v>34</v>
      </c>
      <c r="T398" s="7" t="s">
        <v>34</v>
      </c>
      <c r="U398" s="7" t="s">
        <v>32</v>
      </c>
      <c r="V398" s="7">
        <v>1</v>
      </c>
      <c r="W398" s="7" t="s">
        <v>32</v>
      </c>
      <c r="X398" s="7" t="s">
        <v>32</v>
      </c>
      <c r="Y398" s="7" t="s">
        <v>32</v>
      </c>
      <c r="Z398" s="7" t="s">
        <v>32</v>
      </c>
      <c r="AA398" s="7">
        <v>9238233</v>
      </c>
      <c r="AB398" s="7">
        <v>1</v>
      </c>
      <c r="AC398" s="7"/>
      <c r="AD398" s="7">
        <v>2</v>
      </c>
      <c r="AE398" s="7">
        <f t="shared" ref="AE398:AE402" si="34">AF398+AG398</f>
        <v>31</v>
      </c>
      <c r="AF398" s="7">
        <v>19</v>
      </c>
      <c r="AG398" s="7">
        <v>12</v>
      </c>
      <c r="AH398" s="7" t="s">
        <v>1642</v>
      </c>
      <c r="AI398" s="7" t="s">
        <v>1642</v>
      </c>
      <c r="AJ398" s="7">
        <v>46.4</v>
      </c>
      <c r="AK398" s="7">
        <v>2.8</v>
      </c>
      <c r="AL398" s="7">
        <v>49.1</v>
      </c>
      <c r="AM398" s="7">
        <v>3</v>
      </c>
      <c r="AN398" s="7" t="s">
        <v>2902</v>
      </c>
      <c r="AO398" s="7" t="s">
        <v>1770</v>
      </c>
      <c r="AP398" s="7" t="s">
        <v>3518</v>
      </c>
      <c r="AQ398" s="7" t="s">
        <v>3226</v>
      </c>
      <c r="AR398" s="7" t="s">
        <v>1646</v>
      </c>
      <c r="AS398" s="7" t="s">
        <v>2920</v>
      </c>
      <c r="AT398" s="7" t="s">
        <v>1646</v>
      </c>
      <c r="AU398" s="7" t="s">
        <v>3440</v>
      </c>
      <c r="AV398" s="7" t="s">
        <v>2907</v>
      </c>
      <c r="AW398" s="7">
        <v>56</v>
      </c>
      <c r="AX398" s="7">
        <v>62</v>
      </c>
      <c r="AY398" s="7" t="s">
        <v>3443</v>
      </c>
      <c r="AZ398" s="7">
        <v>96.6</v>
      </c>
      <c r="BA398" s="7">
        <v>9.9</v>
      </c>
      <c r="BB398" s="7"/>
      <c r="BC398" s="7" t="s">
        <v>3450</v>
      </c>
      <c r="BD398" s="7">
        <v>111.1</v>
      </c>
      <c r="BE398" s="7">
        <v>10.3</v>
      </c>
      <c r="BF398" s="7"/>
    </row>
    <row r="399" spans="1:58" x14ac:dyDescent="0.2">
      <c r="A399" s="7">
        <v>99</v>
      </c>
      <c r="B399" s="7" t="s">
        <v>675</v>
      </c>
      <c r="C399" s="7" t="s">
        <v>676</v>
      </c>
      <c r="D399" s="7" t="s">
        <v>677</v>
      </c>
      <c r="E399" s="7" t="s">
        <v>678</v>
      </c>
      <c r="F399" s="7" t="s">
        <v>679</v>
      </c>
      <c r="G399" s="7">
        <v>1997</v>
      </c>
      <c r="H399" s="8">
        <v>35602</v>
      </c>
      <c r="I399" s="7" t="s">
        <v>32</v>
      </c>
      <c r="J399" s="7" t="s">
        <v>32</v>
      </c>
      <c r="K399" s="7" t="s">
        <v>680</v>
      </c>
      <c r="L399" s="7">
        <v>1</v>
      </c>
      <c r="M399" s="7" t="s">
        <v>32</v>
      </c>
      <c r="N399" s="7" t="s">
        <v>34</v>
      </c>
      <c r="O399" s="7" t="s">
        <v>34</v>
      </c>
      <c r="P399" s="7" t="s">
        <v>34</v>
      </c>
      <c r="Q399" s="7" t="s">
        <v>34</v>
      </c>
      <c r="R399" s="7" t="s">
        <v>34</v>
      </c>
      <c r="S399" s="7" t="s">
        <v>34</v>
      </c>
      <c r="T399" s="7" t="s">
        <v>34</v>
      </c>
      <c r="U399" s="7" t="s">
        <v>32</v>
      </c>
      <c r="V399" s="7">
        <v>1</v>
      </c>
      <c r="W399" s="7" t="s">
        <v>32</v>
      </c>
      <c r="X399" s="7" t="s">
        <v>32</v>
      </c>
      <c r="Y399" s="7" t="s">
        <v>32</v>
      </c>
      <c r="Z399" s="7" t="s">
        <v>32</v>
      </c>
      <c r="AA399" s="7">
        <v>9238233</v>
      </c>
      <c r="AB399" s="7">
        <v>1</v>
      </c>
      <c r="AC399" s="7"/>
      <c r="AD399" s="7">
        <v>2</v>
      </c>
      <c r="AE399" s="7">
        <f t="shared" si="34"/>
        <v>31</v>
      </c>
      <c r="AF399" s="7">
        <v>19</v>
      </c>
      <c r="AG399" s="7">
        <v>12</v>
      </c>
      <c r="AH399" s="7" t="s">
        <v>1642</v>
      </c>
      <c r="AI399" s="7" t="s">
        <v>1642</v>
      </c>
      <c r="AJ399" s="7">
        <v>46.4</v>
      </c>
      <c r="AK399" s="7">
        <v>2.8</v>
      </c>
      <c r="AL399" s="7">
        <v>49.1</v>
      </c>
      <c r="AM399" s="7">
        <v>3</v>
      </c>
      <c r="AN399" s="7" t="s">
        <v>2902</v>
      </c>
      <c r="AO399" s="7" t="s">
        <v>1770</v>
      </c>
      <c r="AP399" s="7" t="s">
        <v>3518</v>
      </c>
      <c r="AQ399" s="7" t="s">
        <v>3226</v>
      </c>
      <c r="AR399" s="7" t="s">
        <v>1646</v>
      </c>
      <c r="AS399" s="7" t="s">
        <v>2920</v>
      </c>
      <c r="AT399" s="7" t="s">
        <v>1646</v>
      </c>
      <c r="AU399" s="7" t="s">
        <v>3441</v>
      </c>
      <c r="AV399" s="7" t="s">
        <v>2907</v>
      </c>
      <c r="AW399" s="7">
        <v>56</v>
      </c>
      <c r="AX399" s="7">
        <v>62</v>
      </c>
      <c r="AY399" s="7" t="s">
        <v>3444</v>
      </c>
      <c r="AZ399" s="7">
        <v>98.5</v>
      </c>
      <c r="BA399" s="7">
        <v>16.7</v>
      </c>
      <c r="BB399" s="7"/>
      <c r="BC399" s="7" t="s">
        <v>3451</v>
      </c>
      <c r="BD399" s="7">
        <v>114.5</v>
      </c>
      <c r="BE399" s="7">
        <v>8.9</v>
      </c>
      <c r="BF399" s="7"/>
    </row>
    <row r="400" spans="1:58" x14ac:dyDescent="0.2">
      <c r="A400" s="7">
        <v>99</v>
      </c>
      <c r="B400" s="7" t="s">
        <v>675</v>
      </c>
      <c r="C400" s="7" t="s">
        <v>676</v>
      </c>
      <c r="D400" s="7" t="s">
        <v>677</v>
      </c>
      <c r="E400" s="7" t="s">
        <v>678</v>
      </c>
      <c r="F400" s="7" t="s">
        <v>679</v>
      </c>
      <c r="G400" s="7">
        <v>1997</v>
      </c>
      <c r="H400" s="8">
        <v>35602</v>
      </c>
      <c r="I400" s="7" t="s">
        <v>32</v>
      </c>
      <c r="J400" s="7" t="s">
        <v>32</v>
      </c>
      <c r="K400" s="7" t="s">
        <v>680</v>
      </c>
      <c r="L400" s="7">
        <v>1</v>
      </c>
      <c r="M400" s="7" t="s">
        <v>32</v>
      </c>
      <c r="N400" s="7" t="s">
        <v>34</v>
      </c>
      <c r="O400" s="7" t="s">
        <v>34</v>
      </c>
      <c r="P400" s="7" t="s">
        <v>34</v>
      </c>
      <c r="Q400" s="7" t="s">
        <v>34</v>
      </c>
      <c r="R400" s="7" t="s">
        <v>34</v>
      </c>
      <c r="S400" s="7" t="s">
        <v>34</v>
      </c>
      <c r="T400" s="7" t="s">
        <v>34</v>
      </c>
      <c r="U400" s="7" t="s">
        <v>32</v>
      </c>
      <c r="V400" s="7">
        <v>1</v>
      </c>
      <c r="W400" s="7" t="s">
        <v>32</v>
      </c>
      <c r="X400" s="7" t="s">
        <v>32</v>
      </c>
      <c r="Y400" s="7" t="s">
        <v>32</v>
      </c>
      <c r="Z400" s="7" t="s">
        <v>32</v>
      </c>
      <c r="AA400" s="7">
        <v>9238233</v>
      </c>
      <c r="AB400" s="7">
        <v>1</v>
      </c>
      <c r="AC400" s="7"/>
      <c r="AD400" s="7">
        <v>2</v>
      </c>
      <c r="AE400" s="7">
        <f t="shared" si="34"/>
        <v>31</v>
      </c>
      <c r="AF400" s="7">
        <v>19</v>
      </c>
      <c r="AG400" s="7">
        <v>12</v>
      </c>
      <c r="AH400" s="7" t="s">
        <v>1642</v>
      </c>
      <c r="AI400" s="7" t="s">
        <v>1642</v>
      </c>
      <c r="AJ400" s="7">
        <v>46.4</v>
      </c>
      <c r="AK400" s="7">
        <v>2.8</v>
      </c>
      <c r="AL400" s="7">
        <v>49.1</v>
      </c>
      <c r="AM400" s="7">
        <v>3</v>
      </c>
      <c r="AN400" s="7" t="s">
        <v>2902</v>
      </c>
      <c r="AO400" s="7" t="s">
        <v>1770</v>
      </c>
      <c r="AP400" s="7" t="s">
        <v>3518</v>
      </c>
      <c r="AQ400" s="7" t="s">
        <v>3226</v>
      </c>
      <c r="AR400" s="7" t="s">
        <v>1646</v>
      </c>
      <c r="AS400" s="7" t="s">
        <v>2920</v>
      </c>
      <c r="AT400" s="7" t="s">
        <v>1646</v>
      </c>
      <c r="AU400" s="7" t="s">
        <v>3519</v>
      </c>
      <c r="AV400" s="7" t="s">
        <v>2907</v>
      </c>
      <c r="AW400" s="7">
        <v>56</v>
      </c>
      <c r="AX400" s="7">
        <v>62</v>
      </c>
      <c r="AY400" s="7" t="s">
        <v>3520</v>
      </c>
      <c r="AZ400" s="7">
        <v>95.6</v>
      </c>
      <c r="BA400" s="7">
        <v>14.4</v>
      </c>
      <c r="BB400" s="7"/>
      <c r="BC400" s="7" t="s">
        <v>3521</v>
      </c>
      <c r="BD400" s="7">
        <v>112.6</v>
      </c>
      <c r="BE400" s="7">
        <v>8.6999999999999993</v>
      </c>
      <c r="BF400" s="7"/>
    </row>
    <row r="401" spans="1:59" x14ac:dyDescent="0.2">
      <c r="A401" s="7">
        <v>99</v>
      </c>
      <c r="B401" s="7" t="s">
        <v>675</v>
      </c>
      <c r="C401" s="7" t="s">
        <v>676</v>
      </c>
      <c r="D401" s="7" t="s">
        <v>677</v>
      </c>
      <c r="E401" s="7" t="s">
        <v>678</v>
      </c>
      <c r="F401" s="7" t="s">
        <v>679</v>
      </c>
      <c r="G401" s="7">
        <v>1997</v>
      </c>
      <c r="H401" s="8">
        <v>35602</v>
      </c>
      <c r="I401" s="7" t="s">
        <v>32</v>
      </c>
      <c r="J401" s="7" t="s">
        <v>32</v>
      </c>
      <c r="K401" s="7" t="s">
        <v>680</v>
      </c>
      <c r="L401" s="7">
        <v>1</v>
      </c>
      <c r="M401" s="7" t="s">
        <v>32</v>
      </c>
      <c r="N401" s="7" t="s">
        <v>34</v>
      </c>
      <c r="O401" s="7" t="s">
        <v>34</v>
      </c>
      <c r="P401" s="7" t="s">
        <v>34</v>
      </c>
      <c r="Q401" s="7" t="s">
        <v>34</v>
      </c>
      <c r="R401" s="7" t="s">
        <v>34</v>
      </c>
      <c r="S401" s="7" t="s">
        <v>34</v>
      </c>
      <c r="T401" s="7" t="s">
        <v>34</v>
      </c>
      <c r="U401" s="7" t="s">
        <v>32</v>
      </c>
      <c r="V401" s="7">
        <v>1</v>
      </c>
      <c r="W401" s="7" t="s">
        <v>32</v>
      </c>
      <c r="X401" s="7" t="s">
        <v>32</v>
      </c>
      <c r="Y401" s="7" t="s">
        <v>32</v>
      </c>
      <c r="Z401" s="7" t="s">
        <v>32</v>
      </c>
      <c r="AA401" s="7">
        <v>9238233</v>
      </c>
      <c r="AB401" s="7">
        <v>1</v>
      </c>
      <c r="AC401" s="7"/>
      <c r="AD401" s="7">
        <v>2</v>
      </c>
      <c r="AE401" s="7">
        <f t="shared" si="34"/>
        <v>31</v>
      </c>
      <c r="AF401" s="7">
        <v>19</v>
      </c>
      <c r="AG401" s="7">
        <v>12</v>
      </c>
      <c r="AH401" s="7" t="s">
        <v>1642</v>
      </c>
      <c r="AI401" s="7" t="s">
        <v>1642</v>
      </c>
      <c r="AJ401" s="7">
        <v>46.4</v>
      </c>
      <c r="AK401" s="7">
        <v>2.8</v>
      </c>
      <c r="AL401" s="7">
        <v>49.1</v>
      </c>
      <c r="AM401" s="7">
        <v>3</v>
      </c>
      <c r="AN401" s="7" t="s">
        <v>2902</v>
      </c>
      <c r="AO401" s="7" t="s">
        <v>1770</v>
      </c>
      <c r="AP401" s="7" t="s">
        <v>3518</v>
      </c>
      <c r="AQ401" s="7" t="s">
        <v>3226</v>
      </c>
      <c r="AR401" s="7" t="s">
        <v>1646</v>
      </c>
      <c r="AS401" s="7" t="s">
        <v>3189</v>
      </c>
      <c r="AT401" s="7" t="s">
        <v>1646</v>
      </c>
      <c r="AU401" s="7" t="s">
        <v>3194</v>
      </c>
      <c r="AV401" s="7" t="s">
        <v>2907</v>
      </c>
      <c r="AW401" s="7">
        <v>56</v>
      </c>
      <c r="AX401" s="7">
        <v>62</v>
      </c>
      <c r="AY401" s="7" t="s">
        <v>3191</v>
      </c>
      <c r="AZ401" s="7">
        <v>20.5</v>
      </c>
      <c r="BA401" s="7">
        <v>7.8</v>
      </c>
      <c r="BB401" s="7"/>
      <c r="BC401" s="7" t="s">
        <v>3522</v>
      </c>
      <c r="BD401" s="7">
        <v>18.399999999999999</v>
      </c>
      <c r="BE401" s="7">
        <v>0.8</v>
      </c>
      <c r="BF401" s="7"/>
    </row>
    <row r="402" spans="1:59" x14ac:dyDescent="0.2">
      <c r="A402" s="7">
        <v>99</v>
      </c>
      <c r="B402" s="7" t="s">
        <v>675</v>
      </c>
      <c r="C402" s="7" t="s">
        <v>676</v>
      </c>
      <c r="D402" s="7" t="s">
        <v>677</v>
      </c>
      <c r="E402" s="7" t="s">
        <v>678</v>
      </c>
      <c r="F402" s="7" t="s">
        <v>679</v>
      </c>
      <c r="G402" s="7">
        <v>1997</v>
      </c>
      <c r="H402" s="8">
        <v>35602</v>
      </c>
      <c r="I402" s="7" t="s">
        <v>32</v>
      </c>
      <c r="J402" s="7" t="s">
        <v>32</v>
      </c>
      <c r="K402" s="7" t="s">
        <v>680</v>
      </c>
      <c r="L402" s="7">
        <v>1</v>
      </c>
      <c r="M402" s="7" t="s">
        <v>32</v>
      </c>
      <c r="N402" s="7" t="s">
        <v>34</v>
      </c>
      <c r="O402" s="7" t="s">
        <v>34</v>
      </c>
      <c r="P402" s="7" t="s">
        <v>34</v>
      </c>
      <c r="Q402" s="7" t="s">
        <v>34</v>
      </c>
      <c r="R402" s="7" t="s">
        <v>34</v>
      </c>
      <c r="S402" s="7" t="s">
        <v>34</v>
      </c>
      <c r="T402" s="7" t="s">
        <v>34</v>
      </c>
      <c r="U402" s="7" t="s">
        <v>32</v>
      </c>
      <c r="V402" s="7">
        <v>1</v>
      </c>
      <c r="W402" s="7" t="s">
        <v>32</v>
      </c>
      <c r="X402" s="7" t="s">
        <v>32</v>
      </c>
      <c r="Y402" s="7" t="s">
        <v>32</v>
      </c>
      <c r="Z402" s="7" t="s">
        <v>32</v>
      </c>
      <c r="AA402" s="7">
        <v>9238233</v>
      </c>
      <c r="AB402" s="7">
        <v>1</v>
      </c>
      <c r="AC402" s="7"/>
      <c r="AD402" s="7">
        <v>2</v>
      </c>
      <c r="AE402" s="7">
        <f t="shared" si="34"/>
        <v>31</v>
      </c>
      <c r="AF402" s="7">
        <v>19</v>
      </c>
      <c r="AG402" s="7">
        <v>12</v>
      </c>
      <c r="AH402" s="7" t="s">
        <v>1642</v>
      </c>
      <c r="AI402" s="7" t="s">
        <v>1642</v>
      </c>
      <c r="AJ402" s="7">
        <v>46.4</v>
      </c>
      <c r="AK402" s="7">
        <v>2.8</v>
      </c>
      <c r="AL402" s="7">
        <v>49.1</v>
      </c>
      <c r="AM402" s="7">
        <v>3</v>
      </c>
      <c r="AN402" s="7" t="s">
        <v>2902</v>
      </c>
      <c r="AO402" s="7" t="s">
        <v>1770</v>
      </c>
      <c r="AP402" s="7" t="s">
        <v>3518</v>
      </c>
      <c r="AQ402" s="7" t="s">
        <v>3226</v>
      </c>
      <c r="AR402" s="7" t="s">
        <v>1646</v>
      </c>
      <c r="AS402" s="7" t="s">
        <v>3189</v>
      </c>
      <c r="AT402" s="7" t="s">
        <v>1646</v>
      </c>
      <c r="AU402" s="7" t="s">
        <v>2969</v>
      </c>
      <c r="AV402" s="7" t="s">
        <v>2907</v>
      </c>
      <c r="AW402" s="7">
        <v>56</v>
      </c>
      <c r="AX402" s="7">
        <v>62</v>
      </c>
      <c r="AY402" s="7" t="s">
        <v>3192</v>
      </c>
      <c r="AZ402" s="7">
        <v>19.7</v>
      </c>
      <c r="BA402" s="7">
        <v>7.3</v>
      </c>
      <c r="BB402" s="7"/>
      <c r="BC402" s="7" t="s">
        <v>3523</v>
      </c>
      <c r="BD402" s="7">
        <v>17.3</v>
      </c>
      <c r="BE402" s="7">
        <v>0.9</v>
      </c>
      <c r="BF402" s="7"/>
    </row>
    <row r="403" spans="1:59" s="65" customFormat="1" x14ac:dyDescent="0.2">
      <c r="A403" s="20">
        <v>100</v>
      </c>
      <c r="B403" s="20" t="s">
        <v>681</v>
      </c>
      <c r="C403" s="20" t="s">
        <v>682</v>
      </c>
      <c r="D403" s="20" t="s">
        <v>683</v>
      </c>
      <c r="E403" s="20" t="s">
        <v>684</v>
      </c>
      <c r="F403" s="20" t="s">
        <v>685</v>
      </c>
      <c r="G403" s="20">
        <v>1995</v>
      </c>
      <c r="H403" s="64">
        <v>34912</v>
      </c>
      <c r="I403" s="20" t="s">
        <v>32</v>
      </c>
      <c r="J403" s="20" t="s">
        <v>32</v>
      </c>
      <c r="K403" s="20" t="s">
        <v>686</v>
      </c>
      <c r="L403" s="20">
        <v>1</v>
      </c>
      <c r="M403" s="20" t="s">
        <v>32</v>
      </c>
      <c r="N403" s="20" t="s">
        <v>190</v>
      </c>
      <c r="O403" s="20" t="s">
        <v>190</v>
      </c>
      <c r="P403" s="20" t="s">
        <v>34</v>
      </c>
      <c r="Q403" s="20" t="s">
        <v>34</v>
      </c>
      <c r="R403" s="20" t="s">
        <v>687</v>
      </c>
      <c r="S403" s="20" t="s">
        <v>190</v>
      </c>
      <c r="T403" s="20" t="s">
        <v>34</v>
      </c>
      <c r="U403" s="20" t="s">
        <v>178</v>
      </c>
      <c r="V403" s="20" t="s">
        <v>190</v>
      </c>
      <c r="W403" s="20" t="s">
        <v>32</v>
      </c>
      <c r="X403" s="20">
        <v>0</v>
      </c>
      <c r="Y403" s="20" t="s">
        <v>688</v>
      </c>
      <c r="Z403" s="20" t="s">
        <v>689</v>
      </c>
      <c r="AA403" s="20">
        <v>8539301</v>
      </c>
      <c r="AB403" s="20">
        <v>0</v>
      </c>
      <c r="AC403" s="20" t="s">
        <v>3524</v>
      </c>
      <c r="AD403" s="20"/>
      <c r="AE403" s="20">
        <f t="shared" si="32"/>
        <v>0</v>
      </c>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row>
    <row r="404" spans="1:59" x14ac:dyDescent="0.2">
      <c r="A404" s="7">
        <v>101</v>
      </c>
      <c r="B404" s="7" t="s">
        <v>690</v>
      </c>
      <c r="C404" s="7" t="s">
        <v>691</v>
      </c>
      <c r="D404" s="7" t="s">
        <v>692</v>
      </c>
      <c r="E404" s="7" t="s">
        <v>617</v>
      </c>
      <c r="F404" s="7" t="s">
        <v>217</v>
      </c>
      <c r="G404" s="7">
        <v>1995</v>
      </c>
      <c r="H404" s="8">
        <v>34881</v>
      </c>
      <c r="I404" s="7" t="s">
        <v>693</v>
      </c>
      <c r="J404" s="7" t="s">
        <v>694</v>
      </c>
      <c r="K404" s="7" t="s">
        <v>695</v>
      </c>
      <c r="L404" s="7">
        <v>1</v>
      </c>
      <c r="M404" s="7" t="s">
        <v>696</v>
      </c>
      <c r="N404" s="7" t="s">
        <v>34</v>
      </c>
      <c r="O404" s="7" t="s">
        <v>34</v>
      </c>
      <c r="P404" s="7" t="s">
        <v>34</v>
      </c>
      <c r="Q404" s="7" t="s">
        <v>697</v>
      </c>
      <c r="R404" s="7" t="s">
        <v>34</v>
      </c>
      <c r="S404" s="7" t="s">
        <v>34</v>
      </c>
      <c r="T404" s="7" t="s">
        <v>34</v>
      </c>
      <c r="U404" s="7" t="s">
        <v>34</v>
      </c>
      <c r="V404" s="7">
        <v>1</v>
      </c>
      <c r="W404" s="7" t="s">
        <v>32</v>
      </c>
      <c r="X404" s="7">
        <v>1</v>
      </c>
      <c r="Y404" s="7" t="s">
        <v>698</v>
      </c>
      <c r="Z404" s="7" t="s">
        <v>699</v>
      </c>
      <c r="AA404" s="7">
        <v>7793467</v>
      </c>
      <c r="AB404" s="7">
        <v>1</v>
      </c>
      <c r="AC404" s="7"/>
      <c r="AD404" s="7">
        <v>2</v>
      </c>
      <c r="AE404" s="7">
        <f t="shared" ref="AE404:AE409" si="35">AF404+AG404</f>
        <v>48</v>
      </c>
      <c r="AF404" s="7">
        <v>26</v>
      </c>
      <c r="AG404" s="7">
        <v>22</v>
      </c>
      <c r="AH404" s="7" t="s">
        <v>1642</v>
      </c>
      <c r="AI404" s="7" t="s">
        <v>1642</v>
      </c>
      <c r="AJ404" s="7">
        <v>46</v>
      </c>
      <c r="AK404" s="7">
        <v>1.8</v>
      </c>
      <c r="AL404" s="7">
        <v>44.5</v>
      </c>
      <c r="AM404" s="7">
        <v>7.3</v>
      </c>
      <c r="AN404" s="7" t="s">
        <v>2902</v>
      </c>
      <c r="AO404" s="7" t="s">
        <v>1638</v>
      </c>
      <c r="AP404" s="7" t="s">
        <v>3525</v>
      </c>
      <c r="AQ404" s="7" t="s">
        <v>3259</v>
      </c>
      <c r="AR404" s="7" t="s">
        <v>1646</v>
      </c>
      <c r="AS404" s="7" t="s">
        <v>2920</v>
      </c>
      <c r="AT404" s="7" t="s">
        <v>1646</v>
      </c>
      <c r="AU404" s="7" t="s">
        <v>3407</v>
      </c>
      <c r="AV404" s="7" t="s">
        <v>2848</v>
      </c>
      <c r="AW404" s="7">
        <v>57</v>
      </c>
      <c r="AX404" s="7">
        <v>63</v>
      </c>
      <c r="AY404" s="7" t="s">
        <v>3413</v>
      </c>
      <c r="AZ404" s="77">
        <v>11.1</v>
      </c>
      <c r="BA404" s="77">
        <v>3.4</v>
      </c>
      <c r="BB404" s="77"/>
      <c r="BC404" s="7" t="s">
        <v>3431</v>
      </c>
      <c r="BD404" s="77">
        <v>19.8</v>
      </c>
      <c r="BE404" s="77">
        <v>6.6</v>
      </c>
      <c r="BF404" s="7"/>
    </row>
    <row r="405" spans="1:59" x14ac:dyDescent="0.2">
      <c r="A405" s="7">
        <v>101</v>
      </c>
      <c r="B405" s="7" t="s">
        <v>690</v>
      </c>
      <c r="C405" s="7" t="s">
        <v>691</v>
      </c>
      <c r="D405" s="7" t="s">
        <v>692</v>
      </c>
      <c r="E405" s="7" t="s">
        <v>617</v>
      </c>
      <c r="F405" s="7" t="s">
        <v>217</v>
      </c>
      <c r="G405" s="7">
        <v>1995</v>
      </c>
      <c r="H405" s="8">
        <v>34881</v>
      </c>
      <c r="I405" s="7" t="s">
        <v>693</v>
      </c>
      <c r="J405" s="7" t="s">
        <v>694</v>
      </c>
      <c r="K405" s="7" t="s">
        <v>695</v>
      </c>
      <c r="L405" s="7">
        <v>1</v>
      </c>
      <c r="M405" s="7" t="s">
        <v>696</v>
      </c>
      <c r="N405" s="7" t="s">
        <v>34</v>
      </c>
      <c r="O405" s="7" t="s">
        <v>34</v>
      </c>
      <c r="P405" s="7" t="s">
        <v>34</v>
      </c>
      <c r="Q405" s="7" t="s">
        <v>697</v>
      </c>
      <c r="R405" s="7" t="s">
        <v>34</v>
      </c>
      <c r="S405" s="7" t="s">
        <v>34</v>
      </c>
      <c r="T405" s="7" t="s">
        <v>34</v>
      </c>
      <c r="U405" s="7" t="s">
        <v>34</v>
      </c>
      <c r="V405" s="7">
        <v>1</v>
      </c>
      <c r="W405" s="7" t="s">
        <v>32</v>
      </c>
      <c r="X405" s="7">
        <v>1</v>
      </c>
      <c r="Y405" s="7" t="s">
        <v>698</v>
      </c>
      <c r="Z405" s="7" t="s">
        <v>699</v>
      </c>
      <c r="AA405" s="7">
        <v>7793467</v>
      </c>
      <c r="AB405" s="7">
        <v>1</v>
      </c>
      <c r="AC405" s="7"/>
      <c r="AD405" s="7">
        <v>2</v>
      </c>
      <c r="AE405" s="7">
        <f t="shared" si="35"/>
        <v>48</v>
      </c>
      <c r="AF405" s="7">
        <v>26</v>
      </c>
      <c r="AG405" s="7">
        <v>22</v>
      </c>
      <c r="AH405" s="7" t="s">
        <v>1642</v>
      </c>
      <c r="AI405" s="7" t="s">
        <v>1642</v>
      </c>
      <c r="AJ405" s="7">
        <v>46</v>
      </c>
      <c r="AK405" s="7">
        <v>1.8</v>
      </c>
      <c r="AL405" s="7">
        <v>44.5</v>
      </c>
      <c r="AM405" s="7">
        <v>7.3</v>
      </c>
      <c r="AN405" s="7" t="s">
        <v>2902</v>
      </c>
      <c r="AO405" s="7" t="s">
        <v>1638</v>
      </c>
      <c r="AP405" s="7" t="s">
        <v>3525</v>
      </c>
      <c r="AQ405" s="7" t="s">
        <v>3259</v>
      </c>
      <c r="AR405" s="7" t="s">
        <v>1646</v>
      </c>
      <c r="AS405" s="7" t="s">
        <v>2920</v>
      </c>
      <c r="AT405" s="7" t="s">
        <v>1646</v>
      </c>
      <c r="AU405" s="7" t="s">
        <v>3408</v>
      </c>
      <c r="AV405" s="7" t="s">
        <v>2848</v>
      </c>
      <c r="AW405" s="7">
        <v>57</v>
      </c>
      <c r="AX405" s="7">
        <v>63</v>
      </c>
      <c r="AY405" s="7" t="s">
        <v>3414</v>
      </c>
      <c r="AZ405" s="77">
        <v>7.2</v>
      </c>
      <c r="BA405" s="77">
        <v>2.8</v>
      </c>
      <c r="BB405" s="77"/>
      <c r="BC405" s="7" t="s">
        <v>3432</v>
      </c>
      <c r="BD405" s="77">
        <v>17</v>
      </c>
      <c r="BE405" s="77">
        <v>6.5</v>
      </c>
      <c r="BF405" s="7"/>
    </row>
    <row r="406" spans="1:59" x14ac:dyDescent="0.2">
      <c r="A406" s="7">
        <v>101</v>
      </c>
      <c r="B406" s="7" t="s">
        <v>690</v>
      </c>
      <c r="C406" s="7" t="s">
        <v>691</v>
      </c>
      <c r="D406" s="7" t="s">
        <v>692</v>
      </c>
      <c r="E406" s="7" t="s">
        <v>617</v>
      </c>
      <c r="F406" s="7" t="s">
        <v>217</v>
      </c>
      <c r="G406" s="7">
        <v>1995</v>
      </c>
      <c r="H406" s="8">
        <v>34881</v>
      </c>
      <c r="I406" s="7" t="s">
        <v>693</v>
      </c>
      <c r="J406" s="7" t="s">
        <v>694</v>
      </c>
      <c r="K406" s="7" t="s">
        <v>695</v>
      </c>
      <c r="L406" s="7">
        <v>1</v>
      </c>
      <c r="M406" s="7" t="s">
        <v>696</v>
      </c>
      <c r="N406" s="7" t="s">
        <v>34</v>
      </c>
      <c r="O406" s="7" t="s">
        <v>34</v>
      </c>
      <c r="P406" s="7" t="s">
        <v>34</v>
      </c>
      <c r="Q406" s="7" t="s">
        <v>697</v>
      </c>
      <c r="R406" s="7" t="s">
        <v>34</v>
      </c>
      <c r="S406" s="7" t="s">
        <v>34</v>
      </c>
      <c r="T406" s="7" t="s">
        <v>34</v>
      </c>
      <c r="U406" s="7" t="s">
        <v>34</v>
      </c>
      <c r="V406" s="7">
        <v>1</v>
      </c>
      <c r="W406" s="7" t="s">
        <v>32</v>
      </c>
      <c r="X406" s="7">
        <v>1</v>
      </c>
      <c r="Y406" s="7" t="s">
        <v>698</v>
      </c>
      <c r="Z406" s="7" t="s">
        <v>699</v>
      </c>
      <c r="AA406" s="7">
        <v>7793467</v>
      </c>
      <c r="AB406" s="7">
        <v>1</v>
      </c>
      <c r="AC406" s="7"/>
      <c r="AD406" s="7">
        <v>2</v>
      </c>
      <c r="AE406" s="7">
        <f t="shared" si="35"/>
        <v>48</v>
      </c>
      <c r="AF406" s="7">
        <v>26</v>
      </c>
      <c r="AG406" s="7">
        <v>22</v>
      </c>
      <c r="AH406" s="7" t="s">
        <v>1642</v>
      </c>
      <c r="AI406" s="7" t="s">
        <v>1642</v>
      </c>
      <c r="AJ406" s="7">
        <v>46</v>
      </c>
      <c r="AK406" s="7">
        <v>1.8</v>
      </c>
      <c r="AL406" s="7">
        <v>44.5</v>
      </c>
      <c r="AM406" s="7">
        <v>7.3</v>
      </c>
      <c r="AN406" s="7" t="s">
        <v>2902</v>
      </c>
      <c r="AO406" s="7" t="s">
        <v>1638</v>
      </c>
      <c r="AP406" s="7" t="s">
        <v>3525</v>
      </c>
      <c r="AQ406" s="7" t="s">
        <v>3259</v>
      </c>
      <c r="AR406" s="7" t="s">
        <v>1646</v>
      </c>
      <c r="AS406" s="7" t="s">
        <v>2920</v>
      </c>
      <c r="AT406" s="7" t="s">
        <v>1646</v>
      </c>
      <c r="AU406" s="7" t="s">
        <v>3409</v>
      </c>
      <c r="AV406" s="7" t="s">
        <v>2848</v>
      </c>
      <c r="AW406" s="7">
        <v>57</v>
      </c>
      <c r="AX406" s="7">
        <v>63</v>
      </c>
      <c r="AY406" s="7" t="s">
        <v>3415</v>
      </c>
      <c r="AZ406" s="77">
        <v>65</v>
      </c>
      <c r="BA406" s="77">
        <v>20</v>
      </c>
      <c r="BB406" s="77"/>
      <c r="BC406" s="7" t="s">
        <v>3433</v>
      </c>
      <c r="BD406" s="77">
        <v>85.2</v>
      </c>
      <c r="BE406" s="77">
        <v>13.2</v>
      </c>
      <c r="BF406" s="7"/>
    </row>
    <row r="407" spans="1:59" x14ac:dyDescent="0.2">
      <c r="A407" s="7">
        <v>101</v>
      </c>
      <c r="B407" s="7" t="s">
        <v>690</v>
      </c>
      <c r="C407" s="7" t="s">
        <v>691</v>
      </c>
      <c r="D407" s="7" t="s">
        <v>692</v>
      </c>
      <c r="E407" s="7" t="s">
        <v>617</v>
      </c>
      <c r="F407" s="7" t="s">
        <v>217</v>
      </c>
      <c r="G407" s="7">
        <v>1995</v>
      </c>
      <c r="H407" s="8">
        <v>34881</v>
      </c>
      <c r="I407" s="7" t="s">
        <v>693</v>
      </c>
      <c r="J407" s="7" t="s">
        <v>694</v>
      </c>
      <c r="K407" s="7" t="s">
        <v>695</v>
      </c>
      <c r="L407" s="7">
        <v>1</v>
      </c>
      <c r="M407" s="7" t="s">
        <v>696</v>
      </c>
      <c r="N407" s="7" t="s">
        <v>34</v>
      </c>
      <c r="O407" s="7" t="s">
        <v>34</v>
      </c>
      <c r="P407" s="7" t="s">
        <v>34</v>
      </c>
      <c r="Q407" s="7" t="s">
        <v>697</v>
      </c>
      <c r="R407" s="7" t="s">
        <v>34</v>
      </c>
      <c r="S407" s="7" t="s">
        <v>34</v>
      </c>
      <c r="T407" s="7" t="s">
        <v>34</v>
      </c>
      <c r="U407" s="7" t="s">
        <v>34</v>
      </c>
      <c r="V407" s="7">
        <v>1</v>
      </c>
      <c r="W407" s="7" t="s">
        <v>32</v>
      </c>
      <c r="X407" s="7">
        <v>1</v>
      </c>
      <c r="Y407" s="7" t="s">
        <v>698</v>
      </c>
      <c r="Z407" s="7" t="s">
        <v>699</v>
      </c>
      <c r="AA407" s="7">
        <v>7793467</v>
      </c>
      <c r="AB407" s="7">
        <v>1</v>
      </c>
      <c r="AC407" s="7"/>
      <c r="AD407" s="7">
        <v>2</v>
      </c>
      <c r="AE407" s="7">
        <f t="shared" si="35"/>
        <v>48</v>
      </c>
      <c r="AF407" s="7">
        <v>26</v>
      </c>
      <c r="AG407" s="7">
        <v>22</v>
      </c>
      <c r="AH407" s="7" t="s">
        <v>1642</v>
      </c>
      <c r="AI407" s="7" t="s">
        <v>1642</v>
      </c>
      <c r="AJ407" s="7">
        <v>46</v>
      </c>
      <c r="AK407" s="7">
        <v>1.8</v>
      </c>
      <c r="AL407" s="7">
        <v>44.5</v>
      </c>
      <c r="AM407" s="7">
        <v>7.3</v>
      </c>
      <c r="AN407" s="7" t="s">
        <v>2902</v>
      </c>
      <c r="AO407" s="7" t="s">
        <v>1638</v>
      </c>
      <c r="AP407" s="7" t="s">
        <v>3525</v>
      </c>
      <c r="AQ407" s="7" t="s">
        <v>3259</v>
      </c>
      <c r="AR407" s="7" t="s">
        <v>1646</v>
      </c>
      <c r="AS407" s="7" t="s">
        <v>2920</v>
      </c>
      <c r="AT407" s="7" t="s">
        <v>1646</v>
      </c>
      <c r="AU407" s="7" t="s">
        <v>3410</v>
      </c>
      <c r="AV407" s="7" t="s">
        <v>2848</v>
      </c>
      <c r="AW407" s="7">
        <v>57</v>
      </c>
      <c r="AX407" s="7">
        <v>63</v>
      </c>
      <c r="AY407" s="7" t="s">
        <v>3416</v>
      </c>
      <c r="AZ407" s="77">
        <v>9</v>
      </c>
      <c r="BA407" s="77">
        <v>2.8</v>
      </c>
      <c r="BB407" s="77"/>
      <c r="BC407" s="7" t="s">
        <v>3434</v>
      </c>
      <c r="BD407" s="77">
        <v>11.1</v>
      </c>
      <c r="BE407" s="77">
        <v>2.8</v>
      </c>
      <c r="BF407" s="7"/>
    </row>
    <row r="408" spans="1:59" x14ac:dyDescent="0.2">
      <c r="A408" s="7">
        <v>101</v>
      </c>
      <c r="B408" s="7" t="s">
        <v>690</v>
      </c>
      <c r="C408" s="7" t="s">
        <v>691</v>
      </c>
      <c r="D408" s="7" t="s">
        <v>692</v>
      </c>
      <c r="E408" s="7" t="s">
        <v>617</v>
      </c>
      <c r="F408" s="7" t="s">
        <v>217</v>
      </c>
      <c r="G408" s="7">
        <v>1995</v>
      </c>
      <c r="H408" s="8">
        <v>34881</v>
      </c>
      <c r="I408" s="7" t="s">
        <v>693</v>
      </c>
      <c r="J408" s="7" t="s">
        <v>694</v>
      </c>
      <c r="K408" s="7" t="s">
        <v>695</v>
      </c>
      <c r="L408" s="7">
        <v>1</v>
      </c>
      <c r="M408" s="7" t="s">
        <v>696</v>
      </c>
      <c r="N408" s="7" t="s">
        <v>34</v>
      </c>
      <c r="O408" s="7" t="s">
        <v>34</v>
      </c>
      <c r="P408" s="7" t="s">
        <v>34</v>
      </c>
      <c r="Q408" s="7" t="s">
        <v>697</v>
      </c>
      <c r="R408" s="7" t="s">
        <v>34</v>
      </c>
      <c r="S408" s="7" t="s">
        <v>34</v>
      </c>
      <c r="T408" s="7" t="s">
        <v>34</v>
      </c>
      <c r="U408" s="7" t="s">
        <v>34</v>
      </c>
      <c r="V408" s="7">
        <v>1</v>
      </c>
      <c r="W408" s="7" t="s">
        <v>32</v>
      </c>
      <c r="X408" s="7">
        <v>1</v>
      </c>
      <c r="Y408" s="7" t="s">
        <v>698</v>
      </c>
      <c r="Z408" s="7" t="s">
        <v>699</v>
      </c>
      <c r="AA408" s="7">
        <v>7793467</v>
      </c>
      <c r="AB408" s="7">
        <v>1</v>
      </c>
      <c r="AC408" s="7"/>
      <c r="AD408" s="7">
        <v>2</v>
      </c>
      <c r="AE408" s="7">
        <f t="shared" si="35"/>
        <v>48</v>
      </c>
      <c r="AF408" s="7">
        <v>26</v>
      </c>
      <c r="AG408" s="7">
        <v>22</v>
      </c>
      <c r="AH408" s="7" t="s">
        <v>1642</v>
      </c>
      <c r="AI408" s="7" t="s">
        <v>1642</v>
      </c>
      <c r="AJ408" s="7">
        <v>46</v>
      </c>
      <c r="AK408" s="7">
        <v>1.8</v>
      </c>
      <c r="AL408" s="7">
        <v>44.5</v>
      </c>
      <c r="AM408" s="7">
        <v>7.3</v>
      </c>
      <c r="AN408" s="7" t="s">
        <v>2902</v>
      </c>
      <c r="AO408" s="7" t="s">
        <v>1638</v>
      </c>
      <c r="AP408" s="7" t="s">
        <v>3525</v>
      </c>
      <c r="AQ408" s="7" t="s">
        <v>3259</v>
      </c>
      <c r="AR408" s="7" t="s">
        <v>1646</v>
      </c>
      <c r="AS408" s="7" t="s">
        <v>2920</v>
      </c>
      <c r="AT408" s="7" t="s">
        <v>1646</v>
      </c>
      <c r="AU408" s="7" t="s">
        <v>3411</v>
      </c>
      <c r="AV408" s="7" t="s">
        <v>2848</v>
      </c>
      <c r="AW408" s="7">
        <v>57</v>
      </c>
      <c r="AX408" s="7">
        <v>63</v>
      </c>
      <c r="AY408" s="7" t="s">
        <v>3417</v>
      </c>
      <c r="AZ408" s="77">
        <v>7.2</v>
      </c>
      <c r="BA408" s="77">
        <v>4.0999999999999996</v>
      </c>
      <c r="BB408" s="77"/>
      <c r="BC408" s="7" t="s">
        <v>3435</v>
      </c>
      <c r="BD408" s="77">
        <v>9.1</v>
      </c>
      <c r="BE408" s="77">
        <v>4</v>
      </c>
      <c r="BF408" s="7"/>
    </row>
    <row r="409" spans="1:59" x14ac:dyDescent="0.2">
      <c r="A409" s="7">
        <v>101</v>
      </c>
      <c r="B409" s="7" t="s">
        <v>690</v>
      </c>
      <c r="C409" s="7" t="s">
        <v>691</v>
      </c>
      <c r="D409" s="7" t="s">
        <v>692</v>
      </c>
      <c r="E409" s="7" t="s">
        <v>617</v>
      </c>
      <c r="F409" s="7" t="s">
        <v>217</v>
      </c>
      <c r="G409" s="7">
        <v>1995</v>
      </c>
      <c r="H409" s="8">
        <v>34881</v>
      </c>
      <c r="I409" s="7" t="s">
        <v>693</v>
      </c>
      <c r="J409" s="7" t="s">
        <v>694</v>
      </c>
      <c r="K409" s="7" t="s">
        <v>695</v>
      </c>
      <c r="L409" s="7">
        <v>1</v>
      </c>
      <c r="M409" s="7" t="s">
        <v>696</v>
      </c>
      <c r="N409" s="7" t="s">
        <v>34</v>
      </c>
      <c r="O409" s="7" t="s">
        <v>34</v>
      </c>
      <c r="P409" s="7" t="s">
        <v>34</v>
      </c>
      <c r="Q409" s="7" t="s">
        <v>697</v>
      </c>
      <c r="R409" s="7" t="s">
        <v>34</v>
      </c>
      <c r="S409" s="7" t="s">
        <v>34</v>
      </c>
      <c r="T409" s="7" t="s">
        <v>34</v>
      </c>
      <c r="U409" s="7" t="s">
        <v>34</v>
      </c>
      <c r="V409" s="7">
        <v>1</v>
      </c>
      <c r="W409" s="7" t="s">
        <v>32</v>
      </c>
      <c r="X409" s="7">
        <v>1</v>
      </c>
      <c r="Y409" s="7" t="s">
        <v>698</v>
      </c>
      <c r="Z409" s="7" t="s">
        <v>699</v>
      </c>
      <c r="AA409" s="7">
        <v>7793467</v>
      </c>
      <c r="AB409" s="7">
        <v>1</v>
      </c>
      <c r="AC409" s="7"/>
      <c r="AD409" s="7">
        <v>2</v>
      </c>
      <c r="AE409" s="7">
        <f t="shared" si="35"/>
        <v>48</v>
      </c>
      <c r="AF409" s="7">
        <v>26</v>
      </c>
      <c r="AG409" s="7">
        <v>22</v>
      </c>
      <c r="AH409" s="7" t="s">
        <v>1642</v>
      </c>
      <c r="AI409" s="7" t="s">
        <v>1642</v>
      </c>
      <c r="AJ409" s="7">
        <v>46</v>
      </c>
      <c r="AK409" s="7">
        <v>1.8</v>
      </c>
      <c r="AL409" s="7">
        <v>44.5</v>
      </c>
      <c r="AM409" s="7">
        <v>7.3</v>
      </c>
      <c r="AN409" s="7" t="s">
        <v>2902</v>
      </c>
      <c r="AO409" s="7" t="s">
        <v>1638</v>
      </c>
      <c r="AP409" s="7" t="s">
        <v>3525</v>
      </c>
      <c r="AQ409" s="7" t="s">
        <v>3259</v>
      </c>
      <c r="AR409" s="7" t="s">
        <v>1646</v>
      </c>
      <c r="AS409" s="7" t="s">
        <v>2920</v>
      </c>
      <c r="AT409" s="7" t="s">
        <v>1646</v>
      </c>
      <c r="AU409" s="7" t="s">
        <v>3412</v>
      </c>
      <c r="AV409" s="7" t="s">
        <v>2848</v>
      </c>
      <c r="AW409" s="7">
        <v>57</v>
      </c>
      <c r="AX409" s="7">
        <v>63</v>
      </c>
      <c r="AY409" s="7" t="s">
        <v>3418</v>
      </c>
      <c r="AZ409" s="77">
        <v>72.900000000000006</v>
      </c>
      <c r="BA409" s="77">
        <v>30.3</v>
      </c>
      <c r="BB409" s="77"/>
      <c r="BC409" s="7" t="s">
        <v>3436</v>
      </c>
      <c r="BD409" s="77">
        <v>80.400000000000006</v>
      </c>
      <c r="BE409" s="77">
        <v>21.7</v>
      </c>
      <c r="BF409" s="7"/>
    </row>
    <row r="410" spans="1:59" s="52" customFormat="1" x14ac:dyDescent="0.2">
      <c r="A410" s="51">
        <v>102</v>
      </c>
      <c r="B410" s="51" t="s">
        <v>700</v>
      </c>
      <c r="C410" s="51" t="s">
        <v>701</v>
      </c>
      <c r="D410" s="51" t="s">
        <v>702</v>
      </c>
      <c r="E410" s="51" t="s">
        <v>617</v>
      </c>
      <c r="F410" s="51" t="s">
        <v>217</v>
      </c>
      <c r="G410" s="51">
        <v>1993</v>
      </c>
      <c r="H410" s="61">
        <v>34151</v>
      </c>
      <c r="I410" s="51" t="s">
        <v>32</v>
      </c>
      <c r="J410" s="51" t="s">
        <v>32</v>
      </c>
      <c r="K410" s="51" t="s">
        <v>703</v>
      </c>
      <c r="L410" s="51">
        <v>1</v>
      </c>
      <c r="M410" s="51" t="s">
        <v>32</v>
      </c>
      <c r="N410" s="51" t="s">
        <v>34</v>
      </c>
      <c r="O410" s="51" t="s">
        <v>34</v>
      </c>
      <c r="P410" s="51" t="s">
        <v>34</v>
      </c>
      <c r="Q410" s="51" t="s">
        <v>704</v>
      </c>
      <c r="R410" s="51" t="s">
        <v>34</v>
      </c>
      <c r="S410" s="51" t="s">
        <v>34</v>
      </c>
      <c r="T410" s="51" t="s">
        <v>34</v>
      </c>
      <c r="U410" s="51" t="s">
        <v>32</v>
      </c>
      <c r="V410" s="51">
        <v>1</v>
      </c>
      <c r="W410" s="51" t="s">
        <v>32</v>
      </c>
      <c r="X410" s="51" t="s">
        <v>32</v>
      </c>
      <c r="Y410" s="51" t="s">
        <v>705</v>
      </c>
      <c r="Z410" s="51" t="s">
        <v>32</v>
      </c>
      <c r="AA410" s="51">
        <v>8317569</v>
      </c>
      <c r="AB410" s="51">
        <v>1</v>
      </c>
      <c r="AC410" s="51"/>
      <c r="AD410" s="51">
        <v>2</v>
      </c>
      <c r="AE410" s="51">
        <f t="shared" si="32"/>
        <v>41</v>
      </c>
      <c r="AF410" s="51">
        <v>26</v>
      </c>
      <c r="AG410" s="51">
        <v>15</v>
      </c>
      <c r="AH410" s="51" t="s">
        <v>1642</v>
      </c>
      <c r="AI410" s="51" t="s">
        <v>1642</v>
      </c>
      <c r="AJ410" s="51">
        <v>46</v>
      </c>
      <c r="AK410" s="51">
        <v>1.8</v>
      </c>
      <c r="AL410" s="51">
        <v>44.5</v>
      </c>
      <c r="AM410" s="51">
        <v>7.3</v>
      </c>
      <c r="AN410" s="51" t="s">
        <v>2902</v>
      </c>
      <c r="AO410" s="51" t="s">
        <v>1638</v>
      </c>
      <c r="AP410" s="51" t="s">
        <v>3525</v>
      </c>
      <c r="AQ410" s="51" t="s">
        <v>3259</v>
      </c>
      <c r="AR410" s="51" t="s">
        <v>1646</v>
      </c>
      <c r="AS410" s="51" t="s">
        <v>2920</v>
      </c>
      <c r="AT410" s="51" t="s">
        <v>1646</v>
      </c>
      <c r="AU410" s="51" t="s">
        <v>3459</v>
      </c>
      <c r="AV410" s="51" t="s">
        <v>2848</v>
      </c>
      <c r="AW410" s="51">
        <v>57</v>
      </c>
      <c r="AX410" s="51">
        <v>64</v>
      </c>
      <c r="AY410" s="51" t="s">
        <v>3468</v>
      </c>
      <c r="AZ410" s="51">
        <v>11.6</v>
      </c>
      <c r="BA410" s="51">
        <v>3.3</v>
      </c>
      <c r="BB410" s="51"/>
      <c r="BC410" s="51" t="s">
        <v>3481</v>
      </c>
      <c r="BD410" s="51">
        <v>20.9</v>
      </c>
      <c r="BE410" s="51">
        <v>6.6</v>
      </c>
      <c r="BG410" s="51" t="s">
        <v>3526</v>
      </c>
    </row>
    <row r="411" spans="1:59" s="52" customFormat="1" x14ac:dyDescent="0.2">
      <c r="A411" s="51">
        <v>102</v>
      </c>
      <c r="B411" s="51" t="s">
        <v>700</v>
      </c>
      <c r="C411" s="51" t="s">
        <v>701</v>
      </c>
      <c r="D411" s="51" t="s">
        <v>702</v>
      </c>
      <c r="E411" s="51" t="s">
        <v>617</v>
      </c>
      <c r="F411" s="51" t="s">
        <v>217</v>
      </c>
      <c r="G411" s="51">
        <v>1993</v>
      </c>
      <c r="H411" s="61">
        <v>34151</v>
      </c>
      <c r="I411" s="51" t="s">
        <v>32</v>
      </c>
      <c r="J411" s="51" t="s">
        <v>32</v>
      </c>
      <c r="K411" s="51" t="s">
        <v>703</v>
      </c>
      <c r="L411" s="51">
        <v>1</v>
      </c>
      <c r="M411" s="51" t="s">
        <v>32</v>
      </c>
      <c r="N411" s="51" t="s">
        <v>34</v>
      </c>
      <c r="O411" s="51" t="s">
        <v>34</v>
      </c>
      <c r="P411" s="51" t="s">
        <v>34</v>
      </c>
      <c r="Q411" s="51" t="s">
        <v>704</v>
      </c>
      <c r="R411" s="51" t="s">
        <v>34</v>
      </c>
      <c r="S411" s="51" t="s">
        <v>34</v>
      </c>
      <c r="T411" s="51" t="s">
        <v>34</v>
      </c>
      <c r="U411" s="51" t="s">
        <v>32</v>
      </c>
      <c r="V411" s="51">
        <v>1</v>
      </c>
      <c r="W411" s="51" t="s">
        <v>32</v>
      </c>
      <c r="X411" s="51" t="s">
        <v>32</v>
      </c>
      <c r="Y411" s="51" t="s">
        <v>705</v>
      </c>
      <c r="Z411" s="51" t="s">
        <v>32</v>
      </c>
      <c r="AA411" s="51">
        <v>8317569</v>
      </c>
      <c r="AB411" s="51">
        <v>1</v>
      </c>
      <c r="AC411" s="51"/>
      <c r="AD411" s="51">
        <v>2</v>
      </c>
      <c r="AE411" s="51">
        <f t="shared" ref="AE411" si="36">AF411+AG411</f>
        <v>41</v>
      </c>
      <c r="AF411" s="51">
        <v>26</v>
      </c>
      <c r="AG411" s="51">
        <v>15</v>
      </c>
      <c r="AH411" s="51" t="s">
        <v>1642</v>
      </c>
      <c r="AI411" s="51" t="s">
        <v>1642</v>
      </c>
      <c r="AJ411" s="51">
        <v>46</v>
      </c>
      <c r="AK411" s="51">
        <v>1.8</v>
      </c>
      <c r="AL411" s="51">
        <v>44.5</v>
      </c>
      <c r="AM411" s="51">
        <v>7.3</v>
      </c>
      <c r="AN411" s="51" t="s">
        <v>2902</v>
      </c>
      <c r="AO411" s="51" t="s">
        <v>1638</v>
      </c>
      <c r="AP411" s="51" t="s">
        <v>3525</v>
      </c>
      <c r="AQ411" s="51" t="s">
        <v>3259</v>
      </c>
      <c r="AR411" s="51" t="s">
        <v>1646</v>
      </c>
      <c r="AS411" s="51" t="s">
        <v>2920</v>
      </c>
      <c r="AT411" s="51" t="s">
        <v>1646</v>
      </c>
      <c r="AU411" s="51" t="s">
        <v>3460</v>
      </c>
      <c r="AV411" s="51" t="s">
        <v>2848</v>
      </c>
      <c r="AW411" s="51">
        <v>57</v>
      </c>
      <c r="AX411" s="51">
        <v>64</v>
      </c>
      <c r="AY411" s="51" t="s">
        <v>3469</v>
      </c>
      <c r="AZ411" s="51">
        <v>8</v>
      </c>
      <c r="BA411" s="51">
        <v>3.3</v>
      </c>
      <c r="BB411" s="51"/>
      <c r="BC411" s="51" t="s">
        <v>3482</v>
      </c>
      <c r="BD411" s="51">
        <v>17.8</v>
      </c>
      <c r="BE411" s="51">
        <v>6.4</v>
      </c>
      <c r="BF411" s="51"/>
    </row>
    <row r="412" spans="1:59" s="65" customFormat="1" x14ac:dyDescent="0.2">
      <c r="A412" s="20">
        <v>103</v>
      </c>
      <c r="B412" s="20" t="s">
        <v>706</v>
      </c>
      <c r="C412" s="20" t="s">
        <v>707</v>
      </c>
      <c r="D412" s="20" t="s">
        <v>708</v>
      </c>
      <c r="E412" s="20" t="s">
        <v>709</v>
      </c>
      <c r="F412" s="20" t="s">
        <v>710</v>
      </c>
      <c r="G412" s="20">
        <v>1990</v>
      </c>
      <c r="H412" s="64">
        <v>33005</v>
      </c>
      <c r="I412" s="20" t="s">
        <v>32</v>
      </c>
      <c r="J412" s="20" t="s">
        <v>32</v>
      </c>
      <c r="K412" s="20" t="s">
        <v>32</v>
      </c>
      <c r="L412" s="20">
        <v>1</v>
      </c>
      <c r="M412" s="20" t="s">
        <v>32</v>
      </c>
      <c r="N412" s="20" t="s">
        <v>190</v>
      </c>
      <c r="O412" s="20" t="s">
        <v>190</v>
      </c>
      <c r="P412" s="20" t="s">
        <v>34</v>
      </c>
      <c r="Q412" s="20" t="s">
        <v>34</v>
      </c>
      <c r="R412" s="20" t="s">
        <v>190</v>
      </c>
      <c r="S412" s="20" t="s">
        <v>190</v>
      </c>
      <c r="T412" s="20" t="s">
        <v>34</v>
      </c>
      <c r="U412" s="20" t="s">
        <v>178</v>
      </c>
      <c r="V412" s="20" t="s">
        <v>190</v>
      </c>
      <c r="W412" s="20" t="s">
        <v>32</v>
      </c>
      <c r="X412" s="20">
        <v>0</v>
      </c>
      <c r="Y412" s="20" t="s">
        <v>711</v>
      </c>
      <c r="Z412" s="20" t="s">
        <v>712</v>
      </c>
      <c r="AA412" s="20">
        <v>2349456</v>
      </c>
      <c r="AB412" s="20">
        <v>0</v>
      </c>
      <c r="AC412" s="20" t="s">
        <v>3527</v>
      </c>
      <c r="AD412" s="20"/>
      <c r="AE412" s="20">
        <f t="shared" si="32"/>
        <v>0</v>
      </c>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row>
    <row r="413" spans="1:59" s="56" customFormat="1" x14ac:dyDescent="0.2">
      <c r="A413" s="21">
        <v>104</v>
      </c>
      <c r="B413" s="21" t="s">
        <v>713</v>
      </c>
      <c r="C413" s="21" t="s">
        <v>714</v>
      </c>
      <c r="D413" s="21" t="s">
        <v>715</v>
      </c>
      <c r="E413" s="21" t="s">
        <v>716</v>
      </c>
      <c r="F413" s="21" t="s">
        <v>39</v>
      </c>
      <c r="G413" s="21">
        <v>1991</v>
      </c>
      <c r="H413" s="70">
        <v>33239</v>
      </c>
      <c r="I413" s="21" t="s">
        <v>32</v>
      </c>
      <c r="J413" s="21" t="s">
        <v>32</v>
      </c>
      <c r="K413" s="21" t="s">
        <v>717</v>
      </c>
      <c r="L413" s="21">
        <v>1</v>
      </c>
      <c r="M413" s="21" t="s">
        <v>718</v>
      </c>
      <c r="N413" s="21" t="s">
        <v>34</v>
      </c>
      <c r="O413" s="21" t="s">
        <v>34</v>
      </c>
      <c r="P413" s="21" t="s">
        <v>34</v>
      </c>
      <c r="Q413" s="21" t="s">
        <v>34</v>
      </c>
      <c r="R413" s="21" t="s">
        <v>34</v>
      </c>
      <c r="S413" s="21" t="s">
        <v>34</v>
      </c>
      <c r="T413" s="21" t="s">
        <v>34</v>
      </c>
      <c r="U413" s="21" t="s">
        <v>32</v>
      </c>
      <c r="V413" s="21">
        <v>1</v>
      </c>
      <c r="W413" s="21" t="s">
        <v>32</v>
      </c>
      <c r="X413" s="21" t="s">
        <v>32</v>
      </c>
      <c r="Y413" s="21" t="s">
        <v>32</v>
      </c>
      <c r="Z413" s="21" t="s">
        <v>32</v>
      </c>
      <c r="AA413" s="21">
        <v>1741732</v>
      </c>
      <c r="AB413" s="21">
        <v>1</v>
      </c>
      <c r="AC413" s="21"/>
      <c r="AD413" s="21">
        <v>2</v>
      </c>
      <c r="AE413" s="21">
        <f t="shared" si="32"/>
        <v>48</v>
      </c>
      <c r="AF413" s="21">
        <v>24</v>
      </c>
      <c r="AG413" s="21">
        <v>24</v>
      </c>
      <c r="AH413" s="21" t="s">
        <v>1642</v>
      </c>
      <c r="AI413" s="21" t="s">
        <v>1642</v>
      </c>
      <c r="AJ413" s="21">
        <v>41.13</v>
      </c>
      <c r="AK413" s="21">
        <v>2.98</v>
      </c>
      <c r="AL413" s="21">
        <v>43.88</v>
      </c>
      <c r="AM413" s="21">
        <v>4.1500000000000004</v>
      </c>
      <c r="AN413" s="21" t="s">
        <v>2902</v>
      </c>
      <c r="AO413" s="21" t="s">
        <v>1770</v>
      </c>
      <c r="AP413" s="21" t="s">
        <v>3528</v>
      </c>
      <c r="AQ413" s="21" t="s">
        <v>3259</v>
      </c>
      <c r="AR413" s="21" t="s">
        <v>1646</v>
      </c>
      <c r="AS413" s="21" t="s">
        <v>3784</v>
      </c>
      <c r="AT413" s="21" t="s">
        <v>1646</v>
      </c>
      <c r="AU413" s="21" t="s">
        <v>3721</v>
      </c>
      <c r="AV413" s="21" t="s">
        <v>2907</v>
      </c>
      <c r="AW413" s="21">
        <v>58</v>
      </c>
      <c r="AX413" s="21">
        <v>65</v>
      </c>
      <c r="AY413" s="21" t="s">
        <v>3768</v>
      </c>
      <c r="AZ413" s="56" t="s">
        <v>3738</v>
      </c>
      <c r="BA413" s="56" t="s">
        <v>3739</v>
      </c>
      <c r="BB413" s="21"/>
      <c r="BC413" s="21" t="s">
        <v>3776</v>
      </c>
      <c r="BD413" s="56" t="s">
        <v>3746</v>
      </c>
      <c r="BE413" s="56" t="s">
        <v>3747</v>
      </c>
      <c r="BG413" s="21" t="s">
        <v>3529</v>
      </c>
    </row>
    <row r="414" spans="1:59" s="56" customFormat="1" x14ac:dyDescent="0.2">
      <c r="A414" s="21">
        <v>104</v>
      </c>
      <c r="B414" s="21" t="s">
        <v>713</v>
      </c>
      <c r="C414" s="21" t="s">
        <v>714</v>
      </c>
      <c r="D414" s="21" t="s">
        <v>715</v>
      </c>
      <c r="E414" s="21" t="s">
        <v>716</v>
      </c>
      <c r="F414" s="21" t="s">
        <v>39</v>
      </c>
      <c r="G414" s="21">
        <v>1991</v>
      </c>
      <c r="H414" s="70">
        <v>33239</v>
      </c>
      <c r="I414" s="21" t="s">
        <v>32</v>
      </c>
      <c r="J414" s="21" t="s">
        <v>32</v>
      </c>
      <c r="K414" s="21" t="s">
        <v>717</v>
      </c>
      <c r="L414" s="21">
        <v>1</v>
      </c>
      <c r="M414" s="21" t="s">
        <v>718</v>
      </c>
      <c r="N414" s="21" t="s">
        <v>34</v>
      </c>
      <c r="O414" s="21" t="s">
        <v>34</v>
      </c>
      <c r="P414" s="21" t="s">
        <v>34</v>
      </c>
      <c r="Q414" s="21" t="s">
        <v>34</v>
      </c>
      <c r="R414" s="21" t="s">
        <v>34</v>
      </c>
      <c r="S414" s="21" t="s">
        <v>34</v>
      </c>
      <c r="T414" s="21" t="s">
        <v>34</v>
      </c>
      <c r="U414" s="21" t="s">
        <v>32</v>
      </c>
      <c r="V414" s="21">
        <v>1</v>
      </c>
      <c r="W414" s="21" t="s">
        <v>32</v>
      </c>
      <c r="X414" s="21" t="s">
        <v>32</v>
      </c>
      <c r="Y414" s="21" t="s">
        <v>32</v>
      </c>
      <c r="Z414" s="21" t="s">
        <v>32</v>
      </c>
      <c r="AA414" s="21">
        <v>1741732</v>
      </c>
      <c r="AB414" s="21">
        <v>1</v>
      </c>
      <c r="AC414" s="21"/>
      <c r="AD414" s="21">
        <v>2</v>
      </c>
      <c r="AE414" s="21">
        <f t="shared" ref="AE414:AE420" si="37">AF414+AG414</f>
        <v>48</v>
      </c>
      <c r="AF414" s="21">
        <v>24</v>
      </c>
      <c r="AG414" s="21">
        <v>24</v>
      </c>
      <c r="AH414" s="21" t="s">
        <v>1642</v>
      </c>
      <c r="AI414" s="21" t="s">
        <v>1642</v>
      </c>
      <c r="AJ414" s="21">
        <v>41.13</v>
      </c>
      <c r="AK414" s="21">
        <v>2.98</v>
      </c>
      <c r="AL414" s="21">
        <v>43.88</v>
      </c>
      <c r="AM414" s="21">
        <v>4.1500000000000004</v>
      </c>
      <c r="AN414" s="21" t="s">
        <v>2902</v>
      </c>
      <c r="AO414" s="21" t="s">
        <v>1770</v>
      </c>
      <c r="AP414" s="21" t="s">
        <v>3528</v>
      </c>
      <c r="AQ414" s="21" t="s">
        <v>3259</v>
      </c>
      <c r="AR414" s="21" t="s">
        <v>1646</v>
      </c>
      <c r="AS414" s="21" t="s">
        <v>3784</v>
      </c>
      <c r="AT414" s="21" t="s">
        <v>1646</v>
      </c>
      <c r="AU414" s="21" t="s">
        <v>3722</v>
      </c>
      <c r="AV414" s="21" t="s">
        <v>2907</v>
      </c>
      <c r="AW414" s="21">
        <v>58</v>
      </c>
      <c r="AX414" s="21">
        <v>65</v>
      </c>
      <c r="AY414" s="21" t="s">
        <v>3769</v>
      </c>
      <c r="AZ414" s="56" t="s">
        <v>3740</v>
      </c>
      <c r="BA414" s="56" t="s">
        <v>3741</v>
      </c>
      <c r="BB414" s="21"/>
      <c r="BC414" s="21" t="s">
        <v>3777</v>
      </c>
      <c r="BD414" s="56" t="s">
        <v>3748</v>
      </c>
      <c r="BE414" s="56" t="s">
        <v>3747</v>
      </c>
      <c r="BF414" s="21"/>
    </row>
    <row r="415" spans="1:59" s="56" customFormat="1" x14ac:dyDescent="0.2">
      <c r="A415" s="21">
        <v>104</v>
      </c>
      <c r="B415" s="21" t="s">
        <v>713</v>
      </c>
      <c r="C415" s="21" t="s">
        <v>714</v>
      </c>
      <c r="D415" s="21" t="s">
        <v>715</v>
      </c>
      <c r="E415" s="21" t="s">
        <v>716</v>
      </c>
      <c r="F415" s="21" t="s">
        <v>39</v>
      </c>
      <c r="G415" s="21">
        <v>1991</v>
      </c>
      <c r="H415" s="70">
        <v>33239</v>
      </c>
      <c r="I415" s="21" t="s">
        <v>32</v>
      </c>
      <c r="J415" s="21" t="s">
        <v>32</v>
      </c>
      <c r="K415" s="21" t="s">
        <v>717</v>
      </c>
      <c r="L415" s="21">
        <v>1</v>
      </c>
      <c r="M415" s="21" t="s">
        <v>718</v>
      </c>
      <c r="N415" s="21" t="s">
        <v>34</v>
      </c>
      <c r="O415" s="21" t="s">
        <v>34</v>
      </c>
      <c r="P415" s="21" t="s">
        <v>34</v>
      </c>
      <c r="Q415" s="21" t="s">
        <v>34</v>
      </c>
      <c r="R415" s="21" t="s">
        <v>34</v>
      </c>
      <c r="S415" s="21" t="s">
        <v>34</v>
      </c>
      <c r="T415" s="21" t="s">
        <v>34</v>
      </c>
      <c r="U415" s="21" t="s">
        <v>32</v>
      </c>
      <c r="V415" s="21">
        <v>1</v>
      </c>
      <c r="W415" s="21" t="s">
        <v>32</v>
      </c>
      <c r="X415" s="21" t="s">
        <v>32</v>
      </c>
      <c r="Y415" s="21" t="s">
        <v>32</v>
      </c>
      <c r="Z415" s="21" t="s">
        <v>32</v>
      </c>
      <c r="AA415" s="21">
        <v>1741732</v>
      </c>
      <c r="AB415" s="21">
        <v>1</v>
      </c>
      <c r="AC415" s="21"/>
      <c r="AD415" s="21">
        <v>2</v>
      </c>
      <c r="AE415" s="21">
        <f t="shared" si="37"/>
        <v>48</v>
      </c>
      <c r="AF415" s="21">
        <v>24</v>
      </c>
      <c r="AG415" s="21">
        <v>24</v>
      </c>
      <c r="AH415" s="21" t="s">
        <v>1642</v>
      </c>
      <c r="AI415" s="21" t="s">
        <v>1642</v>
      </c>
      <c r="AJ415" s="21">
        <v>41.13</v>
      </c>
      <c r="AK415" s="21">
        <v>2.98</v>
      </c>
      <c r="AL415" s="21">
        <v>43.88</v>
      </c>
      <c r="AM415" s="21">
        <v>4.1500000000000004</v>
      </c>
      <c r="AN415" s="21" t="s">
        <v>2902</v>
      </c>
      <c r="AO415" s="21" t="s">
        <v>1770</v>
      </c>
      <c r="AP415" s="21" t="s">
        <v>3528</v>
      </c>
      <c r="AQ415" s="21" t="s">
        <v>3259</v>
      </c>
      <c r="AR415" s="21" t="s">
        <v>1646</v>
      </c>
      <c r="AS415" s="21" t="s">
        <v>3784</v>
      </c>
      <c r="AT415" s="21" t="s">
        <v>1646</v>
      </c>
      <c r="AU415" s="21" t="s">
        <v>3790</v>
      </c>
      <c r="AV415" s="21" t="s">
        <v>2907</v>
      </c>
      <c r="AW415" s="21">
        <v>58</v>
      </c>
      <c r="AX415" s="21">
        <v>65</v>
      </c>
      <c r="AY415" s="21" t="s">
        <v>3770</v>
      </c>
      <c r="AZ415" s="56" t="s">
        <v>3742</v>
      </c>
      <c r="BA415" s="56" t="s">
        <v>3743</v>
      </c>
      <c r="BB415" s="21"/>
      <c r="BC415" s="21" t="s">
        <v>3778</v>
      </c>
      <c r="BD415" s="56" t="s">
        <v>3749</v>
      </c>
      <c r="BE415" s="56" t="s">
        <v>3741</v>
      </c>
      <c r="BF415" s="21"/>
    </row>
    <row r="416" spans="1:59" s="56" customFormat="1" x14ac:dyDescent="0.2">
      <c r="A416" s="21">
        <v>104</v>
      </c>
      <c r="B416" s="21" t="s">
        <v>713</v>
      </c>
      <c r="C416" s="21" t="s">
        <v>714</v>
      </c>
      <c r="D416" s="21" t="s">
        <v>715</v>
      </c>
      <c r="E416" s="21" t="s">
        <v>716</v>
      </c>
      <c r="F416" s="21" t="s">
        <v>39</v>
      </c>
      <c r="G416" s="21">
        <v>1991</v>
      </c>
      <c r="H416" s="70">
        <v>33239</v>
      </c>
      <c r="I416" s="21" t="s">
        <v>32</v>
      </c>
      <c r="J416" s="21" t="s">
        <v>32</v>
      </c>
      <c r="K416" s="21" t="s">
        <v>717</v>
      </c>
      <c r="L416" s="21">
        <v>1</v>
      </c>
      <c r="M416" s="21" t="s">
        <v>718</v>
      </c>
      <c r="N416" s="21" t="s">
        <v>34</v>
      </c>
      <c r="O416" s="21" t="s">
        <v>34</v>
      </c>
      <c r="P416" s="21" t="s">
        <v>34</v>
      </c>
      <c r="Q416" s="21" t="s">
        <v>34</v>
      </c>
      <c r="R416" s="21" t="s">
        <v>34</v>
      </c>
      <c r="S416" s="21" t="s">
        <v>34</v>
      </c>
      <c r="T416" s="21" t="s">
        <v>34</v>
      </c>
      <c r="U416" s="21" t="s">
        <v>32</v>
      </c>
      <c r="V416" s="21">
        <v>1</v>
      </c>
      <c r="W416" s="21" t="s">
        <v>32</v>
      </c>
      <c r="X416" s="21" t="s">
        <v>32</v>
      </c>
      <c r="Y416" s="21" t="s">
        <v>32</v>
      </c>
      <c r="Z416" s="21" t="s">
        <v>32</v>
      </c>
      <c r="AA416" s="21">
        <v>1741732</v>
      </c>
      <c r="AB416" s="21">
        <v>1</v>
      </c>
      <c r="AC416" s="21"/>
      <c r="AD416" s="21">
        <v>2</v>
      </c>
      <c r="AE416" s="21">
        <f t="shared" si="37"/>
        <v>48</v>
      </c>
      <c r="AF416" s="21">
        <v>24</v>
      </c>
      <c r="AG416" s="21">
        <v>24</v>
      </c>
      <c r="AH416" s="21" t="s">
        <v>1642</v>
      </c>
      <c r="AI416" s="21" t="s">
        <v>1642</v>
      </c>
      <c r="AJ416" s="21">
        <v>41.13</v>
      </c>
      <c r="AK416" s="21">
        <v>2.98</v>
      </c>
      <c r="AL416" s="21">
        <v>43.88</v>
      </c>
      <c r="AM416" s="21">
        <v>4.1500000000000004</v>
      </c>
      <c r="AN416" s="21" t="s">
        <v>2902</v>
      </c>
      <c r="AO416" s="21" t="s">
        <v>1770</v>
      </c>
      <c r="AP416" s="21" t="s">
        <v>3528</v>
      </c>
      <c r="AQ416" s="21" t="s">
        <v>3259</v>
      </c>
      <c r="AR416" s="21" t="s">
        <v>1646</v>
      </c>
      <c r="AS416" s="21" t="s">
        <v>3784</v>
      </c>
      <c r="AT416" s="21" t="s">
        <v>1646</v>
      </c>
      <c r="AU416" s="21" t="s">
        <v>3791</v>
      </c>
      <c r="AV416" s="21" t="s">
        <v>2907</v>
      </c>
      <c r="AW416" s="21">
        <v>58</v>
      </c>
      <c r="AX416" s="21">
        <v>65</v>
      </c>
      <c r="AY416" s="21" t="s">
        <v>3771</v>
      </c>
      <c r="AZ416" s="56" t="s">
        <v>3744</v>
      </c>
      <c r="BA416" s="56" t="s">
        <v>3745</v>
      </c>
      <c r="BB416" s="21"/>
      <c r="BC416" s="21" t="s">
        <v>3779</v>
      </c>
      <c r="BD416" s="56" t="s">
        <v>3750</v>
      </c>
      <c r="BE416" s="56" t="s">
        <v>3751</v>
      </c>
      <c r="BF416" s="21"/>
    </row>
    <row r="417" spans="1:58" s="56" customFormat="1" x14ac:dyDescent="0.2">
      <c r="A417" s="21">
        <v>104</v>
      </c>
      <c r="B417" s="21" t="s">
        <v>713</v>
      </c>
      <c r="C417" s="21" t="s">
        <v>714</v>
      </c>
      <c r="D417" s="21" t="s">
        <v>715</v>
      </c>
      <c r="E417" s="21" t="s">
        <v>716</v>
      </c>
      <c r="F417" s="21" t="s">
        <v>39</v>
      </c>
      <c r="G417" s="21">
        <v>1991</v>
      </c>
      <c r="H417" s="70">
        <v>33239</v>
      </c>
      <c r="I417" s="21" t="s">
        <v>32</v>
      </c>
      <c r="J417" s="21" t="s">
        <v>32</v>
      </c>
      <c r="K417" s="21" t="s">
        <v>717</v>
      </c>
      <c r="L417" s="21">
        <v>1</v>
      </c>
      <c r="M417" s="21" t="s">
        <v>718</v>
      </c>
      <c r="N417" s="21" t="s">
        <v>34</v>
      </c>
      <c r="O417" s="21" t="s">
        <v>34</v>
      </c>
      <c r="P417" s="21" t="s">
        <v>34</v>
      </c>
      <c r="Q417" s="21" t="s">
        <v>34</v>
      </c>
      <c r="R417" s="21" t="s">
        <v>34</v>
      </c>
      <c r="S417" s="21" t="s">
        <v>34</v>
      </c>
      <c r="T417" s="21" t="s">
        <v>34</v>
      </c>
      <c r="U417" s="21" t="s">
        <v>32</v>
      </c>
      <c r="V417" s="21">
        <v>1</v>
      </c>
      <c r="W417" s="21" t="s">
        <v>32</v>
      </c>
      <c r="X417" s="21" t="s">
        <v>32</v>
      </c>
      <c r="Y417" s="21" t="s">
        <v>32</v>
      </c>
      <c r="Z417" s="21" t="s">
        <v>32</v>
      </c>
      <c r="AA417" s="21">
        <v>1741732</v>
      </c>
      <c r="AB417" s="21">
        <v>1</v>
      </c>
      <c r="AC417" s="21"/>
      <c r="AD417" s="21">
        <v>2</v>
      </c>
      <c r="AE417" s="21">
        <f t="shared" si="37"/>
        <v>48</v>
      </c>
      <c r="AF417" s="21">
        <v>24</v>
      </c>
      <c r="AG417" s="21">
        <v>24</v>
      </c>
      <c r="AH417" s="21" t="s">
        <v>1642</v>
      </c>
      <c r="AI417" s="21" t="s">
        <v>1642</v>
      </c>
      <c r="AJ417" s="21">
        <v>41.13</v>
      </c>
      <c r="AK417" s="21">
        <v>2.98</v>
      </c>
      <c r="AL417" s="21">
        <v>43.88</v>
      </c>
      <c r="AM417" s="21">
        <v>4.1500000000000004</v>
      </c>
      <c r="AN417" s="21" t="s">
        <v>2902</v>
      </c>
      <c r="AO417" s="21" t="s">
        <v>1770</v>
      </c>
      <c r="AP417" s="21" t="s">
        <v>3528</v>
      </c>
      <c r="AQ417" s="21" t="s">
        <v>3259</v>
      </c>
      <c r="AR417" s="21" t="s">
        <v>1646</v>
      </c>
      <c r="AS417" s="21" t="s">
        <v>3785</v>
      </c>
      <c r="AT417" s="56" t="s">
        <v>1646</v>
      </c>
      <c r="AU417" s="21" t="s">
        <v>3786</v>
      </c>
      <c r="AV417" s="21" t="s">
        <v>2907</v>
      </c>
      <c r="AW417" s="21">
        <v>58</v>
      </c>
      <c r="AX417" s="21">
        <v>65</v>
      </c>
      <c r="AY417" s="21" t="s">
        <v>3772</v>
      </c>
      <c r="AZ417" s="56" t="s">
        <v>3752</v>
      </c>
      <c r="BA417" s="56" t="s">
        <v>3753</v>
      </c>
      <c r="BB417" s="21"/>
      <c r="BC417" s="21" t="s">
        <v>3780</v>
      </c>
      <c r="BD417" s="56" t="s">
        <v>3760</v>
      </c>
      <c r="BE417" s="56" t="s">
        <v>3761</v>
      </c>
      <c r="BF417" s="21"/>
    </row>
    <row r="418" spans="1:58" s="56" customFormat="1" x14ac:dyDescent="0.2">
      <c r="A418" s="21">
        <v>104</v>
      </c>
      <c r="B418" s="21" t="s">
        <v>713</v>
      </c>
      <c r="C418" s="21" t="s">
        <v>714</v>
      </c>
      <c r="D418" s="21" t="s">
        <v>715</v>
      </c>
      <c r="E418" s="21" t="s">
        <v>716</v>
      </c>
      <c r="F418" s="21" t="s">
        <v>39</v>
      </c>
      <c r="G418" s="21">
        <v>1991</v>
      </c>
      <c r="H418" s="70">
        <v>33239</v>
      </c>
      <c r="I418" s="21" t="s">
        <v>32</v>
      </c>
      <c r="J418" s="21" t="s">
        <v>32</v>
      </c>
      <c r="K418" s="21" t="s">
        <v>717</v>
      </c>
      <c r="L418" s="21">
        <v>1</v>
      </c>
      <c r="M418" s="21" t="s">
        <v>718</v>
      </c>
      <c r="N418" s="21" t="s">
        <v>34</v>
      </c>
      <c r="O418" s="21" t="s">
        <v>34</v>
      </c>
      <c r="P418" s="21" t="s">
        <v>34</v>
      </c>
      <c r="Q418" s="21" t="s">
        <v>34</v>
      </c>
      <c r="R418" s="21" t="s">
        <v>34</v>
      </c>
      <c r="S418" s="21" t="s">
        <v>34</v>
      </c>
      <c r="T418" s="21" t="s">
        <v>34</v>
      </c>
      <c r="U418" s="21" t="s">
        <v>32</v>
      </c>
      <c r="V418" s="21">
        <v>1</v>
      </c>
      <c r="W418" s="21" t="s">
        <v>32</v>
      </c>
      <c r="X418" s="21" t="s">
        <v>32</v>
      </c>
      <c r="Y418" s="21" t="s">
        <v>32</v>
      </c>
      <c r="Z418" s="21" t="s">
        <v>32</v>
      </c>
      <c r="AA418" s="21">
        <v>1741732</v>
      </c>
      <c r="AB418" s="21">
        <v>1</v>
      </c>
      <c r="AC418" s="21"/>
      <c r="AD418" s="21">
        <v>2</v>
      </c>
      <c r="AE418" s="21">
        <f t="shared" si="37"/>
        <v>48</v>
      </c>
      <c r="AF418" s="21">
        <v>24</v>
      </c>
      <c r="AG418" s="21">
        <v>24</v>
      </c>
      <c r="AH418" s="21" t="s">
        <v>1642</v>
      </c>
      <c r="AI418" s="21" t="s">
        <v>1642</v>
      </c>
      <c r="AJ418" s="21">
        <v>41.13</v>
      </c>
      <c r="AK418" s="21">
        <v>2.98</v>
      </c>
      <c r="AL418" s="21">
        <v>43.88</v>
      </c>
      <c r="AM418" s="21">
        <v>4.1500000000000004</v>
      </c>
      <c r="AN418" s="21" t="s">
        <v>2902</v>
      </c>
      <c r="AO418" s="21" t="s">
        <v>1770</v>
      </c>
      <c r="AP418" s="21" t="s">
        <v>3528</v>
      </c>
      <c r="AQ418" s="21" t="s">
        <v>3259</v>
      </c>
      <c r="AR418" s="21" t="s">
        <v>1646</v>
      </c>
      <c r="AS418" s="21" t="s">
        <v>3785</v>
      </c>
      <c r="AT418" s="56" t="s">
        <v>1646</v>
      </c>
      <c r="AU418" s="21" t="s">
        <v>3787</v>
      </c>
      <c r="AV418" s="21" t="s">
        <v>2907</v>
      </c>
      <c r="AW418" s="21">
        <v>58</v>
      </c>
      <c r="AX418" s="21">
        <v>65</v>
      </c>
      <c r="AY418" s="21" t="s">
        <v>3773</v>
      </c>
      <c r="AZ418" s="56" t="s">
        <v>3754</v>
      </c>
      <c r="BA418" s="56" t="s">
        <v>3755</v>
      </c>
      <c r="BB418" s="21"/>
      <c r="BC418" s="21" t="s">
        <v>3781</v>
      </c>
      <c r="BD418" s="56" t="s">
        <v>3762</v>
      </c>
      <c r="BE418" s="56" t="s">
        <v>3763</v>
      </c>
      <c r="BF418" s="21"/>
    </row>
    <row r="419" spans="1:58" s="56" customFormat="1" x14ac:dyDescent="0.2">
      <c r="A419" s="21">
        <v>104</v>
      </c>
      <c r="B419" s="21" t="s">
        <v>713</v>
      </c>
      <c r="C419" s="21" t="s">
        <v>714</v>
      </c>
      <c r="D419" s="21" t="s">
        <v>715</v>
      </c>
      <c r="E419" s="21" t="s">
        <v>716</v>
      </c>
      <c r="F419" s="21" t="s">
        <v>39</v>
      </c>
      <c r="G419" s="21">
        <v>1991</v>
      </c>
      <c r="H419" s="70">
        <v>33239</v>
      </c>
      <c r="I419" s="21" t="s">
        <v>32</v>
      </c>
      <c r="J419" s="21" t="s">
        <v>32</v>
      </c>
      <c r="K419" s="21" t="s">
        <v>717</v>
      </c>
      <c r="L419" s="21">
        <v>1</v>
      </c>
      <c r="M419" s="21" t="s">
        <v>718</v>
      </c>
      <c r="N419" s="21" t="s">
        <v>34</v>
      </c>
      <c r="O419" s="21" t="s">
        <v>34</v>
      </c>
      <c r="P419" s="21" t="s">
        <v>34</v>
      </c>
      <c r="Q419" s="21" t="s">
        <v>34</v>
      </c>
      <c r="R419" s="21" t="s">
        <v>34</v>
      </c>
      <c r="S419" s="21" t="s">
        <v>34</v>
      </c>
      <c r="T419" s="21" t="s">
        <v>34</v>
      </c>
      <c r="U419" s="21" t="s">
        <v>32</v>
      </c>
      <c r="V419" s="21">
        <v>1</v>
      </c>
      <c r="W419" s="21" t="s">
        <v>32</v>
      </c>
      <c r="X419" s="21" t="s">
        <v>32</v>
      </c>
      <c r="Y419" s="21" t="s">
        <v>32</v>
      </c>
      <c r="Z419" s="21" t="s">
        <v>32</v>
      </c>
      <c r="AA419" s="21">
        <v>1741732</v>
      </c>
      <c r="AB419" s="21">
        <v>1</v>
      </c>
      <c r="AC419" s="21"/>
      <c r="AD419" s="21">
        <v>2</v>
      </c>
      <c r="AE419" s="21">
        <f t="shared" si="37"/>
        <v>48</v>
      </c>
      <c r="AF419" s="21">
        <v>24</v>
      </c>
      <c r="AG419" s="21">
        <v>24</v>
      </c>
      <c r="AH419" s="21" t="s">
        <v>1642</v>
      </c>
      <c r="AI419" s="21" t="s">
        <v>1642</v>
      </c>
      <c r="AJ419" s="21">
        <v>41.13</v>
      </c>
      <c r="AK419" s="21">
        <v>2.98</v>
      </c>
      <c r="AL419" s="21">
        <v>43.88</v>
      </c>
      <c r="AM419" s="21">
        <v>4.1500000000000004</v>
      </c>
      <c r="AN419" s="21" t="s">
        <v>2902</v>
      </c>
      <c r="AO419" s="21" t="s">
        <v>1770</v>
      </c>
      <c r="AP419" s="21" t="s">
        <v>3528</v>
      </c>
      <c r="AQ419" s="21" t="s">
        <v>3259</v>
      </c>
      <c r="AR419" s="21" t="s">
        <v>1646</v>
      </c>
      <c r="AS419" s="21" t="s">
        <v>3785</v>
      </c>
      <c r="AT419" s="56" t="s">
        <v>1646</v>
      </c>
      <c r="AU419" s="21" t="s">
        <v>3788</v>
      </c>
      <c r="AV419" s="21" t="s">
        <v>2907</v>
      </c>
      <c r="AW419" s="21">
        <v>58</v>
      </c>
      <c r="AX419" s="21">
        <v>65</v>
      </c>
      <c r="AY419" s="21" t="s">
        <v>3774</v>
      </c>
      <c r="AZ419" s="56" t="s">
        <v>3756</v>
      </c>
      <c r="BA419" s="56" t="s">
        <v>3757</v>
      </c>
      <c r="BB419" s="21"/>
      <c r="BC419" s="21" t="s">
        <v>3782</v>
      </c>
      <c r="BD419" s="56" t="s">
        <v>3764</v>
      </c>
      <c r="BE419" s="56" t="s">
        <v>3765</v>
      </c>
      <c r="BF419" s="21"/>
    </row>
    <row r="420" spans="1:58" s="56" customFormat="1" x14ac:dyDescent="0.2">
      <c r="A420" s="21">
        <v>104</v>
      </c>
      <c r="B420" s="21" t="s">
        <v>713</v>
      </c>
      <c r="C420" s="21" t="s">
        <v>714</v>
      </c>
      <c r="D420" s="21" t="s">
        <v>715</v>
      </c>
      <c r="E420" s="21" t="s">
        <v>716</v>
      </c>
      <c r="F420" s="21" t="s">
        <v>39</v>
      </c>
      <c r="G420" s="21">
        <v>1991</v>
      </c>
      <c r="H420" s="70">
        <v>33239</v>
      </c>
      <c r="I420" s="21" t="s">
        <v>32</v>
      </c>
      <c r="J420" s="21" t="s">
        <v>32</v>
      </c>
      <c r="K420" s="21" t="s">
        <v>717</v>
      </c>
      <c r="L420" s="21">
        <v>1</v>
      </c>
      <c r="M420" s="21" t="s">
        <v>718</v>
      </c>
      <c r="N420" s="21" t="s">
        <v>34</v>
      </c>
      <c r="O420" s="21" t="s">
        <v>34</v>
      </c>
      <c r="P420" s="21" t="s">
        <v>34</v>
      </c>
      <c r="Q420" s="21" t="s">
        <v>34</v>
      </c>
      <c r="R420" s="21" t="s">
        <v>34</v>
      </c>
      <c r="S420" s="21" t="s">
        <v>34</v>
      </c>
      <c r="T420" s="21" t="s">
        <v>34</v>
      </c>
      <c r="U420" s="21" t="s">
        <v>32</v>
      </c>
      <c r="V420" s="21">
        <v>1</v>
      </c>
      <c r="W420" s="21" t="s">
        <v>32</v>
      </c>
      <c r="X420" s="21" t="s">
        <v>32</v>
      </c>
      <c r="Y420" s="21" t="s">
        <v>32</v>
      </c>
      <c r="Z420" s="21" t="s">
        <v>32</v>
      </c>
      <c r="AA420" s="21">
        <v>1741732</v>
      </c>
      <c r="AB420" s="21">
        <v>1</v>
      </c>
      <c r="AC420" s="21"/>
      <c r="AD420" s="21">
        <v>2</v>
      </c>
      <c r="AE420" s="21">
        <f t="shared" si="37"/>
        <v>48</v>
      </c>
      <c r="AF420" s="21">
        <v>24</v>
      </c>
      <c r="AG420" s="21">
        <v>24</v>
      </c>
      <c r="AH420" s="21" t="s">
        <v>1642</v>
      </c>
      <c r="AI420" s="21" t="s">
        <v>1642</v>
      </c>
      <c r="AJ420" s="21">
        <v>41.13</v>
      </c>
      <c r="AK420" s="21">
        <v>2.98</v>
      </c>
      <c r="AL420" s="21">
        <v>43.88</v>
      </c>
      <c r="AM420" s="21">
        <v>4.1500000000000004</v>
      </c>
      <c r="AN420" s="21" t="s">
        <v>2902</v>
      </c>
      <c r="AO420" s="21" t="s">
        <v>1770</v>
      </c>
      <c r="AP420" s="21" t="s">
        <v>3528</v>
      </c>
      <c r="AQ420" s="21" t="s">
        <v>3259</v>
      </c>
      <c r="AR420" s="21" t="s">
        <v>1646</v>
      </c>
      <c r="AS420" s="21" t="s">
        <v>3785</v>
      </c>
      <c r="AT420" s="56" t="s">
        <v>1646</v>
      </c>
      <c r="AU420" s="21" t="s">
        <v>3789</v>
      </c>
      <c r="AV420" s="21" t="s">
        <v>2907</v>
      </c>
      <c r="AW420" s="21">
        <v>58</v>
      </c>
      <c r="AX420" s="21">
        <v>65</v>
      </c>
      <c r="AY420" s="21" t="s">
        <v>3775</v>
      </c>
      <c r="AZ420" s="56" t="s">
        <v>3758</v>
      </c>
      <c r="BA420" s="56" t="s">
        <v>3759</v>
      </c>
      <c r="BB420" s="21"/>
      <c r="BC420" s="21" t="s">
        <v>3783</v>
      </c>
      <c r="BD420" s="56" t="s">
        <v>3766</v>
      </c>
      <c r="BE420" s="56" t="s">
        <v>3767</v>
      </c>
      <c r="BF420" s="21"/>
    </row>
    <row r="421" spans="1:58" s="65" customFormat="1" x14ac:dyDescent="0.2">
      <c r="A421" s="20">
        <v>105</v>
      </c>
      <c r="B421" s="20" t="s">
        <v>719</v>
      </c>
      <c r="C421" s="20" t="s">
        <v>720</v>
      </c>
      <c r="D421" s="20" t="s">
        <v>721</v>
      </c>
      <c r="E421" s="20" t="s">
        <v>722</v>
      </c>
      <c r="F421" s="20" t="s">
        <v>723</v>
      </c>
      <c r="G421" s="20">
        <v>1979</v>
      </c>
      <c r="H421" s="64">
        <v>28976</v>
      </c>
      <c r="I421" s="20" t="s">
        <v>32</v>
      </c>
      <c r="J421" s="20" t="s">
        <v>32</v>
      </c>
      <c r="K421" s="20" t="s">
        <v>32</v>
      </c>
      <c r="L421" s="20">
        <v>1</v>
      </c>
      <c r="M421" s="20" t="s">
        <v>724</v>
      </c>
      <c r="N421" s="20" t="s">
        <v>725</v>
      </c>
      <c r="O421" s="20" t="s">
        <v>32</v>
      </c>
      <c r="P421" s="20" t="s">
        <v>32</v>
      </c>
      <c r="Q421" s="20" t="s">
        <v>32</v>
      </c>
      <c r="R421" s="20" t="s">
        <v>34</v>
      </c>
      <c r="S421" s="20" t="s">
        <v>190</v>
      </c>
      <c r="T421" s="20" t="s">
        <v>32</v>
      </c>
      <c r="U421" s="20" t="s">
        <v>178</v>
      </c>
      <c r="V421" s="20" t="s">
        <v>190</v>
      </c>
      <c r="W421" s="20" t="s">
        <v>32</v>
      </c>
      <c r="X421" s="20">
        <v>0</v>
      </c>
      <c r="Y421" s="20" t="s">
        <v>32</v>
      </c>
      <c r="Z421" s="20" t="s">
        <v>712</v>
      </c>
      <c r="AA421" s="20">
        <v>543434</v>
      </c>
      <c r="AB421" s="65">
        <v>0</v>
      </c>
      <c r="AC421" s="65" t="s">
        <v>3527</v>
      </c>
      <c r="BC421" s="20"/>
    </row>
    <row r="422" spans="1:58" x14ac:dyDescent="0.2">
      <c r="BC422" s="7"/>
    </row>
    <row r="423" spans="1:58" x14ac:dyDescent="0.2">
      <c r="BC423" s="7"/>
    </row>
    <row r="424" spans="1:58" x14ac:dyDescent="0.2">
      <c r="BC424" s="7"/>
    </row>
  </sheetData>
  <phoneticPr fontId="23" type="noConversion"/>
  <conditionalFormatting sqref="AB1">
    <cfRule type="cellIs" dxfId="2" priority="1" operator="equal">
      <formula>0</formula>
    </cfRule>
    <cfRule type="cellIs" dxfId="1" priority="2" operator="equal">
      <formula>2</formula>
    </cfRule>
    <cfRule type="cellIs" dxfId="0" priority="3" operator="equal">
      <formula>1</formula>
    </cfRule>
  </conditionalFormatting>
  <pageMargins left="0.75" right="0.75" top="1" bottom="1" header="0.5" footer="0.5"/>
  <pageSetup paperSize="9" orientation="portrait" horizontalDpi="0" verticalDpi="0"/>
  <ignoredErrors>
    <ignoredError sqref="BE37:BE38"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animal.inclusions.s3</vt:lpstr>
      <vt:lpstr>human.inclusions.s3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 Sep</dc:creator>
  <cp:lastModifiedBy>Microsoft Office User</cp:lastModifiedBy>
  <dcterms:created xsi:type="dcterms:W3CDTF">2020-09-30T15:25:37Z</dcterms:created>
  <dcterms:modified xsi:type="dcterms:W3CDTF">2020-11-27T12:24:33Z</dcterms:modified>
</cp:coreProperties>
</file>