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0" yWindow="0" windowWidth="25095" windowHeight="15540" activeTab="1"/>
  </bookViews>
  <sheets>
    <sheet name="ELBONIA" sheetId="6" r:id="rId1"/>
    <sheet name="watershed" sheetId="10" r:id="rId2"/>
    <sheet name="users&amp;sources" sheetId="11" r:id="rId3"/>
    <sheet name="upper basin" sheetId="3" r:id="rId4"/>
    <sheet name="lower basin" sheetId="9" r:id="rId5"/>
    <sheet name="schematic" sheetId="5" r:id="rId6"/>
    <sheet name="data" sheetId="2" r:id="rId7"/>
    <sheet name="schematic_old" sheetId="4" state="hidden" r:id="rId8"/>
  </sheets>
  <definedNames>
    <definedName name="solver_adj" localSheetId="4" hidden="1">'lower basin'!$L$6:$L$11,'lower basin'!$P$6:$P$11,'lower basin'!$T$6:$T$8,'lower basin'!$X$6:$X$8,'lower basin'!$AB$6:$AB$7</definedName>
    <definedName name="solver_adj" localSheetId="3" hidden="1">'upper basin'!$L$6:$L$10,'upper basin'!$P$6:$P$10,'upper basin'!$T$6:$T$8,'upper basin'!$X$6:$X$8,'upper basin'!$AB$6:$AB$7</definedName>
    <definedName name="solver_cvg" localSheetId="4" hidden="1">0.0001</definedName>
    <definedName name="solver_cvg" localSheetId="3" hidden="1">0.0001</definedName>
    <definedName name="solver_drv" localSheetId="4" hidden="1">2</definedName>
    <definedName name="solver_drv" localSheetId="3" hidden="1">2</definedName>
    <definedName name="solver_eng" localSheetId="4" hidden="1">1</definedName>
    <definedName name="solver_eng" localSheetId="3" hidden="1">1</definedName>
    <definedName name="solver_est" localSheetId="4" hidden="1">1</definedName>
    <definedName name="solver_est" localSheetId="3" hidden="1">1</definedName>
    <definedName name="solver_itr" localSheetId="4" hidden="1">2147483647</definedName>
    <definedName name="solver_itr" localSheetId="3" hidden="1">2147483647</definedName>
    <definedName name="solver_lhs1" localSheetId="4" hidden="1">'lower basin'!$AB$1</definedName>
    <definedName name="solver_lhs1" localSheetId="3" hidden="1">'upper basin'!$AB$1</definedName>
    <definedName name="solver_lhs2" localSheetId="4" hidden="1">'lower basin'!$AE$6</definedName>
    <definedName name="solver_lhs2" localSheetId="3" hidden="1">'upper basin'!$AE$6</definedName>
    <definedName name="solver_lhs3" localSheetId="4" hidden="1">'lower basin'!$AE$7</definedName>
    <definedName name="solver_lhs3" localSheetId="3" hidden="1">'upper basin'!$AE$7</definedName>
    <definedName name="solver_lhs4" localSheetId="4" hidden="1">'lower basin'!$L$1</definedName>
    <definedName name="solver_lhs4" localSheetId="3" hidden="1">'upper basin'!$L$1</definedName>
    <definedName name="solver_lhs5" localSheetId="4" hidden="1">'lower basin'!$P$1</definedName>
    <definedName name="solver_lhs5" localSheetId="3" hidden="1">'upper basin'!$P$1</definedName>
    <definedName name="solver_lhs6" localSheetId="4" hidden="1">'lower basin'!$T$1</definedName>
    <definedName name="solver_lhs6" localSheetId="3" hidden="1">'upper basin'!$T$1</definedName>
    <definedName name="solver_lhs7" localSheetId="4" hidden="1">'lower basin'!$X$1</definedName>
    <definedName name="solver_lhs7" localSheetId="3" hidden="1">'upper basin'!$X$1</definedName>
    <definedName name="solver_lin" localSheetId="4" hidden="1">2</definedName>
    <definedName name="solver_lin" localSheetId="3" hidden="1">2</definedName>
    <definedName name="solver_mip" localSheetId="4" hidden="1">2147483647</definedName>
    <definedName name="solver_mip" localSheetId="3" hidden="1">2147483647</definedName>
    <definedName name="solver_mni" localSheetId="4" hidden="1">30</definedName>
    <definedName name="solver_mni" localSheetId="3" hidden="1">30</definedName>
    <definedName name="solver_mrt" localSheetId="4" hidden="1">0.075</definedName>
    <definedName name="solver_mrt" localSheetId="3" hidden="1">0.075</definedName>
    <definedName name="solver_msl" localSheetId="4" hidden="1">2</definedName>
    <definedName name="solver_msl" localSheetId="3" hidden="1">2</definedName>
    <definedName name="solver_neg" localSheetId="4" hidden="1">1</definedName>
    <definedName name="solver_neg" localSheetId="3" hidden="1">1</definedName>
    <definedName name="solver_nod" localSheetId="4" hidden="1">2147483647</definedName>
    <definedName name="solver_nod" localSheetId="3" hidden="1">2147483647</definedName>
    <definedName name="solver_num" localSheetId="4" hidden="1">7</definedName>
    <definedName name="solver_num" localSheetId="3" hidden="1">7</definedName>
    <definedName name="solver_nwt" localSheetId="4" hidden="1">1</definedName>
    <definedName name="solver_nwt" localSheetId="3" hidden="1">1</definedName>
    <definedName name="solver_opt" localSheetId="4" hidden="1">'lower basin'!$E$21</definedName>
    <definedName name="solver_opt" localSheetId="3" hidden="1">'upper basin'!$E$21</definedName>
    <definedName name="solver_pre" localSheetId="4" hidden="1">0.000001</definedName>
    <definedName name="solver_pre" localSheetId="3" hidden="1">0.000001</definedName>
    <definedName name="solver_rbv" localSheetId="4" hidden="1">2</definedName>
    <definedName name="solver_rbv" localSheetId="3" hidden="1">2</definedName>
    <definedName name="solver_rel1" localSheetId="4" hidden="1">2</definedName>
    <definedName name="solver_rel1" localSheetId="3" hidden="1">2</definedName>
    <definedName name="solver_rel2" localSheetId="4" hidden="1">1</definedName>
    <definedName name="solver_rel2" localSheetId="3" hidden="1">1</definedName>
    <definedName name="solver_rel3" localSheetId="4" hidden="1">1</definedName>
    <definedName name="solver_rel3" localSheetId="3" hidden="1">1</definedName>
    <definedName name="solver_rel4" localSheetId="4" hidden="1">2</definedName>
    <definedName name="solver_rel4" localSheetId="3" hidden="1">2</definedName>
    <definedName name="solver_rel5" localSheetId="4" hidden="1">2</definedName>
    <definedName name="solver_rel5" localSheetId="3" hidden="1">2</definedName>
    <definedName name="solver_rel6" localSheetId="4" hidden="1">2</definedName>
    <definedName name="solver_rel6" localSheetId="3" hidden="1">2</definedName>
    <definedName name="solver_rel7" localSheetId="4" hidden="1">2</definedName>
    <definedName name="solver_rel7" localSheetId="3" hidden="1">2</definedName>
    <definedName name="solver_rhs1" localSheetId="4" hidden="1">'lower basin'!$D$9</definedName>
    <definedName name="solver_rhs1" localSheetId="3" hidden="1">'upper basin'!$D$9</definedName>
    <definedName name="solver_rhs2" localSheetId="4" hidden="1">'lower basin'!$D$6</definedName>
    <definedName name="solver_rhs2" localSheetId="3" hidden="1">'upper basin'!$D$6</definedName>
    <definedName name="solver_rhs3" localSheetId="4" hidden="1">'lower basin'!$D$7</definedName>
    <definedName name="solver_rhs3" localSheetId="3" hidden="1">'upper basin'!$D$7</definedName>
    <definedName name="solver_rhs4" localSheetId="4" hidden="1">'lower basin'!$D$10+'lower basin'!$D$10</definedName>
    <definedName name="solver_rhs4" localSheetId="3" hidden="1">'upper basin'!$D$10</definedName>
    <definedName name="solver_rhs5" localSheetId="4" hidden="1">'lower basin'!$D$12+'lower basin'!#REF!</definedName>
    <definedName name="solver_rhs5" localSheetId="3" hidden="1">'upper basin'!$D$12</definedName>
    <definedName name="solver_rhs6" localSheetId="4" hidden="1">'lower basin'!$D$13</definedName>
    <definedName name="solver_rhs6" localSheetId="3" hidden="1">'upper basin'!$D$13</definedName>
    <definedName name="solver_rhs7" localSheetId="4" hidden="1">'lower basin'!$D$11</definedName>
    <definedName name="solver_rhs7" localSheetId="3" hidden="1">'upper basin'!$D$11</definedName>
    <definedName name="solver_rlx" localSheetId="4" hidden="1">2</definedName>
    <definedName name="solver_rlx" localSheetId="3" hidden="1">2</definedName>
    <definedName name="solver_rsd" localSheetId="4" hidden="1">0</definedName>
    <definedName name="solver_rsd" localSheetId="3" hidden="1">0</definedName>
    <definedName name="solver_scl" localSheetId="4" hidden="1">2</definedName>
    <definedName name="solver_scl" localSheetId="3" hidden="1">2</definedName>
    <definedName name="solver_sho" localSheetId="4" hidden="1">2</definedName>
    <definedName name="solver_sho" localSheetId="3" hidden="1">2</definedName>
    <definedName name="solver_ssz" localSheetId="4" hidden="1">100</definedName>
    <definedName name="solver_ssz" localSheetId="3" hidden="1">100</definedName>
    <definedName name="solver_tim" localSheetId="4" hidden="1">2147483647</definedName>
    <definedName name="solver_tim" localSheetId="3" hidden="1">2147483647</definedName>
    <definedName name="solver_tol" localSheetId="4" hidden="1">0.01</definedName>
    <definedName name="solver_tol" localSheetId="3" hidden="1">0.01</definedName>
    <definedName name="solver_typ" localSheetId="4" hidden="1">2</definedName>
    <definedName name="solver_typ" localSheetId="3" hidden="1">2</definedName>
    <definedName name="solver_val" localSheetId="4" hidden="1">0</definedName>
    <definedName name="solver_val" localSheetId="3" hidden="1">0</definedName>
    <definedName name="solver_ver" localSheetId="4" hidden="1">3</definedName>
    <definedName name="solver_ver" localSheetId="3" hidden="1">3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5" i="2" l="1"/>
  <c r="F65" i="2"/>
  <c r="E68" i="2"/>
  <c r="F68" i="2"/>
  <c r="E71" i="2"/>
  <c r="F71" i="2"/>
  <c r="E50" i="2"/>
  <c r="F50" i="2"/>
  <c r="E53" i="2"/>
  <c r="F53" i="2"/>
  <c r="E70" i="2"/>
  <c r="F70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W39" i="2"/>
  <c r="AA35" i="9"/>
  <c r="E58" i="2"/>
  <c r="F58" i="2"/>
  <c r="J58" i="2"/>
  <c r="E60" i="2"/>
  <c r="F60" i="2"/>
  <c r="J60" i="2"/>
  <c r="E61" i="2"/>
  <c r="F61" i="2"/>
  <c r="J61" i="2"/>
  <c r="W35" i="9"/>
  <c r="H58" i="2"/>
  <c r="H60" i="2"/>
  <c r="H61" i="2"/>
  <c r="W33" i="9"/>
  <c r="E62" i="2"/>
  <c r="F62" i="2"/>
  <c r="J62" i="2"/>
  <c r="E64" i="2"/>
  <c r="F64" i="2"/>
  <c r="J64" i="2"/>
  <c r="E73" i="2"/>
  <c r="F73" i="2"/>
  <c r="J73" i="2"/>
  <c r="E74" i="2"/>
  <c r="F74" i="2"/>
  <c r="J74" i="2"/>
  <c r="E76" i="2"/>
  <c r="F76" i="2"/>
  <c r="J76" i="2"/>
  <c r="E77" i="2"/>
  <c r="F77" i="2"/>
  <c r="J77" i="2"/>
  <c r="S35" i="9"/>
  <c r="H62" i="2"/>
  <c r="H64" i="2"/>
  <c r="H73" i="2"/>
  <c r="H74" i="2"/>
  <c r="H76" i="2"/>
  <c r="H77" i="2"/>
  <c r="S33" i="9"/>
  <c r="K61" i="2"/>
  <c r="K60" i="2"/>
  <c r="K74" i="2"/>
  <c r="K77" i="2"/>
  <c r="K75" i="2"/>
  <c r="K73" i="2"/>
  <c r="K76" i="2"/>
  <c r="K64" i="2"/>
  <c r="K80" i="2"/>
  <c r="E82" i="2"/>
  <c r="F82" i="2"/>
  <c r="E83" i="2"/>
  <c r="F83" i="2"/>
  <c r="E81" i="2"/>
  <c r="E78" i="2"/>
  <c r="F78" i="2"/>
  <c r="E79" i="2"/>
  <c r="F79" i="2"/>
  <c r="E80" i="2"/>
  <c r="E63" i="2"/>
  <c r="F63" i="2"/>
  <c r="E75" i="2"/>
  <c r="F75" i="2"/>
  <c r="E48" i="2"/>
  <c r="F48" i="2"/>
  <c r="E66" i="2"/>
  <c r="F66" i="2"/>
  <c r="E69" i="2"/>
  <c r="F69" i="2"/>
  <c r="E45" i="2"/>
  <c r="F45" i="2"/>
  <c r="E49" i="2"/>
  <c r="F49" i="2"/>
  <c r="E51" i="2"/>
  <c r="F51" i="2"/>
  <c r="E56" i="2"/>
  <c r="F56" i="2"/>
  <c r="E54" i="2"/>
  <c r="F54" i="2"/>
  <c r="E67" i="2"/>
  <c r="E59" i="2"/>
  <c r="F59" i="2"/>
  <c r="E72" i="2"/>
  <c r="F72" i="2"/>
  <c r="E52" i="2"/>
  <c r="F52" i="2"/>
  <c r="E55" i="2"/>
  <c r="F55" i="2"/>
  <c r="E57" i="2"/>
  <c r="E47" i="2"/>
  <c r="F67" i="2"/>
  <c r="E46" i="2"/>
  <c r="F46" i="2"/>
  <c r="E44" i="2"/>
  <c r="E41" i="2"/>
  <c r="F41" i="2"/>
  <c r="E42" i="2"/>
  <c r="F42" i="2"/>
  <c r="E43" i="2"/>
  <c r="E25" i="2"/>
  <c r="F25" i="2"/>
  <c r="E26" i="2"/>
  <c r="F26" i="2"/>
  <c r="E37" i="2"/>
  <c r="F37" i="2"/>
  <c r="E38" i="2"/>
  <c r="F38" i="2"/>
  <c r="E40" i="2"/>
  <c r="E36" i="2"/>
  <c r="F36" i="2"/>
  <c r="E39" i="2"/>
  <c r="E11" i="2"/>
  <c r="F11" i="2"/>
  <c r="E28" i="2"/>
  <c r="F28" i="2"/>
  <c r="E29" i="2"/>
  <c r="F29" i="2"/>
  <c r="E31" i="2"/>
  <c r="F31" i="2"/>
  <c r="E32" i="2"/>
  <c r="F32" i="2"/>
  <c r="E8" i="2"/>
  <c r="F8" i="2"/>
  <c r="E34" i="2"/>
  <c r="E12" i="2"/>
  <c r="F12" i="2"/>
  <c r="E14" i="2"/>
  <c r="F14" i="2"/>
  <c r="E13" i="2"/>
  <c r="F13" i="2"/>
  <c r="E16" i="2"/>
  <c r="F16" i="2"/>
  <c r="E19" i="2"/>
  <c r="F19" i="2"/>
  <c r="E17" i="2"/>
  <c r="F17" i="2"/>
  <c r="E33" i="2"/>
  <c r="E30" i="2"/>
  <c r="F39" i="2"/>
  <c r="F40" i="2"/>
  <c r="E27" i="2"/>
  <c r="E21" i="2"/>
  <c r="F21" i="2"/>
  <c r="E22" i="2"/>
  <c r="F22" i="2"/>
  <c r="E35" i="2"/>
  <c r="F35" i="2"/>
  <c r="E24" i="2"/>
  <c r="E23" i="2"/>
  <c r="E15" i="2"/>
  <c r="F15" i="2"/>
  <c r="E18" i="2"/>
  <c r="F18" i="2"/>
  <c r="E20" i="2"/>
  <c r="E10" i="2"/>
  <c r="F30" i="2"/>
  <c r="E9" i="2"/>
  <c r="F9" i="2"/>
  <c r="E7" i="2"/>
  <c r="F7" i="2"/>
  <c r="F10" i="2"/>
  <c r="E2" i="2"/>
  <c r="F2" i="2"/>
  <c r="E3" i="2"/>
  <c r="F3" i="2"/>
  <c r="F20" i="2"/>
  <c r="F23" i="2"/>
  <c r="F27" i="2"/>
  <c r="F43" i="2"/>
  <c r="E4" i="2"/>
  <c r="F4" i="2"/>
  <c r="F47" i="2"/>
  <c r="E5" i="2"/>
  <c r="F5" i="2"/>
  <c r="F44" i="2"/>
  <c r="F57" i="2"/>
  <c r="F80" i="2"/>
  <c r="E6" i="2"/>
  <c r="G50" i="2"/>
  <c r="H50" i="2"/>
  <c r="H52" i="2"/>
  <c r="H53" i="2"/>
  <c r="H55" i="2"/>
  <c r="G57" i="2"/>
  <c r="H57" i="2"/>
  <c r="H70" i="2"/>
  <c r="G49" i="2"/>
  <c r="H49" i="2"/>
  <c r="G51" i="2"/>
  <c r="H51" i="2"/>
  <c r="G54" i="2"/>
  <c r="H54" i="2"/>
  <c r="G56" i="2"/>
  <c r="H56" i="2"/>
  <c r="G82" i="2"/>
  <c r="H82" i="2"/>
  <c r="K33" i="9"/>
  <c r="G7" i="2"/>
  <c r="H7" i="2"/>
  <c r="H9" i="2"/>
  <c r="H30" i="2"/>
  <c r="H31" i="2"/>
  <c r="G8" i="2"/>
  <c r="H8" i="2"/>
  <c r="G11" i="2"/>
  <c r="H11" i="2"/>
  <c r="G28" i="2"/>
  <c r="H28" i="2"/>
  <c r="G29" i="2"/>
  <c r="H29" i="2"/>
  <c r="G32" i="2"/>
  <c r="H32" i="2"/>
  <c r="O33" i="3"/>
  <c r="J7" i="2"/>
  <c r="J9" i="2"/>
  <c r="J30" i="2"/>
  <c r="J31" i="2"/>
  <c r="J8" i="2"/>
  <c r="J11" i="2"/>
  <c r="J28" i="2"/>
  <c r="J29" i="2"/>
  <c r="J32" i="2"/>
  <c r="O35" i="3"/>
  <c r="G44" i="2"/>
  <c r="H44" i="2"/>
  <c r="G45" i="2"/>
  <c r="H45" i="2"/>
  <c r="H46" i="2"/>
  <c r="H47" i="2"/>
  <c r="G48" i="2"/>
  <c r="H48" i="2"/>
  <c r="G59" i="2"/>
  <c r="H59" i="2"/>
  <c r="G63" i="2"/>
  <c r="H63" i="2"/>
  <c r="G65" i="2"/>
  <c r="H65" i="2"/>
  <c r="G66" i="2"/>
  <c r="H66" i="2"/>
  <c r="H67" i="2"/>
  <c r="H68" i="2"/>
  <c r="G69" i="2"/>
  <c r="H69" i="2"/>
  <c r="H71" i="2"/>
  <c r="G72" i="2"/>
  <c r="H72" i="2"/>
  <c r="G75" i="2"/>
  <c r="H75" i="2"/>
  <c r="H78" i="2"/>
  <c r="G79" i="2"/>
  <c r="H79" i="2"/>
  <c r="H80" i="2"/>
  <c r="F81" i="2"/>
  <c r="H81" i="2"/>
  <c r="G83" i="2"/>
  <c r="H83" i="2"/>
  <c r="E21" i="9"/>
  <c r="G20" i="2"/>
  <c r="H20" i="2"/>
  <c r="G12" i="2"/>
  <c r="H12" i="2"/>
  <c r="G13" i="2"/>
  <c r="H13" i="2"/>
  <c r="G14" i="2"/>
  <c r="H14" i="2"/>
  <c r="H15" i="2"/>
  <c r="H16" i="2"/>
  <c r="G17" i="2"/>
  <c r="H17" i="2"/>
  <c r="H18" i="2"/>
  <c r="G19" i="2"/>
  <c r="H19" i="2"/>
  <c r="F33" i="2"/>
  <c r="H33" i="2"/>
  <c r="K33" i="3"/>
  <c r="W37" i="9"/>
  <c r="S37" i="9"/>
  <c r="O37" i="9"/>
  <c r="K37" i="9"/>
  <c r="W37" i="3"/>
  <c r="S37" i="3"/>
  <c r="O37" i="3"/>
  <c r="K37" i="3"/>
  <c r="AA33" i="9"/>
  <c r="O33" i="9"/>
  <c r="H41" i="2"/>
  <c r="G42" i="2"/>
  <c r="H42" i="2"/>
  <c r="H43" i="2"/>
  <c r="AA33" i="3"/>
  <c r="H23" i="2"/>
  <c r="F24" i="2"/>
  <c r="H24" i="2"/>
  <c r="G35" i="2"/>
  <c r="H35" i="2"/>
  <c r="H21" i="2"/>
  <c r="G22" i="2"/>
  <c r="H22" i="2"/>
  <c r="W33" i="3"/>
  <c r="H25" i="2"/>
  <c r="G26" i="2"/>
  <c r="H26" i="2"/>
  <c r="H27" i="2"/>
  <c r="H36" i="2"/>
  <c r="H37" i="2"/>
  <c r="G38" i="2"/>
  <c r="H38" i="2"/>
  <c r="H39" i="2"/>
  <c r="H40" i="2"/>
  <c r="S33" i="3"/>
  <c r="F34" i="2"/>
  <c r="H34" i="2"/>
  <c r="K12" i="2"/>
  <c r="K13" i="2"/>
  <c r="K14" i="2"/>
  <c r="K15" i="2"/>
  <c r="D7" i="3"/>
  <c r="D11" i="9"/>
  <c r="D13" i="9"/>
  <c r="D9" i="9"/>
  <c r="D10" i="3"/>
  <c r="D12" i="3"/>
  <c r="H10" i="2"/>
  <c r="E21" i="3"/>
  <c r="D11" i="3"/>
  <c r="D12" i="9"/>
  <c r="D10" i="9"/>
  <c r="E12" i="9"/>
  <c r="E10" i="9"/>
  <c r="E12" i="3"/>
  <c r="E10" i="3"/>
  <c r="AE7" i="3"/>
  <c r="AE6" i="3"/>
  <c r="AB1" i="3"/>
  <c r="X1" i="3"/>
  <c r="T1" i="3"/>
  <c r="P1" i="3"/>
  <c r="L1" i="3"/>
  <c r="H5" i="2"/>
  <c r="F6" i="2"/>
  <c r="H6" i="2"/>
  <c r="H3" i="2"/>
  <c r="H4" i="2"/>
  <c r="H2" i="2"/>
  <c r="F21" i="3"/>
  <c r="F21" i="9"/>
  <c r="AB1" i="9"/>
  <c r="X1" i="9"/>
  <c r="T1" i="9"/>
  <c r="P1" i="9"/>
  <c r="L1" i="9"/>
  <c r="AE7" i="9"/>
  <c r="AE6" i="9"/>
  <c r="E23" i="3"/>
  <c r="E25" i="3"/>
  <c r="E25" i="9"/>
  <c r="F25" i="3"/>
  <c r="F25" i="9"/>
  <c r="D9" i="3"/>
  <c r="E9" i="3"/>
  <c r="E11" i="3"/>
  <c r="D13" i="3"/>
  <c r="E13" i="3"/>
  <c r="E24" i="3"/>
  <c r="E9" i="9"/>
  <c r="E11" i="9"/>
  <c r="E13" i="9"/>
  <c r="E24" i="9"/>
  <c r="F24" i="3"/>
  <c r="F24" i="9"/>
  <c r="E84" i="2"/>
  <c r="E86" i="2"/>
  <c r="E87" i="2"/>
  <c r="K83" i="2"/>
  <c r="K78" i="2"/>
  <c r="K79" i="2"/>
  <c r="K41" i="2"/>
  <c r="K42" i="2"/>
  <c r="K43" i="2"/>
  <c r="K82" i="2"/>
  <c r="K62" i="2"/>
  <c r="K63" i="2"/>
  <c r="K72" i="2"/>
  <c r="K45" i="2"/>
  <c r="K66" i="2"/>
  <c r="K65" i="2"/>
  <c r="K48" i="2"/>
  <c r="K68" i="2"/>
  <c r="K67" i="2"/>
  <c r="K69" i="2"/>
  <c r="K71" i="2"/>
  <c r="K49" i="2"/>
  <c r="K50" i="2"/>
  <c r="K51" i="2"/>
  <c r="K53" i="2"/>
  <c r="K54" i="2"/>
  <c r="K52" i="2"/>
  <c r="K56" i="2"/>
  <c r="K70" i="2"/>
  <c r="K58" i="2"/>
  <c r="K59" i="2"/>
  <c r="K57" i="2"/>
  <c r="K55" i="2"/>
  <c r="K47" i="2"/>
  <c r="K46" i="2"/>
  <c r="K44" i="2"/>
  <c r="K25" i="2"/>
  <c r="K26" i="2"/>
  <c r="K37" i="2"/>
  <c r="K40" i="2"/>
  <c r="K38" i="2"/>
  <c r="K35" i="2"/>
  <c r="K29" i="2"/>
  <c r="K28" i="2"/>
  <c r="K22" i="2"/>
  <c r="K20" i="2"/>
  <c r="K17" i="2"/>
  <c r="K11" i="2"/>
  <c r="K30" i="2"/>
  <c r="K9" i="2"/>
  <c r="K8" i="2"/>
  <c r="K7" i="2"/>
  <c r="K21" i="2"/>
  <c r="K23" i="2"/>
  <c r="K36" i="2"/>
  <c r="K39" i="2"/>
  <c r="K27" i="2"/>
  <c r="K3" i="2"/>
  <c r="K4" i="2"/>
  <c r="K5" i="2"/>
  <c r="K6" i="2"/>
  <c r="K31" i="2"/>
  <c r="K32" i="2"/>
  <c r="K34" i="2"/>
  <c r="K16" i="2"/>
  <c r="K19" i="2"/>
  <c r="K33" i="2"/>
  <c r="K18" i="2"/>
  <c r="J83" i="2"/>
  <c r="AG5" i="2"/>
  <c r="AG6" i="2"/>
  <c r="AG7" i="2"/>
  <c r="AG8" i="2"/>
  <c r="AG9" i="2"/>
  <c r="AG10" i="2"/>
  <c r="AG11" i="2"/>
  <c r="AD10" i="2"/>
  <c r="AD5" i="2"/>
  <c r="AD6" i="2"/>
  <c r="AD7" i="2"/>
  <c r="AD8" i="2"/>
  <c r="AD9" i="2"/>
  <c r="AD11" i="2"/>
  <c r="AF10" i="2"/>
  <c r="AC10" i="2"/>
  <c r="J78" i="2"/>
  <c r="J79" i="2"/>
  <c r="J80" i="2"/>
  <c r="AA35" i="3"/>
  <c r="J72" i="2"/>
  <c r="J59" i="2"/>
  <c r="W35" i="3"/>
  <c r="J75" i="2"/>
  <c r="J63" i="2"/>
  <c r="S35" i="3"/>
  <c r="J69" i="2"/>
  <c r="J48" i="2"/>
  <c r="J65" i="2"/>
  <c r="J66" i="2"/>
  <c r="J67" i="2"/>
  <c r="J68" i="2"/>
  <c r="J46" i="2"/>
  <c r="J45" i="2"/>
  <c r="J44" i="2"/>
  <c r="J71" i="2"/>
  <c r="O34" i="3"/>
  <c r="J56" i="2"/>
  <c r="J82" i="2"/>
  <c r="J49" i="2"/>
  <c r="J50" i="2"/>
  <c r="J51" i="2"/>
  <c r="J52" i="2"/>
  <c r="J53" i="2"/>
  <c r="J54" i="2"/>
  <c r="J55" i="2"/>
  <c r="J57" i="2"/>
  <c r="J70" i="2"/>
  <c r="K35" i="9"/>
  <c r="D7" i="9"/>
  <c r="E23" i="9"/>
  <c r="F23" i="3"/>
  <c r="F23" i="9"/>
  <c r="J47" i="2"/>
  <c r="J81" i="2"/>
  <c r="E22" i="9"/>
  <c r="AP5" i="2"/>
  <c r="AP6" i="2"/>
  <c r="AP7" i="2"/>
  <c r="AM5" i="2"/>
  <c r="AM6" i="2"/>
  <c r="AM7" i="2"/>
  <c r="AM8" i="2"/>
  <c r="AJ5" i="2"/>
  <c r="AJ6" i="2"/>
  <c r="AJ7" i="2"/>
  <c r="AJ8" i="2"/>
  <c r="N5" i="2"/>
  <c r="N6" i="2"/>
  <c r="N7" i="2"/>
  <c r="N8" i="2"/>
  <c r="N9" i="2"/>
  <c r="N10" i="2"/>
  <c r="AO6" i="2"/>
  <c r="AO7" i="2"/>
  <c r="AO5" i="2"/>
  <c r="AL6" i="2"/>
  <c r="AL7" i="2"/>
  <c r="AL8" i="2"/>
  <c r="AL5" i="2"/>
  <c r="AI6" i="2"/>
  <c r="AI7" i="2"/>
  <c r="AI8" i="2"/>
  <c r="AI5" i="2"/>
  <c r="AF6" i="2"/>
  <c r="AF7" i="2"/>
  <c r="AF8" i="2"/>
  <c r="AF9" i="2"/>
  <c r="AF11" i="2"/>
  <c r="AF5" i="2"/>
  <c r="AC6" i="2"/>
  <c r="AC7" i="2"/>
  <c r="AC8" i="2"/>
  <c r="AC9" i="2"/>
  <c r="AC11" i="2"/>
  <c r="AC5" i="2"/>
  <c r="J41" i="2"/>
  <c r="J42" i="2"/>
  <c r="J43" i="2"/>
  <c r="J6" i="2"/>
  <c r="J5" i="2"/>
  <c r="J19" i="2"/>
  <c r="J38" i="2"/>
  <c r="J2" i="2"/>
  <c r="J3" i="2"/>
  <c r="J4" i="2"/>
  <c r="J10" i="2"/>
  <c r="J12" i="2"/>
  <c r="J13" i="2"/>
  <c r="J14" i="2"/>
  <c r="J15" i="2"/>
  <c r="J16" i="2"/>
  <c r="J17" i="2"/>
  <c r="J18" i="2"/>
  <c r="J20" i="2"/>
  <c r="J21" i="2"/>
  <c r="J22" i="2"/>
  <c r="J23" i="2"/>
  <c r="J24" i="2"/>
  <c r="J25" i="2"/>
  <c r="J26" i="2"/>
  <c r="J27" i="2"/>
  <c r="J33" i="2"/>
  <c r="J34" i="2"/>
  <c r="J35" i="2"/>
  <c r="J36" i="2"/>
  <c r="J37" i="2"/>
  <c r="J39" i="2"/>
  <c r="J40" i="2"/>
  <c r="F22" i="9"/>
  <c r="AA36" i="9"/>
  <c r="W36" i="9"/>
  <c r="S36" i="9"/>
  <c r="O35" i="9"/>
  <c r="O36" i="9"/>
  <c r="K36" i="9"/>
  <c r="AA34" i="9"/>
  <c r="W34" i="9"/>
  <c r="S34" i="9"/>
  <c r="O34" i="9"/>
  <c r="K34" i="9"/>
  <c r="E28" i="9"/>
  <c r="E27" i="9"/>
  <c r="D6" i="9"/>
  <c r="E22" i="3"/>
  <c r="F22" i="3"/>
  <c r="AA36" i="3"/>
  <c r="AA34" i="3"/>
  <c r="W36" i="3"/>
  <c r="W34" i="3"/>
  <c r="S36" i="3"/>
  <c r="S34" i="3"/>
  <c r="O36" i="3"/>
  <c r="K35" i="3"/>
  <c r="K36" i="3"/>
  <c r="K34" i="3"/>
  <c r="M10" i="2"/>
  <c r="V7" i="2"/>
  <c r="T7" i="2"/>
  <c r="T5" i="2"/>
  <c r="T6" i="2"/>
  <c r="T8" i="2"/>
  <c r="S7" i="2"/>
  <c r="S8" i="2"/>
  <c r="W7" i="2"/>
  <c r="W5" i="2"/>
  <c r="W6" i="2"/>
  <c r="W8" i="2"/>
  <c r="Z6" i="2"/>
  <c r="Z5" i="2"/>
  <c r="Z7" i="2"/>
  <c r="Y6" i="2"/>
  <c r="Y7" i="2"/>
  <c r="Y5" i="2"/>
  <c r="P7" i="2"/>
  <c r="F85" i="2"/>
  <c r="F86" i="2"/>
  <c r="E27" i="3"/>
  <c r="E28" i="3"/>
  <c r="K24" i="2"/>
  <c r="K10" i="2"/>
  <c r="D6" i="3"/>
  <c r="V6" i="2"/>
  <c r="V8" i="2"/>
  <c r="V5" i="2"/>
  <c r="S6" i="2"/>
  <c r="S5" i="2"/>
  <c r="Q5" i="2"/>
  <c r="Q6" i="2"/>
  <c r="Q7" i="2"/>
  <c r="Q8" i="2"/>
  <c r="Q9" i="2"/>
  <c r="Q10" i="2"/>
  <c r="P6" i="2"/>
  <c r="P8" i="2"/>
  <c r="P9" i="2"/>
  <c r="P10" i="2"/>
  <c r="P5" i="2"/>
  <c r="M6" i="2"/>
  <c r="M7" i="2"/>
  <c r="M8" i="2"/>
  <c r="M9" i="2"/>
  <c r="M5" i="2"/>
  <c r="F87" i="2"/>
  <c r="F84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</calcChain>
</file>

<file path=xl/comments1.xml><?xml version="1.0" encoding="utf-8"?>
<comments xmlns="http://schemas.openxmlformats.org/spreadsheetml/2006/main">
  <authors>
    <author>Author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Red: Input by user
Green: Predefined Input
Black: Dynamically Calculated Variable</t>
        </r>
      </text>
    </comment>
  </commentList>
</comments>
</file>

<file path=xl/sharedStrings.xml><?xml version="1.0" encoding="utf-8"?>
<sst xmlns="http://schemas.openxmlformats.org/spreadsheetml/2006/main" count="461" uniqueCount="276">
  <si>
    <t>Amplitude</t>
  </si>
  <si>
    <t>Link</t>
  </si>
  <si>
    <t>Flow (TAF/m)</t>
  </si>
  <si>
    <t>Description</t>
  </si>
  <si>
    <t>u-1</t>
  </si>
  <si>
    <t>u-2</t>
  </si>
  <si>
    <t>u-3</t>
  </si>
  <si>
    <t>u-4</t>
  </si>
  <si>
    <t>r-1</t>
  </si>
  <si>
    <t>r-2</t>
  </si>
  <si>
    <t>r-3</t>
  </si>
  <si>
    <t>r-4</t>
  </si>
  <si>
    <t>r-5</t>
  </si>
  <si>
    <t>u-5</t>
  </si>
  <si>
    <t>u-6</t>
  </si>
  <si>
    <t>u-7</t>
  </si>
  <si>
    <t>u-8</t>
  </si>
  <si>
    <t>u-9</t>
  </si>
  <si>
    <t>u-10</t>
  </si>
  <si>
    <t>u-11</t>
  </si>
  <si>
    <t>u-12</t>
  </si>
  <si>
    <t>u-13</t>
  </si>
  <si>
    <t>u-15</t>
  </si>
  <si>
    <t>u-16</t>
  </si>
  <si>
    <t>u-17</t>
  </si>
  <si>
    <t>u-18</t>
  </si>
  <si>
    <t>u-19</t>
  </si>
  <si>
    <t>u-20</t>
  </si>
  <si>
    <t>u-21</t>
  </si>
  <si>
    <t>u-22</t>
  </si>
  <si>
    <t>u-23</t>
  </si>
  <si>
    <t>u-24</t>
  </si>
  <si>
    <t>u-25</t>
  </si>
  <si>
    <t>u-26</t>
  </si>
  <si>
    <t>u-27</t>
  </si>
  <si>
    <t>l-1</t>
  </si>
  <si>
    <t>l-2</t>
  </si>
  <si>
    <t>l-3</t>
  </si>
  <si>
    <t>l-4</t>
  </si>
  <si>
    <t>l-5</t>
  </si>
  <si>
    <t>l-6</t>
  </si>
  <si>
    <t>l-7</t>
  </si>
  <si>
    <t>l-8</t>
  </si>
  <si>
    <t>l-9</t>
  </si>
  <si>
    <t>l-10</t>
  </si>
  <si>
    <t>l-11</t>
  </si>
  <si>
    <t>l-12</t>
  </si>
  <si>
    <t>l-13</t>
  </si>
  <si>
    <t>l-15</t>
  </si>
  <si>
    <t>l-16</t>
  </si>
  <si>
    <t>l-17</t>
  </si>
  <si>
    <t>l-18</t>
  </si>
  <si>
    <t>l-19</t>
  </si>
  <si>
    <t>l-20</t>
  </si>
  <si>
    <t>l-21</t>
  </si>
  <si>
    <t>l-22</t>
  </si>
  <si>
    <t>l-23</t>
  </si>
  <si>
    <t>l-24</t>
  </si>
  <si>
    <t>l-25</t>
  </si>
  <si>
    <t>l-26</t>
  </si>
  <si>
    <t>l-27</t>
  </si>
  <si>
    <t>l-28</t>
  </si>
  <si>
    <t>l-29</t>
  </si>
  <si>
    <t>reservoir release</t>
  </si>
  <si>
    <t>river reach between upper basin supply and return nodes</t>
  </si>
  <si>
    <t>river reach between upper and lower basin</t>
  </si>
  <si>
    <t>river reach between lower basin supply and return nodes</t>
  </si>
  <si>
    <t>outflow to the ocean</t>
  </si>
  <si>
    <t>u-28</t>
  </si>
  <si>
    <t>River</t>
  </si>
  <si>
    <t>Upper basin</t>
  </si>
  <si>
    <t>Lower Basin</t>
  </si>
  <si>
    <t>WWTPs release to Suburban outdoor</t>
  </si>
  <si>
    <t>Suburban Indoor to WWTPs</t>
  </si>
  <si>
    <t>WWTPs release to node 2</t>
  </si>
  <si>
    <t>Node 1 to WTP</t>
  </si>
  <si>
    <t>WTP to node 3</t>
  </si>
  <si>
    <t>WTP to node 4</t>
  </si>
  <si>
    <t>GW to node 3</t>
  </si>
  <si>
    <t>WWTPu to node 3</t>
  </si>
  <si>
    <t>Node 3 to Urban indoor</t>
  </si>
  <si>
    <t>Node 3 to Urban outdoor</t>
  </si>
  <si>
    <t>WWTPu to Urban outdoor</t>
  </si>
  <si>
    <t>Urban Indoor to WWTPu</t>
  </si>
  <si>
    <t>Urban Indoor to Urban Outdoor</t>
  </si>
  <si>
    <t>WWTPu to node 2</t>
  </si>
  <si>
    <t>GW to Ag</t>
  </si>
  <si>
    <t>Ag to node 2</t>
  </si>
  <si>
    <t>Ag to GW</t>
  </si>
  <si>
    <t>Node 1 to Rural homes</t>
  </si>
  <si>
    <t>GW to Rural homes</t>
  </si>
  <si>
    <t>Rural homes to node 2</t>
  </si>
  <si>
    <t>GW to node 4</t>
  </si>
  <si>
    <t>WWTPs to node 4</t>
  </si>
  <si>
    <t>Node 4 to Suburban Indoor</t>
  </si>
  <si>
    <t>Node 4 to Suburban outdoor</t>
  </si>
  <si>
    <t>Suburban indoor to Suburban outdoor</t>
  </si>
  <si>
    <t>Urban outdoor to GW</t>
  </si>
  <si>
    <t>Ocean to Desalination plant</t>
  </si>
  <si>
    <t>Nodes equations</t>
  </si>
  <si>
    <t>r1=r2+u4+u20+u16</t>
  </si>
  <si>
    <t>r3=r2+u15+u1+u22+u18</t>
  </si>
  <si>
    <t>u6+u7+u8=u10+u10</t>
  </si>
  <si>
    <t>u5+u23+u24=u25+u26</t>
  </si>
  <si>
    <t>WTP</t>
  </si>
  <si>
    <t>u4=u5+u6</t>
  </si>
  <si>
    <t>Urban Indoor</t>
  </si>
  <si>
    <t>Urban Outdoor</t>
  </si>
  <si>
    <t>WWTPu</t>
  </si>
  <si>
    <t>WWTPs</t>
  </si>
  <si>
    <t>Suburabn Indoor</t>
  </si>
  <si>
    <t>Suburban Outdoor</t>
  </si>
  <si>
    <t>GW</t>
  </si>
  <si>
    <t>Ag</t>
  </si>
  <si>
    <t>Rural Homes</t>
  </si>
  <si>
    <t>u9=u12+u13+u14</t>
  </si>
  <si>
    <t>u10+u11+u13=u28</t>
  </si>
  <si>
    <t>u12=u8+u11+u15</t>
  </si>
  <si>
    <t>u25=u3+u27</t>
  </si>
  <si>
    <t>Suburban Outdoor to GW</t>
  </si>
  <si>
    <t>l-31</t>
  </si>
  <si>
    <t>u29=u26+u27+u2</t>
  </si>
  <si>
    <t>u26=u2+u24+u1</t>
  </si>
  <si>
    <t>u7+u17+u21+u23=u14+u19+u28+u29</t>
  </si>
  <si>
    <t>u16+u17=u18+u19</t>
  </si>
  <si>
    <t>Urban</t>
  </si>
  <si>
    <t>Suburban</t>
  </si>
  <si>
    <t>Groundwater</t>
  </si>
  <si>
    <t>Surface Water</t>
  </si>
  <si>
    <t>Direct Potable Reuse</t>
  </si>
  <si>
    <t>Indirect Potable Reuse</t>
  </si>
  <si>
    <t>Agriculture</t>
  </si>
  <si>
    <t>Flow Data</t>
  </si>
  <si>
    <t>Node 1 to Ag</t>
  </si>
  <si>
    <t>Agricultural</t>
  </si>
  <si>
    <t>u-29</t>
  </si>
  <si>
    <t>Unit Cost ($/AF)</t>
  </si>
  <si>
    <t>Total Cost (K$)</t>
  </si>
  <si>
    <t>Demand Met?</t>
  </si>
  <si>
    <t>Outflow Salinity Requirement</t>
  </si>
  <si>
    <t>Augmented</t>
  </si>
  <si>
    <t>TDS (mg/L)</t>
  </si>
  <si>
    <t>Rural</t>
  </si>
  <si>
    <t>Elbonia Watershed</t>
  </si>
  <si>
    <t>WWTP</t>
  </si>
  <si>
    <t>ag use salinity increase</t>
  </si>
  <si>
    <t>urban and suburban use salinity increase</t>
  </si>
  <si>
    <t>l-30</t>
  </si>
  <si>
    <t>Total Energy (kWh)</t>
  </si>
  <si>
    <t>Source of Energy Use</t>
  </si>
  <si>
    <t>http://www.circleofblue.org/wp-content/uploads/2010/08/EPRI-Volume-4.pdf</t>
  </si>
  <si>
    <t>Outflow to Ocean (TAF)</t>
  </si>
  <si>
    <t>Target Demand (TAF)</t>
  </si>
  <si>
    <t>Total Energy (MWh)</t>
  </si>
  <si>
    <t>Outflow Salinity (mg/L)</t>
  </si>
  <si>
    <t>Table 2: Management Options and Decisions</t>
  </si>
  <si>
    <t>Unit Energy (kWh/m3)</t>
  </si>
  <si>
    <t>Suface Water Treatment</t>
  </si>
  <si>
    <t>Groundwater Pumping</t>
  </si>
  <si>
    <t>Grey Water</t>
  </si>
  <si>
    <t>Desalination</t>
  </si>
  <si>
    <t>Option</t>
  </si>
  <si>
    <t>Environment</t>
  </si>
  <si>
    <t>WWTPs release to node 6</t>
  </si>
  <si>
    <t>Node 5 to WTP</t>
  </si>
  <si>
    <t>WTP to node 8</t>
  </si>
  <si>
    <t>WTP to node 7</t>
  </si>
  <si>
    <t>GW to node 7</t>
  </si>
  <si>
    <t>WWTPu to node 7</t>
  </si>
  <si>
    <t>Node 7 to Urban indoor</t>
  </si>
  <si>
    <t>Node 7 to Urban outdoor</t>
  </si>
  <si>
    <t>WWTPu to node 6</t>
  </si>
  <si>
    <t>Node 5 to Ag</t>
  </si>
  <si>
    <t>Ag to node 6</t>
  </si>
  <si>
    <t>Node 5 to Rural homes</t>
  </si>
  <si>
    <t>Rural homes to node 6</t>
  </si>
  <si>
    <t>GW to node 8</t>
  </si>
  <si>
    <t>WWTPs to node 8</t>
  </si>
  <si>
    <t>Node 8 to Suburban Indoor</t>
  </si>
  <si>
    <t>Node 8 to Suburban outdoor</t>
  </si>
  <si>
    <t>Desalination Plant to node 7</t>
  </si>
  <si>
    <t>l-32</t>
  </si>
  <si>
    <t>l-33</t>
  </si>
  <si>
    <t>ΔGW at the node</t>
  </si>
  <si>
    <t>The Ghyben-Herzberg ratio states, for every foot of fresh water in an unconfined aquifer above sea level, there will be forty feet of fresh water in the aquifer below sea level.</t>
  </si>
  <si>
    <t>z=40h</t>
  </si>
  <si>
    <t>New water level</t>
  </si>
  <si>
    <t>WWTPu to Ag</t>
  </si>
  <si>
    <t>u-30</t>
  </si>
  <si>
    <t>l-34</t>
  </si>
  <si>
    <t>u-31</t>
  </si>
  <si>
    <t>u-32</t>
  </si>
  <si>
    <t>u-33</t>
  </si>
  <si>
    <t>u-34</t>
  </si>
  <si>
    <t>u-35</t>
  </si>
  <si>
    <t>u-36</t>
  </si>
  <si>
    <t>u-37</t>
  </si>
  <si>
    <t>u-38</t>
  </si>
  <si>
    <t>l-35</t>
  </si>
  <si>
    <t>l-36</t>
  </si>
  <si>
    <t>l-37</t>
  </si>
  <si>
    <t>l-38</t>
  </si>
  <si>
    <t>l-39</t>
  </si>
  <si>
    <t>l-40</t>
  </si>
  <si>
    <t>Rural homes - outdoor</t>
  </si>
  <si>
    <t>Rural homes - indoor</t>
  </si>
  <si>
    <t>Grey Water for Rural homes</t>
  </si>
  <si>
    <t>Return flow from Rural outdoor</t>
  </si>
  <si>
    <t>Return flow from Rural indoor</t>
  </si>
  <si>
    <t>Node 1 to Environment</t>
  </si>
  <si>
    <t>GW to Environment</t>
  </si>
  <si>
    <t>Return flow from Environment</t>
  </si>
  <si>
    <t>Total Cost ($)</t>
  </si>
  <si>
    <t xml:space="preserve">WWTP Return Flow to Surface </t>
  </si>
  <si>
    <t>-</t>
  </si>
  <si>
    <t>UPPER BASIN</t>
  </si>
  <si>
    <t>Wastew. Reuse Ratio (%)</t>
  </si>
  <si>
    <t>% of Regional Cost</t>
  </si>
  <si>
    <t>% of Regional Energy Use</t>
  </si>
  <si>
    <t>Table 3: Sectoral Performance</t>
  </si>
  <si>
    <t>Table 1: Demands and Supplies</t>
  </si>
  <si>
    <t>Avg. Wastew. Reuse Ratio (%)</t>
  </si>
  <si>
    <t>Node 5 to Environment</t>
  </si>
  <si>
    <t>LOWER BASIN</t>
  </si>
  <si>
    <t>Unit Energy Use - Greywater</t>
  </si>
  <si>
    <t>https://www.google.com/url?sa=t&amp;rct=j&amp;q=&amp;esrc=s&amp;source=web&amp;cd=2&amp;cad=rja&amp;uact=8&amp;ved=0ahUKEwiX_fD3xK3NAhVGzmMKHbTqAUEQFggrMAE&amp;url=http%3A%2F%2Finnovation.luskin.ucla.edu%2Fsites%2Fdefault%2Ffiles%2FCost-Benefit%2520Analysis%2520of%2520Onsite%2520Residential%2520Graywater%2520Recycling.pdf&amp;usg=AFQjCNF-3KAJ7iFktOu9h5ElPir8GyRMXQ&amp;sig2=q-mbMYiUgHsNqs6B8nl4pA</t>
  </si>
  <si>
    <t>Note: Units are Thousand Acre-Feet (TAF)</t>
  </si>
  <si>
    <t>Desalination Plant to node 8</t>
  </si>
  <si>
    <t>l-43</t>
  </si>
  <si>
    <t>label</t>
  </si>
  <si>
    <t>SW</t>
  </si>
  <si>
    <t>DPR</t>
  </si>
  <si>
    <t>IPR</t>
  </si>
  <si>
    <t>GreyW</t>
  </si>
  <si>
    <t>D</t>
  </si>
  <si>
    <t>C</t>
  </si>
  <si>
    <t>IE</t>
  </si>
  <si>
    <t>OR</t>
  </si>
  <si>
    <t>Note: Regional = Upper Basin + Lower Basin</t>
  </si>
  <si>
    <t>Groundwater (GW)</t>
  </si>
  <si>
    <t>Surface Water (SW)</t>
  </si>
  <si>
    <t>Direct Potable Reuse (DPR)</t>
  </si>
  <si>
    <t>Indirect Potable Reuse (IPR)</t>
  </si>
  <si>
    <t>Grey Water (GreyW)</t>
  </si>
  <si>
    <t>Desalination (D)</t>
  </si>
  <si>
    <t xml:space="preserve">Conservation (C) </t>
  </si>
  <si>
    <t>Irrigation Efficiency (IE)</t>
  </si>
  <si>
    <t>On-site Reuse (OR)</t>
  </si>
  <si>
    <t>Unit Energy Use - Desalination</t>
  </si>
  <si>
    <t>https://watereuse.org/wp-content/uploads/2015/10/Power_consumption_white_paper.pdf</t>
  </si>
  <si>
    <t>h</t>
  </si>
  <si>
    <t>z</t>
  </si>
  <si>
    <t xml:space="preserve">Source: </t>
  </si>
  <si>
    <t>https://en.wikipedia.org/wiki/Saltwater_intrusion</t>
  </si>
  <si>
    <t>z / h ratio</t>
  </si>
  <si>
    <t>#</t>
  </si>
  <si>
    <t>Saltwater Intrusion</t>
  </si>
  <si>
    <t>Empirical relation between pumping from gw and return flow to gw and depth of water table above sea level (h)</t>
  </si>
  <si>
    <t>β</t>
  </si>
  <si>
    <t>α</t>
  </si>
  <si>
    <t>.</t>
  </si>
  <si>
    <t>rural use salinity increase</t>
  </si>
  <si>
    <t>DESALINATION PLANT</t>
  </si>
  <si>
    <t>salinity barrier reduction</t>
  </si>
  <si>
    <t>Original fresh water level below sea level</t>
  </si>
  <si>
    <t>z Freshwater in the aquifer below sea level</t>
  </si>
  <si>
    <t>water release salinity (mg/L)</t>
  </si>
  <si>
    <t>Table 4: Cost of Options</t>
  </si>
  <si>
    <t>Table 5: Basinwide and Regional Performace</t>
  </si>
  <si>
    <t>Max. Water Availability (TAF)</t>
  </si>
  <si>
    <t>Groundwater Overdraft (TAF)</t>
  </si>
  <si>
    <t>Meeting All Target Demands (%)</t>
  </si>
  <si>
    <t>Conservation (C)</t>
  </si>
  <si>
    <t>Upper Basin</t>
  </si>
  <si>
    <t>Full Basin</t>
  </si>
  <si>
    <r>
      <rPr>
        <sz val="11"/>
        <color theme="1"/>
        <rFont val="Calibri"/>
        <family val="2"/>
      </rPr>
      <t>∆</t>
    </r>
    <r>
      <rPr>
        <sz val="11"/>
        <color theme="1"/>
        <rFont val="Arial"/>
        <family val="2"/>
      </rPr>
      <t xml:space="preserve">h =  β * </t>
    </r>
    <r>
      <rPr>
        <sz val="16"/>
        <color theme="1"/>
        <rFont val="Arial"/>
        <family val="2"/>
      </rPr>
      <t>Σ</t>
    </r>
    <r>
      <rPr>
        <sz val="11"/>
        <color theme="1"/>
        <rFont val="Arial"/>
        <family val="2"/>
      </rPr>
      <t>recharge - α * Σpumping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</si>
</sst>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#,##0.000"/>
    <numFmt numFmtId="166" formatCode="0.0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C00000"/>
      <name val="Arial"/>
      <family val="2"/>
    </font>
    <font>
      <sz val="11"/>
      <color rgb="FF92D05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sz val="11"/>
      <color theme="6" tint="-0.499984740745262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Arial"/>
      <family val="2"/>
    </font>
    <font>
      <sz val="11"/>
      <color theme="0" tint="-0.34998626667073579"/>
      <name val="Arial"/>
      <family val="2"/>
    </font>
    <font>
      <sz val="11"/>
      <name val="Arial"/>
      <family val="2"/>
    </font>
    <font>
      <sz val="12"/>
      <color rgb="FF000000"/>
      <name val="Arial Black"/>
      <family val="2"/>
    </font>
    <font>
      <b/>
      <sz val="14"/>
      <color theme="0" tint="-0.249977111117893"/>
      <name val="Arial"/>
      <family val="2"/>
    </font>
    <font>
      <sz val="11"/>
      <color theme="0" tint="-0.249977111117893"/>
      <name val="Arial"/>
      <family val="2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CFFCC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 style="medium">
        <color rgb="FFC00000"/>
      </bottom>
      <diagonal/>
    </border>
    <border>
      <left/>
      <right style="medium">
        <color auto="1"/>
      </right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 style="thin">
        <color auto="1"/>
      </left>
      <right/>
      <top/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/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/>
      <top style="medium">
        <color rgb="FFC00000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10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56">
    <xf numFmtId="0" fontId="0" fillId="0" borderId="0" xfId="0"/>
    <xf numFmtId="0" fontId="3" fillId="2" borderId="0" xfId="0" applyFont="1" applyFill="1" applyBorder="1"/>
    <xf numFmtId="0" fontId="3" fillId="0" borderId="0" xfId="0" applyFont="1"/>
    <xf numFmtId="0" fontId="1" fillId="0" borderId="0" xfId="0" applyFont="1"/>
    <xf numFmtId="0" fontId="3" fillId="5" borderId="1" xfId="0" applyFont="1" applyFill="1" applyBorder="1"/>
    <xf numFmtId="0" fontId="3" fillId="3" borderId="1" xfId="0" applyFont="1" applyFill="1" applyBorder="1"/>
    <xf numFmtId="0" fontId="3" fillId="4" borderId="0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4" fillId="5" borderId="2" xfId="0" applyFont="1" applyFill="1" applyBorder="1"/>
    <xf numFmtId="0" fontId="3" fillId="5" borderId="3" xfId="0" applyFont="1" applyFill="1" applyBorder="1"/>
    <xf numFmtId="0" fontId="4" fillId="5" borderId="4" xfId="0" applyFont="1" applyFill="1" applyBorder="1"/>
    <xf numFmtId="0" fontId="4" fillId="5" borderId="5" xfId="0" applyFont="1" applyFill="1" applyBorder="1"/>
    <xf numFmtId="0" fontId="3" fillId="5" borderId="6" xfId="0" applyFont="1" applyFill="1" applyBorder="1"/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 textRotation="90"/>
    </xf>
    <xf numFmtId="0" fontId="0" fillId="0" borderId="17" xfId="0" applyBorder="1"/>
    <xf numFmtId="2" fontId="9" fillId="5" borderId="3" xfId="0" applyNumberFormat="1" applyFont="1" applyFill="1" applyBorder="1"/>
    <xf numFmtId="2" fontId="3" fillId="5" borderId="1" xfId="0" applyNumberFormat="1" applyFont="1" applyFill="1" applyBorder="1"/>
    <xf numFmtId="2" fontId="3" fillId="5" borderId="6" xfId="0" applyNumberFormat="1" applyFont="1" applyFill="1" applyBorder="1"/>
    <xf numFmtId="2" fontId="3" fillId="3" borderId="3" xfId="0" applyNumberFormat="1" applyFont="1" applyFill="1" applyBorder="1"/>
    <xf numFmtId="2" fontId="9" fillId="3" borderId="1" xfId="0" applyNumberFormat="1" applyFont="1" applyFill="1" applyBorder="1"/>
    <xf numFmtId="2" fontId="3" fillId="3" borderId="1" xfId="0" applyNumberFormat="1" applyFont="1" applyFill="1" applyBorder="1"/>
    <xf numFmtId="2" fontId="10" fillId="3" borderId="1" xfId="0" applyNumberFormat="1" applyFont="1" applyFill="1" applyBorder="1"/>
    <xf numFmtId="2" fontId="3" fillId="5" borderId="3" xfId="0" applyNumberFormat="1" applyFont="1" applyFill="1" applyBorder="1"/>
    <xf numFmtId="0" fontId="2" fillId="4" borderId="8" xfId="0" applyFont="1" applyFill="1" applyBorder="1" applyAlignment="1">
      <alignment horizontal="center" vertical="center" wrapText="1"/>
    </xf>
    <xf numFmtId="0" fontId="3" fillId="0" borderId="0" xfId="0" applyFont="1" applyBorder="1"/>
    <xf numFmtId="0" fontId="0" fillId="0" borderId="0" xfId="0" applyBorder="1"/>
    <xf numFmtId="0" fontId="0" fillId="0" borderId="18" xfId="0" applyBorder="1"/>
    <xf numFmtId="0" fontId="0" fillId="7" borderId="1" xfId="0" applyFill="1" applyBorder="1"/>
    <xf numFmtId="0" fontId="0" fillId="4" borderId="1" xfId="0" applyFill="1" applyBorder="1"/>
    <xf numFmtId="0" fontId="0" fillId="0" borderId="0" xfId="0" applyFill="1"/>
    <xf numFmtId="0" fontId="0" fillId="8" borderId="1" xfId="0" applyFill="1" applyBorder="1"/>
    <xf numFmtId="0" fontId="0" fillId="0" borderId="13" xfId="0" applyBorder="1"/>
    <xf numFmtId="0" fontId="14" fillId="0" borderId="19" xfId="0" applyFont="1" applyBorder="1"/>
    <xf numFmtId="0" fontId="0" fillId="0" borderId="19" xfId="0" applyBorder="1"/>
    <xf numFmtId="0" fontId="0" fillId="0" borderId="15" xfId="0" applyBorder="1"/>
    <xf numFmtId="0" fontId="0" fillId="0" borderId="0" xfId="0" applyFill="1" applyBorder="1"/>
    <xf numFmtId="0" fontId="0" fillId="0" borderId="17" xfId="0" applyFill="1" applyBorder="1"/>
    <xf numFmtId="0" fontId="0" fillId="0" borderId="14" xfId="0" applyBorder="1"/>
    <xf numFmtId="0" fontId="0" fillId="0" borderId="20" xfId="0" applyBorder="1"/>
    <xf numFmtId="0" fontId="0" fillId="0" borderId="16" xfId="0" applyBorder="1"/>
    <xf numFmtId="0" fontId="0" fillId="7" borderId="21" xfId="0" applyFill="1" applyBorder="1"/>
    <xf numFmtId="0" fontId="0" fillId="8" borderId="21" xfId="0" applyFill="1" applyBorder="1"/>
    <xf numFmtId="0" fontId="0" fillId="4" borderId="21" xfId="0" applyFill="1" applyBorder="1"/>
    <xf numFmtId="1" fontId="0" fillId="4" borderId="1" xfId="0" applyNumberFormat="1" applyFill="1" applyBorder="1" applyAlignment="1">
      <alignment horizontal="center" vertical="center"/>
    </xf>
    <xf numFmtId="9" fontId="0" fillId="4" borderId="1" xfId="0" applyNumberFormat="1" applyFill="1" applyBorder="1" applyAlignment="1">
      <alignment horizontal="center" vertical="center"/>
    </xf>
    <xf numFmtId="0" fontId="0" fillId="0" borderId="18" xfId="0" applyFill="1" applyBorder="1"/>
    <xf numFmtId="0" fontId="1" fillId="0" borderId="1" xfId="0" applyFont="1" applyBorder="1"/>
    <xf numFmtId="0" fontId="0" fillId="0" borderId="0" xfId="0" applyBorder="1" applyAlignment="1">
      <alignment horizontal="center"/>
    </xf>
    <xf numFmtId="0" fontId="0" fillId="0" borderId="0" xfId="0" applyFont="1" applyBorder="1"/>
    <xf numFmtId="0" fontId="13" fillId="0" borderId="0" xfId="0" applyFont="1" applyFill="1" applyBorder="1" applyAlignment="1"/>
    <xf numFmtId="0" fontId="0" fillId="0" borderId="23" xfId="0" applyFill="1" applyBorder="1"/>
    <xf numFmtId="0" fontId="0" fillId="0" borderId="23" xfId="0" applyBorder="1"/>
    <xf numFmtId="0" fontId="0" fillId="0" borderId="24" xfId="0" applyBorder="1"/>
    <xf numFmtId="0" fontId="0" fillId="0" borderId="23" xfId="0" applyBorder="1" applyAlignment="1">
      <alignment horizontal="center"/>
    </xf>
    <xf numFmtId="0" fontId="0" fillId="0" borderId="0" xfId="0" applyBorder="1" applyAlignment="1"/>
    <xf numFmtId="0" fontId="0" fillId="0" borderId="23" xfId="0" applyBorder="1" applyAlignment="1"/>
    <xf numFmtId="0" fontId="13" fillId="0" borderId="19" xfId="0" applyFont="1" applyBorder="1"/>
    <xf numFmtId="0" fontId="13" fillId="0" borderId="22" xfId="0" applyFont="1" applyBorder="1"/>
    <xf numFmtId="0" fontId="3" fillId="2" borderId="1" xfId="0" applyFont="1" applyFill="1" applyBorder="1"/>
    <xf numFmtId="10" fontId="3" fillId="2" borderId="1" xfId="0" applyNumberFormat="1" applyFont="1" applyFill="1" applyBorder="1"/>
    <xf numFmtId="0" fontId="3" fillId="0" borderId="0" xfId="0" applyFont="1" applyFill="1"/>
    <xf numFmtId="0" fontId="0" fillId="0" borderId="29" xfId="0" applyBorder="1"/>
    <xf numFmtId="0" fontId="0" fillId="4" borderId="30" xfId="0" applyFill="1" applyBorder="1" applyAlignment="1">
      <alignment horizontal="left" vertical="center"/>
    </xf>
    <xf numFmtId="0" fontId="0" fillId="4" borderId="30" xfId="0" applyFill="1" applyBorder="1" applyAlignment="1">
      <alignment horizontal="center" vertical="center"/>
    </xf>
    <xf numFmtId="0" fontId="0" fillId="0" borderId="31" xfId="0" applyFill="1" applyBorder="1"/>
    <xf numFmtId="0" fontId="0" fillId="0" borderId="32" xfId="0" applyFill="1" applyBorder="1"/>
    <xf numFmtId="0" fontId="0" fillId="0" borderId="29" xfId="0" applyFill="1" applyBorder="1"/>
    <xf numFmtId="0" fontId="0" fillId="7" borderId="30" xfId="0" applyFill="1" applyBorder="1"/>
    <xf numFmtId="0" fontId="0" fillId="0" borderId="33" xfId="0" applyFill="1" applyBorder="1"/>
    <xf numFmtId="0" fontId="0" fillId="8" borderId="30" xfId="0" applyFill="1" applyBorder="1"/>
    <xf numFmtId="0" fontId="0" fillId="6" borderId="30" xfId="0" applyFill="1" applyBorder="1"/>
    <xf numFmtId="0" fontId="0" fillId="0" borderId="32" xfId="0" applyFill="1" applyBorder="1" applyAlignment="1">
      <alignment horizontal="center" vertical="center"/>
    </xf>
    <xf numFmtId="0" fontId="0" fillId="3" borderId="30" xfId="0" applyFill="1" applyBorder="1"/>
    <xf numFmtId="0" fontId="0" fillId="0" borderId="31" xfId="0" applyBorder="1"/>
    <xf numFmtId="0" fontId="0" fillId="0" borderId="32" xfId="0" applyBorder="1"/>
    <xf numFmtId="0" fontId="1" fillId="0" borderId="32" xfId="0" applyFont="1" applyFill="1" applyBorder="1" applyAlignment="1">
      <alignment horizontal="center"/>
    </xf>
    <xf numFmtId="0" fontId="0" fillId="0" borderId="33" xfId="0" applyBorder="1"/>
    <xf numFmtId="1" fontId="3" fillId="3" borderId="1" xfId="0" applyNumberFormat="1" applyFont="1" applyFill="1" applyBorder="1"/>
    <xf numFmtId="3" fontId="3" fillId="5" borderId="3" xfId="0" applyNumberFormat="1" applyFont="1" applyFill="1" applyBorder="1"/>
    <xf numFmtId="3" fontId="3" fillId="5" borderId="1" xfId="0" applyNumberFormat="1" applyFont="1" applyFill="1" applyBorder="1"/>
    <xf numFmtId="3" fontId="3" fillId="5" borderId="6" xfId="0" applyNumberFormat="1" applyFont="1" applyFill="1" applyBorder="1"/>
    <xf numFmtId="3" fontId="3" fillId="3" borderId="3" xfId="0" applyNumberFormat="1" applyFont="1" applyFill="1" applyBorder="1"/>
    <xf numFmtId="3" fontId="3" fillId="3" borderId="1" xfId="0" applyNumberFormat="1" applyFont="1" applyFill="1" applyBorder="1"/>
    <xf numFmtId="3" fontId="0" fillId="0" borderId="1" xfId="0" applyNumberFormat="1" applyBorder="1" applyAlignment="1">
      <alignment horizontal="center" vertical="center"/>
    </xf>
    <xf numFmtId="165" fontId="3" fillId="5" borderId="3" xfId="0" applyNumberFormat="1" applyFont="1" applyFill="1" applyBorder="1"/>
    <xf numFmtId="165" fontId="3" fillId="5" borderId="1" xfId="0" applyNumberFormat="1" applyFont="1" applyFill="1" applyBorder="1"/>
    <xf numFmtId="165" fontId="3" fillId="5" borderId="6" xfId="0" applyNumberFormat="1" applyFont="1" applyFill="1" applyBorder="1"/>
    <xf numFmtId="165" fontId="3" fillId="3" borderId="3" xfId="0" applyNumberFormat="1" applyFont="1" applyFill="1" applyBorder="1"/>
    <xf numFmtId="165" fontId="3" fillId="3" borderId="1" xfId="0" applyNumberFormat="1" applyFont="1" applyFill="1" applyBorder="1"/>
    <xf numFmtId="0" fontId="16" fillId="2" borderId="0" xfId="0" applyFont="1" applyFill="1" applyBorder="1"/>
    <xf numFmtId="0" fontId="8" fillId="0" borderId="19" xfId="0" applyFont="1" applyFill="1" applyBorder="1" applyAlignment="1">
      <alignment horizontal="center"/>
    </xf>
    <xf numFmtId="0" fontId="0" fillId="0" borderId="37" xfId="0" applyBorder="1"/>
    <xf numFmtId="0" fontId="5" fillId="0" borderId="0" xfId="0" applyFont="1" applyFill="1" applyBorder="1" applyAlignment="1">
      <alignment horizontal="center" vertical="center" textRotation="90"/>
    </xf>
    <xf numFmtId="0" fontId="0" fillId="3" borderId="49" xfId="0" applyFill="1" applyBorder="1"/>
    <xf numFmtId="0" fontId="0" fillId="6" borderId="48" xfId="0" applyFill="1" applyBorder="1"/>
    <xf numFmtId="10" fontId="0" fillId="0" borderId="18" xfId="0" applyNumberFormat="1" applyBorder="1"/>
    <xf numFmtId="0" fontId="0" fillId="10" borderId="30" xfId="0" applyFill="1" applyBorder="1"/>
    <xf numFmtId="0" fontId="0" fillId="0" borderId="19" xfId="0" applyBorder="1" applyAlignment="1">
      <alignment horizontal="center" vertical="center"/>
    </xf>
    <xf numFmtId="1" fontId="3" fillId="3" borderId="38" xfId="0" applyNumberFormat="1" applyFont="1" applyFill="1" applyBorder="1"/>
    <xf numFmtId="0" fontId="3" fillId="3" borderId="44" xfId="0" applyFont="1" applyFill="1" applyBorder="1"/>
    <xf numFmtId="2" fontId="3" fillId="3" borderId="45" xfId="0" applyNumberFormat="1" applyFont="1" applyFill="1" applyBorder="1"/>
    <xf numFmtId="165" fontId="3" fillId="3" borderId="45" xfId="0" applyNumberFormat="1" applyFont="1" applyFill="1" applyBorder="1"/>
    <xf numFmtId="3" fontId="3" fillId="3" borderId="45" xfId="0" applyNumberFormat="1" applyFont="1" applyFill="1" applyBorder="1"/>
    <xf numFmtId="1" fontId="3" fillId="3" borderId="46" xfId="0" applyNumberFormat="1" applyFont="1" applyFill="1" applyBorder="1"/>
    <xf numFmtId="1" fontId="15" fillId="5" borderId="42" xfId="0" applyNumberFormat="1" applyFont="1" applyFill="1" applyBorder="1"/>
    <xf numFmtId="1" fontId="3" fillId="5" borderId="38" xfId="0" applyNumberFormat="1" applyFont="1" applyFill="1" applyBorder="1"/>
    <xf numFmtId="1" fontId="3" fillId="5" borderId="52" xfId="0" applyNumberFormat="1" applyFont="1" applyFill="1" applyBorder="1"/>
    <xf numFmtId="0" fontId="2" fillId="4" borderId="53" xfId="0" applyFont="1" applyFill="1" applyBorder="1" applyAlignment="1">
      <alignment horizontal="center" vertical="center" wrapText="1"/>
    </xf>
    <xf numFmtId="164" fontId="3" fillId="3" borderId="1" xfId="0" applyNumberFormat="1" applyFont="1" applyFill="1" applyBorder="1"/>
    <xf numFmtId="0" fontId="0" fillId="0" borderId="1" xfId="0" applyBorder="1" applyAlignment="1">
      <alignment horizontal="right" vertical="center"/>
    </xf>
    <xf numFmtId="0" fontId="1" fillId="0" borderId="23" xfId="0" applyFont="1" applyBorder="1"/>
    <xf numFmtId="0" fontId="0" fillId="0" borderId="1" xfId="0" applyBorder="1" applyAlignment="1">
      <alignment horizontal="left" vertical="center"/>
    </xf>
    <xf numFmtId="0" fontId="3" fillId="2" borderId="13" xfId="0" applyFont="1" applyFill="1" applyBorder="1"/>
    <xf numFmtId="0" fontId="3" fillId="2" borderId="19" xfId="0" applyFont="1" applyFill="1" applyBorder="1"/>
    <xf numFmtId="0" fontId="3" fillId="2" borderId="15" xfId="0" applyFont="1" applyFill="1" applyBorder="1"/>
    <xf numFmtId="0" fontId="16" fillId="2" borderId="17" xfId="0" applyFont="1" applyFill="1" applyBorder="1"/>
    <xf numFmtId="0" fontId="3" fillId="2" borderId="18" xfId="0" applyFont="1" applyFill="1" applyBorder="1"/>
    <xf numFmtId="0" fontId="3" fillId="2" borderId="17" xfId="0" applyFont="1" applyFill="1" applyBorder="1"/>
    <xf numFmtId="0" fontId="3" fillId="2" borderId="14" xfId="0" applyFont="1" applyFill="1" applyBorder="1"/>
    <xf numFmtId="0" fontId="3" fillId="2" borderId="20" xfId="0" applyFont="1" applyFill="1" applyBorder="1"/>
    <xf numFmtId="0" fontId="3" fillId="2" borderId="16" xfId="0" applyFont="1" applyFill="1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3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9" xfId="0" applyFont="1" applyBorder="1"/>
    <xf numFmtId="0" fontId="1" fillId="4" borderId="36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4" borderId="30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vertical="center"/>
    </xf>
    <xf numFmtId="0" fontId="0" fillId="8" borderId="1" xfId="0" applyFill="1" applyBorder="1" applyAlignment="1">
      <alignment vertical="center"/>
    </xf>
    <xf numFmtId="0" fontId="3" fillId="2" borderId="0" xfId="0" applyFont="1" applyFill="1" applyBorder="1" applyAlignment="1">
      <alignment horizontal="center"/>
    </xf>
    <xf numFmtId="0" fontId="18" fillId="0" borderId="0" xfId="0" applyFont="1" applyBorder="1" applyAlignment="1">
      <alignment horizontal="left" vertical="center"/>
    </xf>
    <xf numFmtId="1" fontId="0" fillId="0" borderId="0" xfId="0" applyNumberFormat="1" applyBorder="1" applyAlignment="1">
      <alignment horizontal="center" vertical="center"/>
    </xf>
    <xf numFmtId="2" fontId="15" fillId="3" borderId="1" xfId="0" applyNumberFormat="1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2" fontId="3" fillId="4" borderId="3" xfId="0" applyNumberFormat="1" applyFont="1" applyFill="1" applyBorder="1"/>
    <xf numFmtId="166" fontId="3" fillId="4" borderId="3" xfId="0" applyNumberFormat="1" applyFont="1" applyFill="1" applyBorder="1"/>
    <xf numFmtId="3" fontId="3" fillId="4" borderId="3" xfId="0" applyNumberFormat="1" applyFont="1" applyFill="1" applyBorder="1"/>
    <xf numFmtId="0" fontId="3" fillId="4" borderId="4" xfId="0" applyFont="1" applyFill="1" applyBorder="1"/>
    <xf numFmtId="0" fontId="3" fillId="4" borderId="1" xfId="0" applyFont="1" applyFill="1" applyBorder="1"/>
    <xf numFmtId="2" fontId="9" fillId="4" borderId="1" xfId="0" applyNumberFormat="1" applyFont="1" applyFill="1" applyBorder="1"/>
    <xf numFmtId="2" fontId="3" fillId="4" borderId="1" xfId="0" applyNumberFormat="1" applyFont="1" applyFill="1" applyBorder="1"/>
    <xf numFmtId="166" fontId="3" fillId="4" borderId="1" xfId="0" applyNumberFormat="1" applyFont="1" applyFill="1" applyBorder="1"/>
    <xf numFmtId="3" fontId="3" fillId="4" borderId="1" xfId="0" applyNumberFormat="1" applyFont="1" applyFill="1" applyBorder="1"/>
    <xf numFmtId="0" fontId="3" fillId="4" borderId="50" xfId="0" applyFont="1" applyFill="1" applyBorder="1"/>
    <xf numFmtId="0" fontId="3" fillId="4" borderId="21" xfId="0" applyFont="1" applyFill="1" applyBorder="1"/>
    <xf numFmtId="2" fontId="3" fillId="4" borderId="21" xfId="0" applyNumberFormat="1" applyFont="1" applyFill="1" applyBorder="1"/>
    <xf numFmtId="166" fontId="3" fillId="4" borderId="21" xfId="0" applyNumberFormat="1" applyFont="1" applyFill="1" applyBorder="1"/>
    <xf numFmtId="3" fontId="3" fillId="4" borderId="21" xfId="0" applyNumberFormat="1" applyFont="1" applyFill="1" applyBorder="1"/>
    <xf numFmtId="2" fontId="3" fillId="4" borderId="12" xfId="0" applyNumberFormat="1" applyFont="1" applyFill="1" applyBorder="1"/>
    <xf numFmtId="2" fontId="17" fillId="4" borderId="1" xfId="0" applyNumberFormat="1" applyFont="1" applyFill="1" applyBorder="1"/>
    <xf numFmtId="2" fontId="3" fillId="4" borderId="39" xfId="0" applyNumberFormat="1" applyFont="1" applyFill="1" applyBorder="1"/>
    <xf numFmtId="0" fontId="14" fillId="0" borderId="0" xfId="0" applyFont="1" applyBorder="1" applyAlignment="1">
      <alignment vertical="center"/>
    </xf>
    <xf numFmtId="2" fontId="3" fillId="2" borderId="0" xfId="0" applyNumberFormat="1" applyFont="1" applyFill="1" applyBorder="1"/>
    <xf numFmtId="0" fontId="3" fillId="2" borderId="25" xfId="0" applyFont="1" applyFill="1" applyBorder="1"/>
    <xf numFmtId="0" fontId="3" fillId="2" borderId="26" xfId="0" applyFont="1" applyFill="1" applyBorder="1"/>
    <xf numFmtId="1" fontId="3" fillId="2" borderId="1" xfId="0" applyNumberFormat="1" applyFont="1" applyFill="1" applyBorder="1"/>
    <xf numFmtId="164" fontId="3" fillId="2" borderId="1" xfId="0" applyNumberFormat="1" applyFont="1" applyFill="1" applyBorder="1"/>
    <xf numFmtId="1" fontId="21" fillId="3" borderId="42" xfId="0" applyNumberFormat="1" applyFont="1" applyFill="1" applyBorder="1"/>
    <xf numFmtId="1" fontId="21" fillId="3" borderId="38" xfId="0" applyNumberFormat="1" applyFont="1" applyFill="1" applyBorder="1"/>
    <xf numFmtId="1" fontId="21" fillId="4" borderId="42" xfId="0" applyNumberFormat="1" applyFont="1" applyFill="1" applyBorder="1"/>
    <xf numFmtId="1" fontId="21" fillId="4" borderId="38" xfId="0" applyNumberFormat="1" applyFont="1" applyFill="1" applyBorder="1"/>
    <xf numFmtId="1" fontId="21" fillId="4" borderId="51" xfId="0" applyNumberFormat="1" applyFont="1" applyFill="1" applyBorder="1"/>
    <xf numFmtId="1" fontId="21" fillId="4" borderId="43" xfId="0" applyNumberFormat="1" applyFont="1" applyFill="1" applyBorder="1"/>
    <xf numFmtId="166" fontId="3" fillId="3" borderId="1" xfId="0" applyNumberFormat="1" applyFont="1" applyFill="1" applyBorder="1"/>
    <xf numFmtId="0" fontId="3" fillId="3" borderId="41" xfId="0" applyFont="1" applyFill="1" applyBorder="1"/>
    <xf numFmtId="0" fontId="3" fillId="3" borderId="39" xfId="0" applyFont="1" applyFill="1" applyBorder="1"/>
    <xf numFmtId="2" fontId="17" fillId="3" borderId="1" xfId="0" applyNumberFormat="1" applyFont="1" applyFill="1" applyBorder="1"/>
    <xf numFmtId="2" fontId="3" fillId="3" borderId="39" xfId="0" applyNumberFormat="1" applyFont="1" applyFill="1" applyBorder="1"/>
    <xf numFmtId="166" fontId="3" fillId="3" borderId="12" xfId="0" applyNumberFormat="1" applyFont="1" applyFill="1" applyBorder="1"/>
    <xf numFmtId="0" fontId="3" fillId="3" borderId="40" xfId="0" applyFont="1" applyFill="1" applyBorder="1"/>
    <xf numFmtId="0" fontId="3" fillId="3" borderId="5" xfId="0" applyFont="1" applyFill="1" applyBorder="1"/>
    <xf numFmtId="0" fontId="3" fillId="3" borderId="6" xfId="0" applyFont="1" applyFill="1" applyBorder="1"/>
    <xf numFmtId="2" fontId="17" fillId="3" borderId="6" xfId="0" applyNumberFormat="1" applyFont="1" applyFill="1" applyBorder="1"/>
    <xf numFmtId="2" fontId="3" fillId="3" borderId="6" xfId="0" applyNumberFormat="1" applyFont="1" applyFill="1" applyBorder="1"/>
    <xf numFmtId="165" fontId="3" fillId="3" borderId="6" xfId="0" applyNumberFormat="1" applyFont="1" applyFill="1" applyBorder="1"/>
    <xf numFmtId="3" fontId="3" fillId="3" borderId="6" xfId="0" applyNumberFormat="1" applyFont="1" applyFill="1" applyBorder="1"/>
    <xf numFmtId="1" fontId="3" fillId="3" borderId="52" xfId="0" applyNumberFormat="1" applyFont="1" applyFill="1" applyBorder="1"/>
    <xf numFmtId="0" fontId="20" fillId="11" borderId="0" xfId="0" applyFont="1" applyFill="1" applyBorder="1"/>
    <xf numFmtId="2" fontId="20" fillId="11" borderId="0" xfId="0" applyNumberFormat="1" applyFont="1" applyFill="1" applyBorder="1"/>
    <xf numFmtId="0" fontId="21" fillId="11" borderId="0" xfId="0" applyFont="1" applyFill="1" applyBorder="1"/>
    <xf numFmtId="2" fontId="21" fillId="11" borderId="0" xfId="0" applyNumberFormat="1" applyFont="1" applyFill="1" applyBorder="1"/>
    <xf numFmtId="1" fontId="20" fillId="11" borderId="0" xfId="0" applyNumberFormat="1" applyFont="1" applyFill="1"/>
    <xf numFmtId="0" fontId="20" fillId="11" borderId="0" xfId="0" applyFont="1" applyFill="1"/>
    <xf numFmtId="2" fontId="20" fillId="11" borderId="0" xfId="0" applyNumberFormat="1" applyFont="1" applyFill="1"/>
    <xf numFmtId="0" fontId="14" fillId="0" borderId="0" xfId="0" applyFont="1"/>
    <xf numFmtId="9" fontId="1" fillId="9" borderId="30" xfId="0" applyNumberFormat="1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9" fontId="1" fillId="9" borderId="1" xfId="0" applyNumberFormat="1" applyFont="1" applyFill="1" applyBorder="1" applyAlignment="1">
      <alignment horizontal="center" vertical="center"/>
    </xf>
    <xf numFmtId="1" fontId="1" fillId="9" borderId="12" xfId="0" applyNumberFormat="1" applyFont="1" applyFill="1" applyBorder="1" applyAlignment="1">
      <alignment horizontal="center" vertical="center"/>
    </xf>
    <xf numFmtId="1" fontId="1" fillId="9" borderId="1" xfId="0" applyNumberFormat="1" applyFont="1" applyFill="1" applyBorder="1" applyAlignment="1">
      <alignment horizontal="center" vertical="center"/>
    </xf>
    <xf numFmtId="9" fontId="1" fillId="9" borderId="21" xfId="0" applyNumberFormat="1" applyFont="1" applyFill="1" applyBorder="1" applyAlignment="1">
      <alignment horizontal="center" vertical="center"/>
    </xf>
    <xf numFmtId="9" fontId="0" fillId="0" borderId="1" xfId="0" applyNumberFormat="1" applyFont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0" fontId="0" fillId="2" borderId="0" xfId="0" applyFill="1" applyBorder="1"/>
    <xf numFmtId="9" fontId="1" fillId="2" borderId="0" xfId="0" applyNumberFormat="1" applyFont="1" applyFill="1" applyBorder="1" applyAlignment="1">
      <alignment horizontal="center" vertical="center"/>
    </xf>
    <xf numFmtId="0" fontId="24" fillId="0" borderId="1" xfId="0" applyFont="1" applyBorder="1" applyAlignment="1">
      <alignment horizontal="right"/>
    </xf>
    <xf numFmtId="0" fontId="24" fillId="0" borderId="1" xfId="0" applyFont="1" applyBorder="1"/>
    <xf numFmtId="0" fontId="24" fillId="0" borderId="1" xfId="0" applyFont="1" applyFill="1" applyBorder="1" applyAlignment="1">
      <alignment horizontal="right"/>
    </xf>
    <xf numFmtId="0" fontId="24" fillId="0" borderId="1" xfId="0" applyFont="1" applyFill="1" applyBorder="1"/>
    <xf numFmtId="10" fontId="0" fillId="0" borderId="1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3" fontId="0" fillId="0" borderId="25" xfId="0" applyNumberFormat="1" applyBorder="1" applyAlignment="1">
      <alignment horizontal="center" vertical="center"/>
    </xf>
    <xf numFmtId="3" fontId="0" fillId="0" borderId="2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0" fontId="1" fillId="0" borderId="25" xfId="0" applyNumberFormat="1" applyFont="1" applyBorder="1" applyAlignment="1">
      <alignment horizontal="center" vertical="center"/>
    </xf>
    <xf numFmtId="10" fontId="1" fillId="0" borderId="26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" fillId="4" borderId="34" xfId="0" applyFont="1" applyFill="1" applyBorder="1" applyAlignment="1">
      <alignment horizontal="center" vertical="center"/>
    </xf>
    <xf numFmtId="0" fontId="1" fillId="4" borderId="35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/>
    </xf>
    <xf numFmtId="0" fontId="1" fillId="4" borderId="28" xfId="0" applyFont="1" applyFill="1" applyBorder="1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54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3" fontId="0" fillId="0" borderId="1" xfId="0" applyNumberForma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" fillId="0" borderId="25" xfId="0" applyFont="1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9" fontId="0" fillId="0" borderId="25" xfId="0" applyNumberFormat="1" applyBorder="1" applyAlignment="1">
      <alignment horizontal="center"/>
    </xf>
    <xf numFmtId="9" fontId="0" fillId="0" borderId="26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0" fontId="18" fillId="0" borderId="55" xfId="0" applyFont="1" applyBorder="1" applyAlignment="1">
      <alignment horizontal="left" vertical="center"/>
    </xf>
    <xf numFmtId="0" fontId="3" fillId="2" borderId="0" xfId="0" applyFont="1" applyFill="1" applyBorder="1" applyAlignment="1">
      <alignment horizontal="center"/>
    </xf>
    <xf numFmtId="0" fontId="23" fillId="6" borderId="47" xfId="0" applyFont="1" applyFill="1" applyBorder="1" applyAlignment="1">
      <alignment horizontal="center" vertical="center" textRotation="90"/>
    </xf>
    <xf numFmtId="0" fontId="23" fillId="6" borderId="37" xfId="0" applyFont="1" applyFill="1" applyBorder="1" applyAlignment="1">
      <alignment horizontal="center" vertical="center" textRotation="90"/>
    </xf>
    <xf numFmtId="0" fontId="5" fillId="5" borderId="9" xfId="0" applyFont="1" applyFill="1" applyBorder="1" applyAlignment="1">
      <alignment horizontal="center" vertical="center" textRotation="90"/>
    </xf>
    <xf numFmtId="0" fontId="5" fillId="5" borderId="10" xfId="0" applyFont="1" applyFill="1" applyBorder="1" applyAlignment="1">
      <alignment horizontal="center" vertical="center" textRotation="90"/>
    </xf>
    <xf numFmtId="0" fontId="5" fillId="5" borderId="11" xfId="0" applyFont="1" applyFill="1" applyBorder="1" applyAlignment="1">
      <alignment horizontal="center" vertical="center" textRotation="90"/>
    </xf>
    <xf numFmtId="0" fontId="3" fillId="2" borderId="25" xfId="0" applyFont="1" applyFill="1" applyBorder="1" applyAlignment="1">
      <alignment horizontal="center"/>
    </xf>
    <xf numFmtId="0" fontId="3" fillId="2" borderId="26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 textRotation="90"/>
    </xf>
    <xf numFmtId="0" fontId="5" fillId="3" borderId="10" xfId="0" applyFont="1" applyFill="1" applyBorder="1" applyAlignment="1">
      <alignment horizontal="center" vertical="center" textRotation="90"/>
    </xf>
    <xf numFmtId="0" fontId="5" fillId="3" borderId="11" xfId="0" applyFont="1" applyFill="1" applyBorder="1" applyAlignment="1">
      <alignment horizontal="center" vertical="center" textRotation="90"/>
    </xf>
    <xf numFmtId="0" fontId="5" fillId="4" borderId="9" xfId="0" applyFont="1" applyFill="1" applyBorder="1" applyAlignment="1">
      <alignment horizontal="center" vertical="center" textRotation="90"/>
    </xf>
    <xf numFmtId="0" fontId="5" fillId="4" borderId="10" xfId="0" applyFont="1" applyFill="1" applyBorder="1" applyAlignment="1">
      <alignment horizontal="center" vertical="center" textRotation="90"/>
    </xf>
    <xf numFmtId="0" fontId="5" fillId="4" borderId="11" xfId="0" applyFont="1" applyFill="1" applyBorder="1" applyAlignment="1">
      <alignment horizontal="center" vertical="center" textRotation="90"/>
    </xf>
  </cellXfs>
  <cellStyles count="10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Normal" xfId="0" builtinId="0"/>
  </cellStyles>
  <dxfs count="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FFCC00"/>
      <color rgb="FF000000"/>
      <color rgb="FFFFFF99"/>
      <color rgb="FF46704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ELBONIA!$I$7</c:f>
              <c:strCache>
                <c:ptCount val="1"/>
                <c:pt idx="0">
                  <c:v>Elbonia Watershed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</c:spPr>
          </c:dPt>
          <c:dPt>
            <c:idx val="1"/>
            <c:bubble3D val="0"/>
            <c:spPr>
              <a:solidFill>
                <a:schemeClr val="accent3"/>
              </a:solidFill>
            </c:spPr>
          </c:dPt>
          <c:dPt>
            <c:idx val="2"/>
            <c:bubble3D val="0"/>
            <c:spPr>
              <a:solidFill>
                <a:schemeClr val="accent5"/>
              </a:solidFill>
            </c:spPr>
          </c:dPt>
          <c:dPt>
            <c:idx val="3"/>
            <c:bubble3D val="0"/>
            <c:spPr>
              <a:solidFill>
                <a:srgbClr val="00B05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ELBONIA!$I$9:$I$12</c:f>
              <c:strCache>
                <c:ptCount val="4"/>
                <c:pt idx="0">
                  <c:v>Suburban</c:v>
                </c:pt>
                <c:pt idx="1">
                  <c:v>Rural</c:v>
                </c:pt>
                <c:pt idx="2">
                  <c:v>Ag</c:v>
                </c:pt>
                <c:pt idx="3">
                  <c:v>Environment</c:v>
                </c:pt>
              </c:strCache>
            </c:strRef>
          </c:cat>
          <c:val>
            <c:numRef>
              <c:f>ELBONIA!$J$9:$J$12</c:f>
              <c:numCache>
                <c:formatCode>General</c:formatCode>
                <c:ptCount val="4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44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88924478490399"/>
          <c:y val="0.27669050244181698"/>
          <c:w val="0.77476019223350101"/>
          <c:h val="0.60449762404146201"/>
        </c:manualLayout>
      </c:layout>
      <c:pieChart>
        <c:varyColors val="1"/>
        <c:ser>
          <c:idx val="0"/>
          <c:order val="0"/>
          <c:tx>
            <c:strRef>
              <c:f>'upper basin'!$W$4</c:f>
              <c:strCache>
                <c:ptCount val="1"/>
                <c:pt idx="0">
                  <c:v>Agriculture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data!$X$5:$X$8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IPR</c:v>
                </c:pt>
                <c:pt idx="3">
                  <c:v>IE</c:v>
                </c:pt>
              </c:strCache>
            </c:strRef>
          </c:cat>
          <c:val>
            <c:numRef>
              <c:f>data!$W$5:$W$8</c:f>
              <c:numCache>
                <c:formatCode>General</c:formatCode>
                <c:ptCount val="4"/>
                <c:pt idx="0">
                  <c:v>50</c:v>
                </c:pt>
                <c:pt idx="1">
                  <c:v>50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97445907742801"/>
          <c:y val="0.26634387119520497"/>
          <c:w val="0.68899454252260195"/>
          <c:h val="0.60272730834018895"/>
        </c:manualLayout>
      </c:layout>
      <c:pieChart>
        <c:varyColors val="1"/>
        <c:ser>
          <c:idx val="0"/>
          <c:order val="0"/>
          <c:tx>
            <c:strRef>
              <c:f>'upper basin'!$K$4</c:f>
              <c:strCache>
                <c:ptCount val="1"/>
                <c:pt idx="0">
                  <c:v>Urban</c:v>
                </c:pt>
              </c:strCache>
            </c:strRef>
          </c:tx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data!$O$5:$O$10</c:f>
              <c:strCache>
                <c:ptCount val="6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C</c:v>
                </c:pt>
              </c:strCache>
            </c:strRef>
          </c:cat>
          <c:val>
            <c:numRef>
              <c:f>data!$N$5:$N$10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46034463083399"/>
          <c:y val="0.28099937889443199"/>
          <c:w val="0.70768321351135499"/>
          <c:h val="0.62124862254813595"/>
        </c:manualLayout>
      </c:layout>
      <c:pieChart>
        <c:varyColors val="1"/>
        <c:ser>
          <c:idx val="0"/>
          <c:order val="0"/>
          <c:tx>
            <c:strRef>
              <c:f>'upper basin'!$O$4</c:f>
              <c:strCache>
                <c:ptCount val="1"/>
                <c:pt idx="0">
                  <c:v>Suburban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data!$R$5:$R$10</c:f>
              <c:strCache>
                <c:ptCount val="6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C</c:v>
                </c:pt>
              </c:strCache>
            </c:strRef>
          </c:cat>
          <c:val>
            <c:numRef>
              <c:f>data!$Q$5:$Q$10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266919893814"/>
          <c:y val="0.299266037036229"/>
          <c:w val="0.78492224627963403"/>
          <c:h val="0.57129728590020401"/>
        </c:manualLayout>
      </c:layout>
      <c:pieChart>
        <c:varyColors val="1"/>
        <c:ser>
          <c:idx val="0"/>
          <c:order val="0"/>
          <c:tx>
            <c:strRef>
              <c:f>'upper basin'!$S$4</c:f>
              <c:strCache>
                <c:ptCount val="1"/>
                <c:pt idx="0">
                  <c:v>Rural Homes</c:v>
                </c:pt>
              </c:strCache>
            </c:strRef>
          </c:tx>
          <c:explosion val="2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explosion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data!$U$5:$U$8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GreyW</c:v>
                </c:pt>
                <c:pt idx="3">
                  <c:v>C</c:v>
                </c:pt>
              </c:strCache>
            </c:strRef>
          </c:cat>
          <c:val>
            <c:numRef>
              <c:f>data!$T$5:$T$8</c:f>
              <c:numCache>
                <c:formatCode>General</c:formatCode>
                <c:ptCount val="4"/>
                <c:pt idx="0">
                  <c:v>5</c:v>
                </c:pt>
                <c:pt idx="1">
                  <c:v>14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86416917119399"/>
          <c:y val="0.28653060465491098"/>
          <c:w val="0.74263688456856702"/>
          <c:h val="0.59465752182836795"/>
        </c:manualLayout>
      </c:layout>
      <c:pieChart>
        <c:varyColors val="1"/>
        <c:ser>
          <c:idx val="0"/>
          <c:order val="0"/>
          <c:tx>
            <c:strRef>
              <c:f>'upper basin'!$AA$4</c:f>
              <c:strCache>
                <c:ptCount val="1"/>
                <c:pt idx="0">
                  <c:v>Environment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data!$AA$5:$AA$7</c:f>
              <c:strCache>
                <c:ptCount val="3"/>
                <c:pt idx="0">
                  <c:v>GW</c:v>
                </c:pt>
                <c:pt idx="1">
                  <c:v>SW</c:v>
                </c:pt>
                <c:pt idx="2">
                  <c:v>OR</c:v>
                </c:pt>
              </c:strCache>
            </c:strRef>
          </c:cat>
          <c:val>
            <c:numRef>
              <c:f>data!$Z$5:$Z$7</c:f>
              <c:numCache>
                <c:formatCode>General</c:formatCode>
                <c:ptCount val="3"/>
                <c:pt idx="0">
                  <c:v>5</c:v>
                </c:pt>
                <c:pt idx="1">
                  <c:v>15</c:v>
                </c:pt>
                <c:pt idx="2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58341397679999"/>
          <c:y val="0.28161055354836401"/>
          <c:w val="0.78737185384970998"/>
          <c:h val="0.61433772625455496"/>
        </c:manualLayout>
      </c:layout>
      <c:pieChart>
        <c:varyColors val="1"/>
        <c:ser>
          <c:idx val="0"/>
          <c:order val="0"/>
          <c:tx>
            <c:strRef>
              <c:f>'lower basin'!$W$4</c:f>
              <c:strCache>
                <c:ptCount val="1"/>
                <c:pt idx="0">
                  <c:v>Agriculture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data!$AN$5:$AN$8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IPR</c:v>
                </c:pt>
                <c:pt idx="3">
                  <c:v>IE</c:v>
                </c:pt>
              </c:strCache>
            </c:strRef>
          </c:cat>
          <c:val>
            <c:numRef>
              <c:f>data!$AM$5:$AM$8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203607299862999"/>
          <c:y val="0.215746664649106"/>
          <c:w val="0.69654688159822098"/>
          <c:h val="0.661139485420007"/>
        </c:manualLayout>
      </c:layout>
      <c:pieChart>
        <c:varyColors val="1"/>
        <c:ser>
          <c:idx val="0"/>
          <c:order val="0"/>
          <c:tx>
            <c:strRef>
              <c:f>'lower basin'!$K$4</c:f>
              <c:strCache>
                <c:ptCount val="1"/>
                <c:pt idx="0">
                  <c:v>Urban</c:v>
                </c:pt>
              </c:strCache>
            </c:strRef>
          </c:tx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data!$AE$5:$AE$11</c:f>
              <c:strCache>
                <c:ptCount val="7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D</c:v>
                </c:pt>
                <c:pt idx="6">
                  <c:v>C</c:v>
                </c:pt>
              </c:strCache>
            </c:strRef>
          </c:cat>
          <c:val>
            <c:numRef>
              <c:f>data!$AD$5:$AD$11</c:f>
              <c:numCache>
                <c:formatCode>General</c:formatCode>
                <c:ptCount val="7"/>
                <c:pt idx="0">
                  <c:v>5.5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46034463083399"/>
          <c:y val="0.21948704544712"/>
          <c:w val="0.71106516033321898"/>
          <c:h val="0.67860990405245003"/>
        </c:manualLayout>
      </c:layout>
      <c:pieChart>
        <c:varyColors val="1"/>
        <c:ser>
          <c:idx val="0"/>
          <c:order val="0"/>
          <c:tx>
            <c:strRef>
              <c:f>'lower basin'!$O$4</c:f>
              <c:strCache>
                <c:ptCount val="1"/>
                <c:pt idx="0">
                  <c:v>Suburban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data!$AH$5:$AH$11</c:f>
              <c:strCache>
                <c:ptCount val="7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D</c:v>
                </c:pt>
                <c:pt idx="6">
                  <c:v>C</c:v>
                </c:pt>
              </c:strCache>
            </c:strRef>
          </c:cat>
          <c:val>
            <c:numRef>
              <c:f>data!$AG$5:$AG$11</c:f>
              <c:numCache>
                <c:formatCode>General</c:formatCode>
                <c:ptCount val="7"/>
                <c:pt idx="0">
                  <c:v>30</c:v>
                </c:pt>
                <c:pt idx="1">
                  <c:v>12.5</c:v>
                </c:pt>
                <c:pt idx="2">
                  <c:v>1</c:v>
                </c:pt>
                <c:pt idx="3">
                  <c:v>3.5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43500346038801"/>
          <c:y val="0.280798981009727"/>
          <c:w val="0.81798984082213599"/>
          <c:h val="0.60447043384282895"/>
        </c:manualLayout>
      </c:layout>
      <c:pieChart>
        <c:varyColors val="1"/>
        <c:ser>
          <c:idx val="0"/>
          <c:order val="0"/>
          <c:tx>
            <c:strRef>
              <c:f>'lower basin'!$S$4</c:f>
              <c:strCache>
                <c:ptCount val="1"/>
                <c:pt idx="0">
                  <c:v>Rural Homes</c:v>
                </c:pt>
              </c:strCache>
            </c:strRef>
          </c:tx>
          <c:explosion val="2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explosion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data!$AK$5:$AK$8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GreyW</c:v>
                </c:pt>
                <c:pt idx="3">
                  <c:v>C</c:v>
                </c:pt>
              </c:strCache>
            </c:strRef>
          </c:cat>
          <c:val>
            <c:numRef>
              <c:f>data!$AJ$5:$AJ$8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86416917119399"/>
          <c:y val="0.29145065576145701"/>
          <c:w val="0.74263688456856702"/>
          <c:h val="0.59465752182836795"/>
        </c:manualLayout>
      </c:layout>
      <c:pieChart>
        <c:varyColors val="1"/>
        <c:ser>
          <c:idx val="0"/>
          <c:order val="0"/>
          <c:tx>
            <c:strRef>
              <c:f>'lower basin'!$AA$4</c:f>
              <c:strCache>
                <c:ptCount val="1"/>
                <c:pt idx="0">
                  <c:v>Environment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data!$AQ$5:$AQ$7</c:f>
              <c:strCache>
                <c:ptCount val="3"/>
                <c:pt idx="0">
                  <c:v>GW</c:v>
                </c:pt>
                <c:pt idx="1">
                  <c:v>SW</c:v>
                </c:pt>
                <c:pt idx="2">
                  <c:v>OR</c:v>
                </c:pt>
              </c:strCache>
            </c:strRef>
          </c:cat>
          <c:val>
            <c:numRef>
              <c:f>data!$AP$5:$AP$7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Figure 1: Saltwater Intrusion</a:t>
            </a:r>
          </a:p>
        </c:rich>
      </c:tx>
      <c:layout>
        <c:manualLayout>
          <c:xMode val="edge"/>
          <c:yMode val="edge"/>
          <c:x val="0.26070489230621602"/>
          <c:y val="5.636284357202849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8694891783564398E-2"/>
          <c:y val="0.28565393657848698"/>
          <c:w val="0.62754514037882902"/>
          <c:h val="0.59105234310770105"/>
        </c:manualLayout>
      </c:layout>
      <c:areaChart>
        <c:grouping val="standard"/>
        <c:varyColors val="0"/>
        <c:ser>
          <c:idx val="0"/>
          <c:order val="0"/>
          <c:tx>
            <c:strRef>
              <c:f>data!$V$38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  <a:alpha val="40000"/>
              </a:schemeClr>
            </a:solidFill>
            <a:ln>
              <a:solidFill>
                <a:schemeClr val="accent1"/>
              </a:solidFill>
            </a:ln>
            <a:effectLst/>
          </c:spPr>
          <c:val>
            <c:numRef>
              <c:f>data!$V$39:$V$68</c:f>
              <c:numCache>
                <c:formatCode>0.0</c:formatCode>
                <c:ptCount val="30"/>
                <c:pt idx="0">
                  <c:v>9.6627499999999991</c:v>
                </c:pt>
                <c:pt idx="1">
                  <c:v>9.340658333333332</c:v>
                </c:pt>
                <c:pt idx="2">
                  <c:v>9.0185666666666648</c:v>
                </c:pt>
                <c:pt idx="3">
                  <c:v>8.6964749999999977</c:v>
                </c:pt>
                <c:pt idx="4">
                  <c:v>8.3743833333333306</c:v>
                </c:pt>
                <c:pt idx="5">
                  <c:v>8.0522916666666635</c:v>
                </c:pt>
                <c:pt idx="6">
                  <c:v>7.7301999999999973</c:v>
                </c:pt>
                <c:pt idx="7">
                  <c:v>7.4081083333333311</c:v>
                </c:pt>
                <c:pt idx="8">
                  <c:v>7.0860166666666649</c:v>
                </c:pt>
                <c:pt idx="9">
                  <c:v>6.7639249999999986</c:v>
                </c:pt>
                <c:pt idx="10">
                  <c:v>6.4418333333333324</c:v>
                </c:pt>
                <c:pt idx="11">
                  <c:v>6.1197416666666662</c:v>
                </c:pt>
                <c:pt idx="12">
                  <c:v>5.79765</c:v>
                </c:pt>
                <c:pt idx="13">
                  <c:v>5.4755583333333337</c:v>
                </c:pt>
                <c:pt idx="14">
                  <c:v>5.1534666666666675</c:v>
                </c:pt>
                <c:pt idx="15">
                  <c:v>4.8313750000000013</c:v>
                </c:pt>
                <c:pt idx="16">
                  <c:v>4.5092833333333351</c:v>
                </c:pt>
                <c:pt idx="17">
                  <c:v>4.1871916666666689</c:v>
                </c:pt>
                <c:pt idx="18">
                  <c:v>3.8651000000000022</c:v>
                </c:pt>
                <c:pt idx="19">
                  <c:v>3.5430083333333355</c:v>
                </c:pt>
                <c:pt idx="20">
                  <c:v>3.2209166666666689</c:v>
                </c:pt>
                <c:pt idx="21">
                  <c:v>2.8988250000000022</c:v>
                </c:pt>
                <c:pt idx="22">
                  <c:v>2.5767333333333355</c:v>
                </c:pt>
                <c:pt idx="23">
                  <c:v>2.2546416666666689</c:v>
                </c:pt>
                <c:pt idx="24">
                  <c:v>1.9325500000000022</c:v>
                </c:pt>
                <c:pt idx="25">
                  <c:v>1.6104583333333355</c:v>
                </c:pt>
                <c:pt idx="26">
                  <c:v>1.2883666666666689</c:v>
                </c:pt>
                <c:pt idx="27">
                  <c:v>0.96627500000000222</c:v>
                </c:pt>
                <c:pt idx="28">
                  <c:v>0.64418333333333555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strRef>
              <c:f>data!$W$38</c:f>
              <c:strCache>
                <c:ptCount val="1"/>
                <c:pt idx="0">
                  <c:v>z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  <a:alpha val="40000"/>
              </a:schemeClr>
            </a:solidFill>
            <a:ln>
              <a:solidFill>
                <a:schemeClr val="accent1"/>
              </a:solidFill>
            </a:ln>
            <a:effectLst/>
          </c:spPr>
          <c:val>
            <c:numRef>
              <c:f>data!$W$39:$W$68</c:f>
              <c:numCache>
                <c:formatCode>0</c:formatCode>
                <c:ptCount val="30"/>
                <c:pt idx="0">
                  <c:v>-193.255</c:v>
                </c:pt>
                <c:pt idx="1">
                  <c:v>-186.81316666666663</c:v>
                </c:pt>
                <c:pt idx="2">
                  <c:v>-180.3713333333333</c:v>
                </c:pt>
                <c:pt idx="3">
                  <c:v>-173.92949999999996</c:v>
                </c:pt>
                <c:pt idx="4">
                  <c:v>-167.4876666666666</c:v>
                </c:pt>
                <c:pt idx="5">
                  <c:v>-161.04583333333326</c:v>
                </c:pt>
                <c:pt idx="6">
                  <c:v>-154.60399999999996</c:v>
                </c:pt>
                <c:pt idx="7">
                  <c:v>-148.16216666666662</c:v>
                </c:pt>
                <c:pt idx="8">
                  <c:v>-141.72033333333329</c:v>
                </c:pt>
                <c:pt idx="9">
                  <c:v>-135.27849999999998</c:v>
                </c:pt>
                <c:pt idx="10">
                  <c:v>-128.83666666666664</c:v>
                </c:pt>
                <c:pt idx="11">
                  <c:v>-122.39483333333332</c:v>
                </c:pt>
                <c:pt idx="12">
                  <c:v>-115.953</c:v>
                </c:pt>
                <c:pt idx="13">
                  <c:v>-109.51116666666667</c:v>
                </c:pt>
                <c:pt idx="14">
                  <c:v>-103.06933333333335</c:v>
                </c:pt>
                <c:pt idx="15">
                  <c:v>-96.627500000000026</c:v>
                </c:pt>
                <c:pt idx="16">
                  <c:v>-90.185666666666705</c:v>
                </c:pt>
                <c:pt idx="17">
                  <c:v>-83.743833333333384</c:v>
                </c:pt>
                <c:pt idx="18">
                  <c:v>-77.302000000000049</c:v>
                </c:pt>
                <c:pt idx="19">
                  <c:v>-70.860166666666714</c:v>
                </c:pt>
                <c:pt idx="20">
                  <c:v>-64.418333333333379</c:v>
                </c:pt>
                <c:pt idx="21">
                  <c:v>-57.976500000000044</c:v>
                </c:pt>
                <c:pt idx="22">
                  <c:v>-51.534666666666709</c:v>
                </c:pt>
                <c:pt idx="23">
                  <c:v>-45.092833333333374</c:v>
                </c:pt>
                <c:pt idx="24">
                  <c:v>-38.651000000000046</c:v>
                </c:pt>
                <c:pt idx="25">
                  <c:v>-32.209166666666711</c:v>
                </c:pt>
                <c:pt idx="26">
                  <c:v>-25.767333333333376</c:v>
                </c:pt>
                <c:pt idx="27">
                  <c:v>-19.325500000000044</c:v>
                </c:pt>
                <c:pt idx="28">
                  <c:v>-12.883666666666711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65920"/>
        <c:axId val="216702272"/>
      </c:areaChart>
      <c:catAx>
        <c:axId val="216465920"/>
        <c:scaling>
          <c:orientation val="minMax"/>
        </c:scaling>
        <c:delete val="1"/>
        <c:axPos val="b"/>
        <c:majorTickMark val="out"/>
        <c:minorTickMark val="none"/>
        <c:tickLblPos val="nextTo"/>
        <c:crossAx val="216702272"/>
        <c:crosses val="autoZero"/>
        <c:auto val="1"/>
        <c:lblAlgn val="ctr"/>
        <c:lblOffset val="100"/>
        <c:noMultiLvlLbl val="0"/>
      </c:catAx>
      <c:valAx>
        <c:axId val="216702272"/>
        <c:scaling>
          <c:orientation val="minMax"/>
          <c:max val="20"/>
          <c:min val="-150"/>
        </c:scaling>
        <c:delete val="1"/>
        <c:axPos val="l"/>
        <c:numFmt formatCode="0.0" sourceLinked="1"/>
        <c:majorTickMark val="out"/>
        <c:minorTickMark val="none"/>
        <c:tickLblPos val="nextTo"/>
        <c:crossAx val="216465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g"/><Relationship Id="rId3" Type="http://schemas.openxmlformats.org/officeDocument/2006/relationships/image" Target="../media/image6.jpg"/><Relationship Id="rId7" Type="http://schemas.openxmlformats.org/officeDocument/2006/relationships/image" Target="../media/image10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6" Type="http://schemas.openxmlformats.org/officeDocument/2006/relationships/image" Target="../media/image9.jpg"/><Relationship Id="rId5" Type="http://schemas.openxmlformats.org/officeDocument/2006/relationships/image" Target="../media/image8.jpg"/><Relationship Id="rId10" Type="http://schemas.openxmlformats.org/officeDocument/2006/relationships/image" Target="../media/image13.jpg"/><Relationship Id="rId4" Type="http://schemas.openxmlformats.org/officeDocument/2006/relationships/image" Target="../media/image7.jpg"/><Relationship Id="rId9" Type="http://schemas.openxmlformats.org/officeDocument/2006/relationships/image" Target="../media/image12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25400</xdr:rowOff>
    </xdr:from>
    <xdr:to>
      <xdr:col>6</xdr:col>
      <xdr:colOff>406400</xdr:colOff>
      <xdr:row>40</xdr:row>
      <xdr:rowOff>139700</xdr:rowOff>
    </xdr:to>
    <xdr:sp macro="" textlink="">
      <xdr:nvSpPr>
        <xdr:cNvPr id="16" name="Rectangle 15"/>
        <xdr:cNvSpPr/>
      </xdr:nvSpPr>
      <xdr:spPr>
        <a:xfrm>
          <a:off x="190500" y="25400"/>
          <a:ext cx="5168900" cy="7226300"/>
        </a:xfrm>
        <a:prstGeom prst="rect">
          <a:avLst/>
        </a:prstGeom>
        <a:pattFill prst="pct50">
          <a:fgClr>
            <a:srgbClr val="467043"/>
          </a:fgClr>
          <a:bgClr>
            <a:prstClr val="white"/>
          </a:bgClr>
        </a:patt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101600</xdr:colOff>
      <xdr:row>4</xdr:row>
      <xdr:rowOff>88900</xdr:rowOff>
    </xdr:from>
    <xdr:to>
      <xdr:col>5</xdr:col>
      <xdr:colOff>660400</xdr:colOff>
      <xdr:row>40</xdr:row>
      <xdr:rowOff>38100</xdr:rowOff>
    </xdr:to>
    <xdr:sp macro="" textlink="">
      <xdr:nvSpPr>
        <xdr:cNvPr id="5" name="Freeform 4"/>
        <xdr:cNvSpPr/>
      </xdr:nvSpPr>
      <xdr:spPr>
        <a:xfrm>
          <a:off x="927100" y="5600700"/>
          <a:ext cx="3860800" cy="6350000"/>
        </a:xfrm>
        <a:custGeom>
          <a:avLst/>
          <a:gdLst>
            <a:gd name="connsiteX0" fmla="*/ 914400 w 3784600"/>
            <a:gd name="connsiteY0" fmla="*/ 215900 h 6350000"/>
            <a:gd name="connsiteX1" fmla="*/ 977900 w 3784600"/>
            <a:gd name="connsiteY1" fmla="*/ 177800 h 6350000"/>
            <a:gd name="connsiteX2" fmla="*/ 990600 w 3784600"/>
            <a:gd name="connsiteY2" fmla="*/ 139700 h 6350000"/>
            <a:gd name="connsiteX3" fmla="*/ 1016000 w 3784600"/>
            <a:gd name="connsiteY3" fmla="*/ 101600 h 6350000"/>
            <a:gd name="connsiteX4" fmla="*/ 1092200 w 3784600"/>
            <a:gd name="connsiteY4" fmla="*/ 63500 h 6350000"/>
            <a:gd name="connsiteX5" fmla="*/ 1143000 w 3784600"/>
            <a:gd name="connsiteY5" fmla="*/ 76200 h 6350000"/>
            <a:gd name="connsiteX6" fmla="*/ 1181100 w 3784600"/>
            <a:gd name="connsiteY6" fmla="*/ 88900 h 6350000"/>
            <a:gd name="connsiteX7" fmla="*/ 1257300 w 3784600"/>
            <a:gd name="connsiteY7" fmla="*/ 50800 h 6350000"/>
            <a:gd name="connsiteX8" fmla="*/ 1295400 w 3784600"/>
            <a:gd name="connsiteY8" fmla="*/ 38100 h 6350000"/>
            <a:gd name="connsiteX9" fmla="*/ 1384300 w 3784600"/>
            <a:gd name="connsiteY9" fmla="*/ 0 h 6350000"/>
            <a:gd name="connsiteX10" fmla="*/ 1473200 w 3784600"/>
            <a:gd name="connsiteY10" fmla="*/ 12700 h 6350000"/>
            <a:gd name="connsiteX11" fmla="*/ 1549400 w 3784600"/>
            <a:gd name="connsiteY11" fmla="*/ 63500 h 6350000"/>
            <a:gd name="connsiteX12" fmla="*/ 1625600 w 3784600"/>
            <a:gd name="connsiteY12" fmla="*/ 88900 h 6350000"/>
            <a:gd name="connsiteX13" fmla="*/ 1600200 w 3784600"/>
            <a:gd name="connsiteY13" fmla="*/ 203200 h 6350000"/>
            <a:gd name="connsiteX14" fmla="*/ 1638300 w 3784600"/>
            <a:gd name="connsiteY14" fmla="*/ 228600 h 6350000"/>
            <a:gd name="connsiteX15" fmla="*/ 1981200 w 3784600"/>
            <a:gd name="connsiteY15" fmla="*/ 241300 h 6350000"/>
            <a:gd name="connsiteX16" fmla="*/ 1955800 w 3784600"/>
            <a:gd name="connsiteY16" fmla="*/ 279400 h 6350000"/>
            <a:gd name="connsiteX17" fmla="*/ 1993900 w 3784600"/>
            <a:gd name="connsiteY17" fmla="*/ 393700 h 6350000"/>
            <a:gd name="connsiteX18" fmla="*/ 2006600 w 3784600"/>
            <a:gd name="connsiteY18" fmla="*/ 431800 h 6350000"/>
            <a:gd name="connsiteX19" fmla="*/ 1968500 w 3784600"/>
            <a:gd name="connsiteY19" fmla="*/ 546100 h 6350000"/>
            <a:gd name="connsiteX20" fmla="*/ 1943100 w 3784600"/>
            <a:gd name="connsiteY20" fmla="*/ 622300 h 6350000"/>
            <a:gd name="connsiteX21" fmla="*/ 1930400 w 3784600"/>
            <a:gd name="connsiteY21" fmla="*/ 660400 h 6350000"/>
            <a:gd name="connsiteX22" fmla="*/ 1816100 w 3784600"/>
            <a:gd name="connsiteY22" fmla="*/ 749300 h 6350000"/>
            <a:gd name="connsiteX23" fmla="*/ 1778000 w 3784600"/>
            <a:gd name="connsiteY23" fmla="*/ 762000 h 6350000"/>
            <a:gd name="connsiteX24" fmla="*/ 1752600 w 3784600"/>
            <a:gd name="connsiteY24" fmla="*/ 800100 h 6350000"/>
            <a:gd name="connsiteX25" fmla="*/ 1765300 w 3784600"/>
            <a:gd name="connsiteY25" fmla="*/ 838200 h 6350000"/>
            <a:gd name="connsiteX26" fmla="*/ 1803400 w 3784600"/>
            <a:gd name="connsiteY26" fmla="*/ 850900 h 6350000"/>
            <a:gd name="connsiteX27" fmla="*/ 1892300 w 3784600"/>
            <a:gd name="connsiteY27" fmla="*/ 901700 h 6350000"/>
            <a:gd name="connsiteX28" fmla="*/ 1930400 w 3784600"/>
            <a:gd name="connsiteY28" fmla="*/ 914400 h 6350000"/>
            <a:gd name="connsiteX29" fmla="*/ 1943100 w 3784600"/>
            <a:gd name="connsiteY29" fmla="*/ 990600 h 6350000"/>
            <a:gd name="connsiteX30" fmla="*/ 1955800 w 3784600"/>
            <a:gd name="connsiteY30" fmla="*/ 1054100 h 6350000"/>
            <a:gd name="connsiteX31" fmla="*/ 2095500 w 3784600"/>
            <a:gd name="connsiteY31" fmla="*/ 1092200 h 6350000"/>
            <a:gd name="connsiteX32" fmla="*/ 2120900 w 3784600"/>
            <a:gd name="connsiteY32" fmla="*/ 1143000 h 6350000"/>
            <a:gd name="connsiteX33" fmla="*/ 2184400 w 3784600"/>
            <a:gd name="connsiteY33" fmla="*/ 1257300 h 6350000"/>
            <a:gd name="connsiteX34" fmla="*/ 2146300 w 3784600"/>
            <a:gd name="connsiteY34" fmla="*/ 1346200 h 6350000"/>
            <a:gd name="connsiteX35" fmla="*/ 2120900 w 3784600"/>
            <a:gd name="connsiteY35" fmla="*/ 1384300 h 6350000"/>
            <a:gd name="connsiteX36" fmla="*/ 2197100 w 3784600"/>
            <a:gd name="connsiteY36" fmla="*/ 1409700 h 6350000"/>
            <a:gd name="connsiteX37" fmla="*/ 2247900 w 3784600"/>
            <a:gd name="connsiteY37" fmla="*/ 1435100 h 6350000"/>
            <a:gd name="connsiteX38" fmla="*/ 2286000 w 3784600"/>
            <a:gd name="connsiteY38" fmla="*/ 1460500 h 6350000"/>
            <a:gd name="connsiteX39" fmla="*/ 2336800 w 3784600"/>
            <a:gd name="connsiteY39" fmla="*/ 1473200 h 6350000"/>
            <a:gd name="connsiteX40" fmla="*/ 2387600 w 3784600"/>
            <a:gd name="connsiteY40" fmla="*/ 1511300 h 6350000"/>
            <a:gd name="connsiteX41" fmla="*/ 2425700 w 3784600"/>
            <a:gd name="connsiteY41" fmla="*/ 1536700 h 6350000"/>
            <a:gd name="connsiteX42" fmla="*/ 2451100 w 3784600"/>
            <a:gd name="connsiteY42" fmla="*/ 1587500 h 6350000"/>
            <a:gd name="connsiteX43" fmla="*/ 2476500 w 3784600"/>
            <a:gd name="connsiteY43" fmla="*/ 1663700 h 6350000"/>
            <a:gd name="connsiteX44" fmla="*/ 2463800 w 3784600"/>
            <a:gd name="connsiteY44" fmla="*/ 1701800 h 6350000"/>
            <a:gd name="connsiteX45" fmla="*/ 2387600 w 3784600"/>
            <a:gd name="connsiteY45" fmla="*/ 1739900 h 6350000"/>
            <a:gd name="connsiteX46" fmla="*/ 2349500 w 3784600"/>
            <a:gd name="connsiteY46" fmla="*/ 1816100 h 6350000"/>
            <a:gd name="connsiteX47" fmla="*/ 2362200 w 3784600"/>
            <a:gd name="connsiteY47" fmla="*/ 1866900 h 6350000"/>
            <a:gd name="connsiteX48" fmla="*/ 2425700 w 3784600"/>
            <a:gd name="connsiteY48" fmla="*/ 1943100 h 6350000"/>
            <a:gd name="connsiteX49" fmla="*/ 2578100 w 3784600"/>
            <a:gd name="connsiteY49" fmla="*/ 1968500 h 6350000"/>
            <a:gd name="connsiteX50" fmla="*/ 2628900 w 3784600"/>
            <a:gd name="connsiteY50" fmla="*/ 1981200 h 6350000"/>
            <a:gd name="connsiteX51" fmla="*/ 2692400 w 3784600"/>
            <a:gd name="connsiteY51" fmla="*/ 2019300 h 6350000"/>
            <a:gd name="connsiteX52" fmla="*/ 2705100 w 3784600"/>
            <a:gd name="connsiteY52" fmla="*/ 2057400 h 6350000"/>
            <a:gd name="connsiteX53" fmla="*/ 2717800 w 3784600"/>
            <a:gd name="connsiteY53" fmla="*/ 2120900 h 6350000"/>
            <a:gd name="connsiteX54" fmla="*/ 2768600 w 3784600"/>
            <a:gd name="connsiteY54" fmla="*/ 2197100 h 6350000"/>
            <a:gd name="connsiteX55" fmla="*/ 2794000 w 3784600"/>
            <a:gd name="connsiteY55" fmla="*/ 2235200 h 6350000"/>
            <a:gd name="connsiteX56" fmla="*/ 2819400 w 3784600"/>
            <a:gd name="connsiteY56" fmla="*/ 2273300 h 6350000"/>
            <a:gd name="connsiteX57" fmla="*/ 2832100 w 3784600"/>
            <a:gd name="connsiteY57" fmla="*/ 2311400 h 6350000"/>
            <a:gd name="connsiteX58" fmla="*/ 2870200 w 3784600"/>
            <a:gd name="connsiteY58" fmla="*/ 2349500 h 6350000"/>
            <a:gd name="connsiteX59" fmla="*/ 2882900 w 3784600"/>
            <a:gd name="connsiteY59" fmla="*/ 2387600 h 6350000"/>
            <a:gd name="connsiteX60" fmla="*/ 2959100 w 3784600"/>
            <a:gd name="connsiteY60" fmla="*/ 2514600 h 6350000"/>
            <a:gd name="connsiteX61" fmla="*/ 2971800 w 3784600"/>
            <a:gd name="connsiteY61" fmla="*/ 2552700 h 6350000"/>
            <a:gd name="connsiteX62" fmla="*/ 2984500 w 3784600"/>
            <a:gd name="connsiteY62" fmla="*/ 2616200 h 6350000"/>
            <a:gd name="connsiteX63" fmla="*/ 3022600 w 3784600"/>
            <a:gd name="connsiteY63" fmla="*/ 2641600 h 6350000"/>
            <a:gd name="connsiteX64" fmla="*/ 3073400 w 3784600"/>
            <a:gd name="connsiteY64" fmla="*/ 2717800 h 6350000"/>
            <a:gd name="connsiteX65" fmla="*/ 3098800 w 3784600"/>
            <a:gd name="connsiteY65" fmla="*/ 2755900 h 6350000"/>
            <a:gd name="connsiteX66" fmla="*/ 3149600 w 3784600"/>
            <a:gd name="connsiteY66" fmla="*/ 2870200 h 6350000"/>
            <a:gd name="connsiteX67" fmla="*/ 3162300 w 3784600"/>
            <a:gd name="connsiteY67" fmla="*/ 2921000 h 6350000"/>
            <a:gd name="connsiteX68" fmla="*/ 3187700 w 3784600"/>
            <a:gd name="connsiteY68" fmla="*/ 2959100 h 6350000"/>
            <a:gd name="connsiteX69" fmla="*/ 3175000 w 3784600"/>
            <a:gd name="connsiteY69" fmla="*/ 2997200 h 6350000"/>
            <a:gd name="connsiteX70" fmla="*/ 3060700 w 3784600"/>
            <a:gd name="connsiteY70" fmla="*/ 3060700 h 6350000"/>
            <a:gd name="connsiteX71" fmla="*/ 3035300 w 3784600"/>
            <a:gd name="connsiteY71" fmla="*/ 3136900 h 6350000"/>
            <a:gd name="connsiteX72" fmla="*/ 3048000 w 3784600"/>
            <a:gd name="connsiteY72" fmla="*/ 3187700 h 6350000"/>
            <a:gd name="connsiteX73" fmla="*/ 3060700 w 3784600"/>
            <a:gd name="connsiteY73" fmla="*/ 3251200 h 6350000"/>
            <a:gd name="connsiteX74" fmla="*/ 3086100 w 3784600"/>
            <a:gd name="connsiteY74" fmla="*/ 3327400 h 6350000"/>
            <a:gd name="connsiteX75" fmla="*/ 3098800 w 3784600"/>
            <a:gd name="connsiteY75" fmla="*/ 3365500 h 6350000"/>
            <a:gd name="connsiteX76" fmla="*/ 3060700 w 3784600"/>
            <a:gd name="connsiteY76" fmla="*/ 3378200 h 6350000"/>
            <a:gd name="connsiteX77" fmla="*/ 3035300 w 3784600"/>
            <a:gd name="connsiteY77" fmla="*/ 3441700 h 6350000"/>
            <a:gd name="connsiteX78" fmla="*/ 3073400 w 3784600"/>
            <a:gd name="connsiteY78" fmla="*/ 3454400 h 6350000"/>
            <a:gd name="connsiteX79" fmla="*/ 3149600 w 3784600"/>
            <a:gd name="connsiteY79" fmla="*/ 3416300 h 6350000"/>
            <a:gd name="connsiteX80" fmla="*/ 3213100 w 3784600"/>
            <a:gd name="connsiteY80" fmla="*/ 3429000 h 6350000"/>
            <a:gd name="connsiteX81" fmla="*/ 3225800 w 3784600"/>
            <a:gd name="connsiteY81" fmla="*/ 3467100 h 6350000"/>
            <a:gd name="connsiteX82" fmla="*/ 3251200 w 3784600"/>
            <a:gd name="connsiteY82" fmla="*/ 3568700 h 6350000"/>
            <a:gd name="connsiteX83" fmla="*/ 3263900 w 3784600"/>
            <a:gd name="connsiteY83" fmla="*/ 3873500 h 6350000"/>
            <a:gd name="connsiteX84" fmla="*/ 3403600 w 3784600"/>
            <a:gd name="connsiteY84" fmla="*/ 3937000 h 6350000"/>
            <a:gd name="connsiteX85" fmla="*/ 3505200 w 3784600"/>
            <a:gd name="connsiteY85" fmla="*/ 3924300 h 6350000"/>
            <a:gd name="connsiteX86" fmla="*/ 3556000 w 3784600"/>
            <a:gd name="connsiteY86" fmla="*/ 3898900 h 6350000"/>
            <a:gd name="connsiteX87" fmla="*/ 3568700 w 3784600"/>
            <a:gd name="connsiteY87" fmla="*/ 4025900 h 6350000"/>
            <a:gd name="connsiteX88" fmla="*/ 3606800 w 3784600"/>
            <a:gd name="connsiteY88" fmla="*/ 4102100 h 6350000"/>
            <a:gd name="connsiteX89" fmla="*/ 3644900 w 3784600"/>
            <a:gd name="connsiteY89" fmla="*/ 4191000 h 6350000"/>
            <a:gd name="connsiteX90" fmla="*/ 3670300 w 3784600"/>
            <a:gd name="connsiteY90" fmla="*/ 4470400 h 6350000"/>
            <a:gd name="connsiteX91" fmla="*/ 3683000 w 3784600"/>
            <a:gd name="connsiteY91" fmla="*/ 4508500 h 6350000"/>
            <a:gd name="connsiteX92" fmla="*/ 3708400 w 3784600"/>
            <a:gd name="connsiteY92" fmla="*/ 4546600 h 6350000"/>
            <a:gd name="connsiteX93" fmla="*/ 3721100 w 3784600"/>
            <a:gd name="connsiteY93" fmla="*/ 4648200 h 6350000"/>
            <a:gd name="connsiteX94" fmla="*/ 3733800 w 3784600"/>
            <a:gd name="connsiteY94" fmla="*/ 4686300 h 6350000"/>
            <a:gd name="connsiteX95" fmla="*/ 3746500 w 3784600"/>
            <a:gd name="connsiteY95" fmla="*/ 4737100 h 6350000"/>
            <a:gd name="connsiteX96" fmla="*/ 3771900 w 3784600"/>
            <a:gd name="connsiteY96" fmla="*/ 4813300 h 6350000"/>
            <a:gd name="connsiteX97" fmla="*/ 3784600 w 3784600"/>
            <a:gd name="connsiteY97" fmla="*/ 4851400 h 6350000"/>
            <a:gd name="connsiteX98" fmla="*/ 3746500 w 3784600"/>
            <a:gd name="connsiteY98" fmla="*/ 4965700 h 6350000"/>
            <a:gd name="connsiteX99" fmla="*/ 3708400 w 3784600"/>
            <a:gd name="connsiteY99" fmla="*/ 4991100 h 6350000"/>
            <a:gd name="connsiteX100" fmla="*/ 3695700 w 3784600"/>
            <a:gd name="connsiteY100" fmla="*/ 4927600 h 6350000"/>
            <a:gd name="connsiteX101" fmla="*/ 3657600 w 3784600"/>
            <a:gd name="connsiteY101" fmla="*/ 4965700 h 6350000"/>
            <a:gd name="connsiteX102" fmla="*/ 3619500 w 3784600"/>
            <a:gd name="connsiteY102" fmla="*/ 5080000 h 6350000"/>
            <a:gd name="connsiteX103" fmla="*/ 3581400 w 3784600"/>
            <a:gd name="connsiteY103" fmla="*/ 5194300 h 6350000"/>
            <a:gd name="connsiteX104" fmla="*/ 3543300 w 3784600"/>
            <a:gd name="connsiteY104" fmla="*/ 5207000 h 6350000"/>
            <a:gd name="connsiteX105" fmla="*/ 3467100 w 3784600"/>
            <a:gd name="connsiteY105" fmla="*/ 5143500 h 6350000"/>
            <a:gd name="connsiteX106" fmla="*/ 3492500 w 3784600"/>
            <a:gd name="connsiteY106" fmla="*/ 5232400 h 6350000"/>
            <a:gd name="connsiteX107" fmla="*/ 3517900 w 3784600"/>
            <a:gd name="connsiteY107" fmla="*/ 5308600 h 6350000"/>
            <a:gd name="connsiteX108" fmla="*/ 3530600 w 3784600"/>
            <a:gd name="connsiteY108" fmla="*/ 5346700 h 6350000"/>
            <a:gd name="connsiteX109" fmla="*/ 3543300 w 3784600"/>
            <a:gd name="connsiteY109" fmla="*/ 5397500 h 6350000"/>
            <a:gd name="connsiteX110" fmla="*/ 3530600 w 3784600"/>
            <a:gd name="connsiteY110" fmla="*/ 5499100 h 6350000"/>
            <a:gd name="connsiteX111" fmla="*/ 3505200 w 3784600"/>
            <a:gd name="connsiteY111" fmla="*/ 5537200 h 6350000"/>
            <a:gd name="connsiteX112" fmla="*/ 3429000 w 3784600"/>
            <a:gd name="connsiteY112" fmla="*/ 5613400 h 6350000"/>
            <a:gd name="connsiteX113" fmla="*/ 3238500 w 3784600"/>
            <a:gd name="connsiteY113" fmla="*/ 5486400 h 6350000"/>
            <a:gd name="connsiteX114" fmla="*/ 3200400 w 3784600"/>
            <a:gd name="connsiteY114" fmla="*/ 5461000 h 6350000"/>
            <a:gd name="connsiteX115" fmla="*/ 3060700 w 3784600"/>
            <a:gd name="connsiteY115" fmla="*/ 5410200 h 6350000"/>
            <a:gd name="connsiteX116" fmla="*/ 3048000 w 3784600"/>
            <a:gd name="connsiteY116" fmla="*/ 5448300 h 6350000"/>
            <a:gd name="connsiteX117" fmla="*/ 3111500 w 3784600"/>
            <a:gd name="connsiteY117" fmla="*/ 5461000 h 6350000"/>
            <a:gd name="connsiteX118" fmla="*/ 3200400 w 3784600"/>
            <a:gd name="connsiteY118" fmla="*/ 5499100 h 6350000"/>
            <a:gd name="connsiteX119" fmla="*/ 3263900 w 3784600"/>
            <a:gd name="connsiteY119" fmla="*/ 5524500 h 6350000"/>
            <a:gd name="connsiteX120" fmla="*/ 2984500 w 3784600"/>
            <a:gd name="connsiteY120" fmla="*/ 5537200 h 6350000"/>
            <a:gd name="connsiteX121" fmla="*/ 2959100 w 3784600"/>
            <a:gd name="connsiteY121" fmla="*/ 5575300 h 6350000"/>
            <a:gd name="connsiteX122" fmla="*/ 2971800 w 3784600"/>
            <a:gd name="connsiteY122" fmla="*/ 5664200 h 6350000"/>
            <a:gd name="connsiteX123" fmla="*/ 2984500 w 3784600"/>
            <a:gd name="connsiteY123" fmla="*/ 5702300 h 6350000"/>
            <a:gd name="connsiteX124" fmla="*/ 2959100 w 3784600"/>
            <a:gd name="connsiteY124" fmla="*/ 5816600 h 6350000"/>
            <a:gd name="connsiteX125" fmla="*/ 2933700 w 3784600"/>
            <a:gd name="connsiteY125" fmla="*/ 5854700 h 6350000"/>
            <a:gd name="connsiteX126" fmla="*/ 2895600 w 3784600"/>
            <a:gd name="connsiteY126" fmla="*/ 5892800 h 6350000"/>
            <a:gd name="connsiteX127" fmla="*/ 2844800 w 3784600"/>
            <a:gd name="connsiteY127" fmla="*/ 5956300 h 6350000"/>
            <a:gd name="connsiteX128" fmla="*/ 2781300 w 3784600"/>
            <a:gd name="connsiteY128" fmla="*/ 6019800 h 6350000"/>
            <a:gd name="connsiteX129" fmla="*/ 2755900 w 3784600"/>
            <a:gd name="connsiteY129" fmla="*/ 6057900 h 6350000"/>
            <a:gd name="connsiteX130" fmla="*/ 2679700 w 3784600"/>
            <a:gd name="connsiteY130" fmla="*/ 6108700 h 6350000"/>
            <a:gd name="connsiteX131" fmla="*/ 2616200 w 3784600"/>
            <a:gd name="connsiteY131" fmla="*/ 6172200 h 6350000"/>
            <a:gd name="connsiteX132" fmla="*/ 2552700 w 3784600"/>
            <a:gd name="connsiteY132" fmla="*/ 6248400 h 6350000"/>
            <a:gd name="connsiteX133" fmla="*/ 2476500 w 3784600"/>
            <a:gd name="connsiteY133" fmla="*/ 6286500 h 6350000"/>
            <a:gd name="connsiteX134" fmla="*/ 2438400 w 3784600"/>
            <a:gd name="connsiteY134" fmla="*/ 6311900 h 6350000"/>
            <a:gd name="connsiteX135" fmla="*/ 2336800 w 3784600"/>
            <a:gd name="connsiteY135" fmla="*/ 6337300 h 6350000"/>
            <a:gd name="connsiteX136" fmla="*/ 2298700 w 3784600"/>
            <a:gd name="connsiteY136" fmla="*/ 6350000 h 6350000"/>
            <a:gd name="connsiteX137" fmla="*/ 2247900 w 3784600"/>
            <a:gd name="connsiteY137" fmla="*/ 6223000 h 6350000"/>
            <a:gd name="connsiteX138" fmla="*/ 2222500 w 3784600"/>
            <a:gd name="connsiteY138" fmla="*/ 6121400 h 6350000"/>
            <a:gd name="connsiteX139" fmla="*/ 2235200 w 3784600"/>
            <a:gd name="connsiteY139" fmla="*/ 6083300 h 6350000"/>
            <a:gd name="connsiteX140" fmla="*/ 2311400 w 3784600"/>
            <a:gd name="connsiteY140" fmla="*/ 6057900 h 6350000"/>
            <a:gd name="connsiteX141" fmla="*/ 2349500 w 3784600"/>
            <a:gd name="connsiteY141" fmla="*/ 6032500 h 6350000"/>
            <a:gd name="connsiteX142" fmla="*/ 2413000 w 3784600"/>
            <a:gd name="connsiteY142" fmla="*/ 6045200 h 6350000"/>
            <a:gd name="connsiteX143" fmla="*/ 2451100 w 3784600"/>
            <a:gd name="connsiteY143" fmla="*/ 6070600 h 6350000"/>
            <a:gd name="connsiteX144" fmla="*/ 2476500 w 3784600"/>
            <a:gd name="connsiteY144" fmla="*/ 6032500 h 6350000"/>
            <a:gd name="connsiteX145" fmla="*/ 2400300 w 3784600"/>
            <a:gd name="connsiteY145" fmla="*/ 6007100 h 6350000"/>
            <a:gd name="connsiteX146" fmla="*/ 2362200 w 3784600"/>
            <a:gd name="connsiteY146" fmla="*/ 5994400 h 6350000"/>
            <a:gd name="connsiteX147" fmla="*/ 2349500 w 3784600"/>
            <a:gd name="connsiteY147" fmla="*/ 5956300 h 6350000"/>
            <a:gd name="connsiteX148" fmla="*/ 2438400 w 3784600"/>
            <a:gd name="connsiteY148" fmla="*/ 5867400 h 6350000"/>
            <a:gd name="connsiteX149" fmla="*/ 2476500 w 3784600"/>
            <a:gd name="connsiteY149" fmla="*/ 5854700 h 6350000"/>
            <a:gd name="connsiteX150" fmla="*/ 2514600 w 3784600"/>
            <a:gd name="connsiteY150" fmla="*/ 5829300 h 6350000"/>
            <a:gd name="connsiteX151" fmla="*/ 2476500 w 3784600"/>
            <a:gd name="connsiteY151" fmla="*/ 5778500 h 6350000"/>
            <a:gd name="connsiteX152" fmla="*/ 2438400 w 3784600"/>
            <a:gd name="connsiteY152" fmla="*/ 5765800 h 6350000"/>
            <a:gd name="connsiteX153" fmla="*/ 2400300 w 3784600"/>
            <a:gd name="connsiteY153" fmla="*/ 5740400 h 6350000"/>
            <a:gd name="connsiteX154" fmla="*/ 2324100 w 3784600"/>
            <a:gd name="connsiteY154" fmla="*/ 5778500 h 6350000"/>
            <a:gd name="connsiteX155" fmla="*/ 2311400 w 3784600"/>
            <a:gd name="connsiteY155" fmla="*/ 5816600 h 6350000"/>
            <a:gd name="connsiteX156" fmla="*/ 2260600 w 3784600"/>
            <a:gd name="connsiteY156" fmla="*/ 5829300 h 6350000"/>
            <a:gd name="connsiteX157" fmla="*/ 2222500 w 3784600"/>
            <a:gd name="connsiteY157" fmla="*/ 5803900 h 6350000"/>
            <a:gd name="connsiteX158" fmla="*/ 2197100 w 3784600"/>
            <a:gd name="connsiteY158" fmla="*/ 5765800 h 6350000"/>
            <a:gd name="connsiteX159" fmla="*/ 2159000 w 3784600"/>
            <a:gd name="connsiteY159" fmla="*/ 5727700 h 6350000"/>
            <a:gd name="connsiteX160" fmla="*/ 2095500 w 3784600"/>
            <a:gd name="connsiteY160" fmla="*/ 5664200 h 6350000"/>
            <a:gd name="connsiteX161" fmla="*/ 2057400 w 3784600"/>
            <a:gd name="connsiteY161" fmla="*/ 5562600 h 6350000"/>
            <a:gd name="connsiteX162" fmla="*/ 2006600 w 3784600"/>
            <a:gd name="connsiteY162" fmla="*/ 5422900 h 6350000"/>
            <a:gd name="connsiteX163" fmla="*/ 1917700 w 3784600"/>
            <a:gd name="connsiteY163" fmla="*/ 5397500 h 6350000"/>
            <a:gd name="connsiteX164" fmla="*/ 1879600 w 3784600"/>
            <a:gd name="connsiteY164" fmla="*/ 5359400 h 6350000"/>
            <a:gd name="connsiteX165" fmla="*/ 1854200 w 3784600"/>
            <a:gd name="connsiteY165" fmla="*/ 5321300 h 6350000"/>
            <a:gd name="connsiteX166" fmla="*/ 1765300 w 3784600"/>
            <a:gd name="connsiteY166" fmla="*/ 5295900 h 6350000"/>
            <a:gd name="connsiteX167" fmla="*/ 1689100 w 3784600"/>
            <a:gd name="connsiteY167" fmla="*/ 5257800 h 6350000"/>
            <a:gd name="connsiteX168" fmla="*/ 1676400 w 3784600"/>
            <a:gd name="connsiteY168" fmla="*/ 5219700 h 6350000"/>
            <a:gd name="connsiteX169" fmla="*/ 1676400 w 3784600"/>
            <a:gd name="connsiteY169" fmla="*/ 5143500 h 6350000"/>
            <a:gd name="connsiteX170" fmla="*/ 1435100 w 3784600"/>
            <a:gd name="connsiteY170" fmla="*/ 4991100 h 6350000"/>
            <a:gd name="connsiteX171" fmla="*/ 1257300 w 3784600"/>
            <a:gd name="connsiteY171" fmla="*/ 4902200 h 6350000"/>
            <a:gd name="connsiteX172" fmla="*/ 1155700 w 3784600"/>
            <a:gd name="connsiteY172" fmla="*/ 4813300 h 6350000"/>
            <a:gd name="connsiteX173" fmla="*/ 1117600 w 3784600"/>
            <a:gd name="connsiteY173" fmla="*/ 4622800 h 6350000"/>
            <a:gd name="connsiteX174" fmla="*/ 1066800 w 3784600"/>
            <a:gd name="connsiteY174" fmla="*/ 4470400 h 6350000"/>
            <a:gd name="connsiteX175" fmla="*/ 1054100 w 3784600"/>
            <a:gd name="connsiteY175" fmla="*/ 4419600 h 6350000"/>
            <a:gd name="connsiteX176" fmla="*/ 990600 w 3784600"/>
            <a:gd name="connsiteY176" fmla="*/ 4330700 h 6350000"/>
            <a:gd name="connsiteX177" fmla="*/ 1028700 w 3784600"/>
            <a:gd name="connsiteY177" fmla="*/ 4279900 h 6350000"/>
            <a:gd name="connsiteX178" fmla="*/ 1117600 w 3784600"/>
            <a:gd name="connsiteY178" fmla="*/ 4191000 h 6350000"/>
            <a:gd name="connsiteX179" fmla="*/ 1193800 w 3784600"/>
            <a:gd name="connsiteY179" fmla="*/ 4165600 h 6350000"/>
            <a:gd name="connsiteX180" fmla="*/ 1282700 w 3784600"/>
            <a:gd name="connsiteY180" fmla="*/ 4178300 h 6350000"/>
            <a:gd name="connsiteX181" fmla="*/ 1320800 w 3784600"/>
            <a:gd name="connsiteY181" fmla="*/ 4191000 h 6350000"/>
            <a:gd name="connsiteX182" fmla="*/ 1333500 w 3784600"/>
            <a:gd name="connsiteY182" fmla="*/ 4140200 h 6350000"/>
            <a:gd name="connsiteX183" fmla="*/ 1371600 w 3784600"/>
            <a:gd name="connsiteY183" fmla="*/ 4025900 h 6350000"/>
            <a:gd name="connsiteX184" fmla="*/ 1384300 w 3784600"/>
            <a:gd name="connsiteY184" fmla="*/ 3987800 h 6350000"/>
            <a:gd name="connsiteX185" fmla="*/ 1397000 w 3784600"/>
            <a:gd name="connsiteY185" fmla="*/ 3949700 h 6350000"/>
            <a:gd name="connsiteX186" fmla="*/ 1358900 w 3784600"/>
            <a:gd name="connsiteY186" fmla="*/ 3911600 h 6350000"/>
            <a:gd name="connsiteX187" fmla="*/ 1219200 w 3784600"/>
            <a:gd name="connsiteY187" fmla="*/ 3835400 h 6350000"/>
            <a:gd name="connsiteX188" fmla="*/ 1168400 w 3784600"/>
            <a:gd name="connsiteY188" fmla="*/ 3797300 h 6350000"/>
            <a:gd name="connsiteX189" fmla="*/ 1079500 w 3784600"/>
            <a:gd name="connsiteY189" fmla="*/ 3708400 h 6350000"/>
            <a:gd name="connsiteX190" fmla="*/ 990600 w 3784600"/>
            <a:gd name="connsiteY190" fmla="*/ 3657600 h 6350000"/>
            <a:gd name="connsiteX191" fmla="*/ 863600 w 3784600"/>
            <a:gd name="connsiteY191" fmla="*/ 3556000 h 6350000"/>
            <a:gd name="connsiteX192" fmla="*/ 800100 w 3784600"/>
            <a:gd name="connsiteY192" fmla="*/ 3517900 h 6350000"/>
            <a:gd name="connsiteX193" fmla="*/ 787400 w 3784600"/>
            <a:gd name="connsiteY193" fmla="*/ 3403600 h 6350000"/>
            <a:gd name="connsiteX194" fmla="*/ 723900 w 3784600"/>
            <a:gd name="connsiteY194" fmla="*/ 3327400 h 6350000"/>
            <a:gd name="connsiteX195" fmla="*/ 698500 w 3784600"/>
            <a:gd name="connsiteY195" fmla="*/ 3225800 h 6350000"/>
            <a:gd name="connsiteX196" fmla="*/ 736600 w 3784600"/>
            <a:gd name="connsiteY196" fmla="*/ 3086100 h 6350000"/>
            <a:gd name="connsiteX197" fmla="*/ 787400 w 3784600"/>
            <a:gd name="connsiteY197" fmla="*/ 2984500 h 6350000"/>
            <a:gd name="connsiteX198" fmla="*/ 736600 w 3784600"/>
            <a:gd name="connsiteY198" fmla="*/ 2895600 h 6350000"/>
            <a:gd name="connsiteX199" fmla="*/ 698500 w 3784600"/>
            <a:gd name="connsiteY199" fmla="*/ 2870200 h 6350000"/>
            <a:gd name="connsiteX200" fmla="*/ 660400 w 3784600"/>
            <a:gd name="connsiteY200" fmla="*/ 2794000 h 6350000"/>
            <a:gd name="connsiteX201" fmla="*/ 622300 w 3784600"/>
            <a:gd name="connsiteY201" fmla="*/ 2768600 h 6350000"/>
            <a:gd name="connsiteX202" fmla="*/ 609600 w 3784600"/>
            <a:gd name="connsiteY202" fmla="*/ 2730500 h 6350000"/>
            <a:gd name="connsiteX203" fmla="*/ 558800 w 3784600"/>
            <a:gd name="connsiteY203" fmla="*/ 2641600 h 6350000"/>
            <a:gd name="connsiteX204" fmla="*/ 533400 w 3784600"/>
            <a:gd name="connsiteY204" fmla="*/ 2565400 h 6350000"/>
            <a:gd name="connsiteX205" fmla="*/ 546100 w 3784600"/>
            <a:gd name="connsiteY205" fmla="*/ 2438400 h 6350000"/>
            <a:gd name="connsiteX206" fmla="*/ 596900 w 3784600"/>
            <a:gd name="connsiteY206" fmla="*/ 2362200 h 6350000"/>
            <a:gd name="connsiteX207" fmla="*/ 558800 w 3784600"/>
            <a:gd name="connsiteY207" fmla="*/ 2311400 h 6350000"/>
            <a:gd name="connsiteX208" fmla="*/ 508000 w 3784600"/>
            <a:gd name="connsiteY208" fmla="*/ 2235200 h 6350000"/>
            <a:gd name="connsiteX209" fmla="*/ 508000 w 3784600"/>
            <a:gd name="connsiteY209" fmla="*/ 2057400 h 6350000"/>
            <a:gd name="connsiteX210" fmla="*/ 444500 w 3784600"/>
            <a:gd name="connsiteY210" fmla="*/ 2044700 h 6350000"/>
            <a:gd name="connsiteX211" fmla="*/ 419100 w 3784600"/>
            <a:gd name="connsiteY211" fmla="*/ 2006600 h 6350000"/>
            <a:gd name="connsiteX212" fmla="*/ 381000 w 3784600"/>
            <a:gd name="connsiteY212" fmla="*/ 1917700 h 6350000"/>
            <a:gd name="connsiteX213" fmla="*/ 368300 w 3784600"/>
            <a:gd name="connsiteY213" fmla="*/ 1866900 h 6350000"/>
            <a:gd name="connsiteX214" fmla="*/ 355600 w 3784600"/>
            <a:gd name="connsiteY214" fmla="*/ 1765300 h 6350000"/>
            <a:gd name="connsiteX215" fmla="*/ 304800 w 3784600"/>
            <a:gd name="connsiteY215" fmla="*/ 1562100 h 6350000"/>
            <a:gd name="connsiteX216" fmla="*/ 279400 w 3784600"/>
            <a:gd name="connsiteY216" fmla="*/ 1447800 h 6350000"/>
            <a:gd name="connsiteX217" fmla="*/ 266700 w 3784600"/>
            <a:gd name="connsiteY217" fmla="*/ 1333500 h 6350000"/>
            <a:gd name="connsiteX218" fmla="*/ 254000 w 3784600"/>
            <a:gd name="connsiteY218" fmla="*/ 1295400 h 6350000"/>
            <a:gd name="connsiteX219" fmla="*/ 215900 w 3784600"/>
            <a:gd name="connsiteY219" fmla="*/ 1257300 h 6350000"/>
            <a:gd name="connsiteX220" fmla="*/ 177800 w 3784600"/>
            <a:gd name="connsiteY220" fmla="*/ 1143000 h 6350000"/>
            <a:gd name="connsiteX221" fmla="*/ 101600 w 3784600"/>
            <a:gd name="connsiteY221" fmla="*/ 1168400 h 6350000"/>
            <a:gd name="connsiteX222" fmla="*/ 63500 w 3784600"/>
            <a:gd name="connsiteY222" fmla="*/ 1155700 h 6350000"/>
            <a:gd name="connsiteX223" fmla="*/ 50800 w 3784600"/>
            <a:gd name="connsiteY223" fmla="*/ 1117600 h 6350000"/>
            <a:gd name="connsiteX224" fmla="*/ 0 w 3784600"/>
            <a:gd name="connsiteY224" fmla="*/ 1028700 h 6350000"/>
            <a:gd name="connsiteX225" fmla="*/ 38100 w 3784600"/>
            <a:gd name="connsiteY225" fmla="*/ 1003300 h 6350000"/>
            <a:gd name="connsiteX226" fmla="*/ 76200 w 3784600"/>
            <a:gd name="connsiteY226" fmla="*/ 965200 h 6350000"/>
            <a:gd name="connsiteX227" fmla="*/ 177800 w 3784600"/>
            <a:gd name="connsiteY227" fmla="*/ 939800 h 6350000"/>
            <a:gd name="connsiteX228" fmla="*/ 215900 w 3784600"/>
            <a:gd name="connsiteY228" fmla="*/ 914400 h 6350000"/>
            <a:gd name="connsiteX229" fmla="*/ 317500 w 3784600"/>
            <a:gd name="connsiteY229" fmla="*/ 876300 h 6350000"/>
            <a:gd name="connsiteX230" fmla="*/ 355600 w 3784600"/>
            <a:gd name="connsiteY230" fmla="*/ 787400 h 6350000"/>
            <a:gd name="connsiteX231" fmla="*/ 457200 w 3784600"/>
            <a:gd name="connsiteY231" fmla="*/ 660400 h 6350000"/>
            <a:gd name="connsiteX232" fmla="*/ 469900 w 3784600"/>
            <a:gd name="connsiteY232" fmla="*/ 622300 h 6350000"/>
            <a:gd name="connsiteX233" fmla="*/ 520700 w 3784600"/>
            <a:gd name="connsiteY233" fmla="*/ 558800 h 6350000"/>
            <a:gd name="connsiteX234" fmla="*/ 520700 w 3784600"/>
            <a:gd name="connsiteY234" fmla="*/ 304800 h 6350000"/>
            <a:gd name="connsiteX235" fmla="*/ 571500 w 3784600"/>
            <a:gd name="connsiteY235" fmla="*/ 228600 h 6350000"/>
            <a:gd name="connsiteX236" fmla="*/ 596900 w 3784600"/>
            <a:gd name="connsiteY236" fmla="*/ 177800 h 6350000"/>
            <a:gd name="connsiteX237" fmla="*/ 635000 w 3784600"/>
            <a:gd name="connsiteY237" fmla="*/ 152400 h 6350000"/>
            <a:gd name="connsiteX238" fmla="*/ 660400 w 3784600"/>
            <a:gd name="connsiteY238" fmla="*/ 114300 h 6350000"/>
            <a:gd name="connsiteX239" fmla="*/ 673100 w 3784600"/>
            <a:gd name="connsiteY239" fmla="*/ 76200 h 6350000"/>
            <a:gd name="connsiteX240" fmla="*/ 711200 w 3784600"/>
            <a:gd name="connsiteY240" fmla="*/ 50800 h 6350000"/>
            <a:gd name="connsiteX241" fmla="*/ 762000 w 3784600"/>
            <a:gd name="connsiteY241" fmla="*/ 63500 h 6350000"/>
            <a:gd name="connsiteX242" fmla="*/ 800100 w 3784600"/>
            <a:gd name="connsiteY242" fmla="*/ 76200 h 6350000"/>
            <a:gd name="connsiteX243" fmla="*/ 901700 w 3784600"/>
            <a:gd name="connsiteY243" fmla="*/ 88900 h 6350000"/>
            <a:gd name="connsiteX244" fmla="*/ 939800 w 3784600"/>
            <a:gd name="connsiteY244" fmla="*/ 114300 h 6350000"/>
            <a:gd name="connsiteX245" fmla="*/ 977900 w 3784600"/>
            <a:gd name="connsiteY245" fmla="*/ 127000 h 635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</a:cxnLst>
          <a:rect l="l" t="t" r="r" b="b"/>
          <a:pathLst>
            <a:path w="3784600" h="6350000">
              <a:moveTo>
                <a:pt x="914400" y="215900"/>
              </a:moveTo>
              <a:cubicBezTo>
                <a:pt x="935567" y="203200"/>
                <a:pt x="960446" y="195254"/>
                <a:pt x="977900" y="177800"/>
              </a:cubicBezTo>
              <a:cubicBezTo>
                <a:pt x="987366" y="168334"/>
                <a:pt x="984613" y="151674"/>
                <a:pt x="990600" y="139700"/>
              </a:cubicBezTo>
              <a:cubicBezTo>
                <a:pt x="997426" y="126048"/>
                <a:pt x="1005207" y="112393"/>
                <a:pt x="1016000" y="101600"/>
              </a:cubicBezTo>
              <a:cubicBezTo>
                <a:pt x="1040619" y="76981"/>
                <a:pt x="1061212" y="73829"/>
                <a:pt x="1092200" y="63500"/>
              </a:cubicBezTo>
              <a:cubicBezTo>
                <a:pt x="1109133" y="67733"/>
                <a:pt x="1126217" y="71405"/>
                <a:pt x="1143000" y="76200"/>
              </a:cubicBezTo>
              <a:cubicBezTo>
                <a:pt x="1155872" y="79878"/>
                <a:pt x="1167713" y="88900"/>
                <a:pt x="1181100" y="88900"/>
              </a:cubicBezTo>
              <a:cubicBezTo>
                <a:pt x="1213022" y="88900"/>
                <a:pt x="1231616" y="63642"/>
                <a:pt x="1257300" y="50800"/>
              </a:cubicBezTo>
              <a:cubicBezTo>
                <a:pt x="1269274" y="44813"/>
                <a:pt x="1283426" y="44087"/>
                <a:pt x="1295400" y="38100"/>
              </a:cubicBezTo>
              <a:cubicBezTo>
                <a:pt x="1383105" y="-5753"/>
                <a:pt x="1278574" y="26431"/>
                <a:pt x="1384300" y="0"/>
              </a:cubicBezTo>
              <a:cubicBezTo>
                <a:pt x="1413933" y="4233"/>
                <a:pt x="1445261" y="1954"/>
                <a:pt x="1473200" y="12700"/>
              </a:cubicBezTo>
              <a:cubicBezTo>
                <a:pt x="1501692" y="23659"/>
                <a:pt x="1520440" y="53847"/>
                <a:pt x="1549400" y="63500"/>
              </a:cubicBezTo>
              <a:lnTo>
                <a:pt x="1625600" y="88900"/>
              </a:lnTo>
              <a:cubicBezTo>
                <a:pt x="1615824" y="118229"/>
                <a:pt x="1593814" y="177656"/>
                <a:pt x="1600200" y="203200"/>
              </a:cubicBezTo>
              <a:cubicBezTo>
                <a:pt x="1603902" y="218008"/>
                <a:pt x="1623112" y="227081"/>
                <a:pt x="1638300" y="228600"/>
              </a:cubicBezTo>
              <a:cubicBezTo>
                <a:pt x="1752111" y="239981"/>
                <a:pt x="1866900" y="237067"/>
                <a:pt x="1981200" y="241300"/>
              </a:cubicBezTo>
              <a:cubicBezTo>
                <a:pt x="1972733" y="254000"/>
                <a:pt x="1957486" y="264230"/>
                <a:pt x="1955800" y="279400"/>
              </a:cubicBezTo>
              <a:cubicBezTo>
                <a:pt x="1947226" y="356564"/>
                <a:pt x="1968314" y="342527"/>
                <a:pt x="1993900" y="393700"/>
              </a:cubicBezTo>
              <a:cubicBezTo>
                <a:pt x="1999887" y="405674"/>
                <a:pt x="2002367" y="419100"/>
                <a:pt x="2006600" y="431800"/>
              </a:cubicBezTo>
              <a:cubicBezTo>
                <a:pt x="1982194" y="553832"/>
                <a:pt x="2010564" y="440940"/>
                <a:pt x="1968500" y="546100"/>
              </a:cubicBezTo>
              <a:cubicBezTo>
                <a:pt x="1958556" y="570959"/>
                <a:pt x="1951567" y="596900"/>
                <a:pt x="1943100" y="622300"/>
              </a:cubicBezTo>
              <a:cubicBezTo>
                <a:pt x="1938867" y="635000"/>
                <a:pt x="1939866" y="650934"/>
                <a:pt x="1930400" y="660400"/>
              </a:cubicBezTo>
              <a:cubicBezTo>
                <a:pt x="1897526" y="693274"/>
                <a:pt x="1861672" y="734109"/>
                <a:pt x="1816100" y="749300"/>
              </a:cubicBezTo>
              <a:lnTo>
                <a:pt x="1778000" y="762000"/>
              </a:lnTo>
              <a:cubicBezTo>
                <a:pt x="1769533" y="774700"/>
                <a:pt x="1755109" y="785044"/>
                <a:pt x="1752600" y="800100"/>
              </a:cubicBezTo>
              <a:cubicBezTo>
                <a:pt x="1750399" y="813305"/>
                <a:pt x="1755834" y="828734"/>
                <a:pt x="1765300" y="838200"/>
              </a:cubicBezTo>
              <a:cubicBezTo>
                <a:pt x="1774766" y="847666"/>
                <a:pt x="1791095" y="845627"/>
                <a:pt x="1803400" y="850900"/>
              </a:cubicBezTo>
              <a:cubicBezTo>
                <a:pt x="1959257" y="917696"/>
                <a:pt x="1764755" y="837927"/>
                <a:pt x="1892300" y="901700"/>
              </a:cubicBezTo>
              <a:cubicBezTo>
                <a:pt x="1904274" y="907687"/>
                <a:pt x="1917700" y="910167"/>
                <a:pt x="1930400" y="914400"/>
              </a:cubicBezTo>
              <a:cubicBezTo>
                <a:pt x="1934633" y="939800"/>
                <a:pt x="1938494" y="965265"/>
                <a:pt x="1943100" y="990600"/>
              </a:cubicBezTo>
              <a:cubicBezTo>
                <a:pt x="1946961" y="1011838"/>
                <a:pt x="1941752" y="1037711"/>
                <a:pt x="1955800" y="1054100"/>
              </a:cubicBezTo>
              <a:cubicBezTo>
                <a:pt x="1976195" y="1077895"/>
                <a:pt x="2072507" y="1088368"/>
                <a:pt x="2095500" y="1092200"/>
              </a:cubicBezTo>
              <a:cubicBezTo>
                <a:pt x="2103967" y="1109133"/>
                <a:pt x="2111160" y="1126766"/>
                <a:pt x="2120900" y="1143000"/>
              </a:cubicBezTo>
              <a:cubicBezTo>
                <a:pt x="2186404" y="1252173"/>
                <a:pt x="2158855" y="1180664"/>
                <a:pt x="2184400" y="1257300"/>
              </a:cubicBezTo>
              <a:cubicBezTo>
                <a:pt x="2171700" y="1286933"/>
                <a:pt x="2160718" y="1317364"/>
                <a:pt x="2146300" y="1346200"/>
              </a:cubicBezTo>
              <a:cubicBezTo>
                <a:pt x="2139474" y="1359852"/>
                <a:pt x="2111365" y="1372381"/>
                <a:pt x="2120900" y="1384300"/>
              </a:cubicBezTo>
              <a:cubicBezTo>
                <a:pt x="2137626" y="1405207"/>
                <a:pt x="2172241" y="1399756"/>
                <a:pt x="2197100" y="1409700"/>
              </a:cubicBezTo>
              <a:cubicBezTo>
                <a:pt x="2214678" y="1416731"/>
                <a:pt x="2231462" y="1425707"/>
                <a:pt x="2247900" y="1435100"/>
              </a:cubicBezTo>
              <a:cubicBezTo>
                <a:pt x="2261152" y="1442673"/>
                <a:pt x="2271971" y="1454487"/>
                <a:pt x="2286000" y="1460500"/>
              </a:cubicBezTo>
              <a:cubicBezTo>
                <a:pt x="2302043" y="1467376"/>
                <a:pt x="2319867" y="1468967"/>
                <a:pt x="2336800" y="1473200"/>
              </a:cubicBezTo>
              <a:cubicBezTo>
                <a:pt x="2353733" y="1485900"/>
                <a:pt x="2370376" y="1498997"/>
                <a:pt x="2387600" y="1511300"/>
              </a:cubicBezTo>
              <a:cubicBezTo>
                <a:pt x="2400020" y="1520172"/>
                <a:pt x="2415929" y="1524974"/>
                <a:pt x="2425700" y="1536700"/>
              </a:cubicBezTo>
              <a:cubicBezTo>
                <a:pt x="2437820" y="1551244"/>
                <a:pt x="2444069" y="1569922"/>
                <a:pt x="2451100" y="1587500"/>
              </a:cubicBezTo>
              <a:cubicBezTo>
                <a:pt x="2461044" y="1612359"/>
                <a:pt x="2476500" y="1663700"/>
                <a:pt x="2476500" y="1663700"/>
              </a:cubicBezTo>
              <a:cubicBezTo>
                <a:pt x="2472267" y="1676400"/>
                <a:pt x="2472163" y="1691347"/>
                <a:pt x="2463800" y="1701800"/>
              </a:cubicBezTo>
              <a:cubicBezTo>
                <a:pt x="2445895" y="1724181"/>
                <a:pt x="2412699" y="1731534"/>
                <a:pt x="2387600" y="1739900"/>
              </a:cubicBezTo>
              <a:cubicBezTo>
                <a:pt x="2374758" y="1759163"/>
                <a:pt x="2349500" y="1789810"/>
                <a:pt x="2349500" y="1816100"/>
              </a:cubicBezTo>
              <a:cubicBezTo>
                <a:pt x="2349500" y="1833554"/>
                <a:pt x="2356071" y="1850557"/>
                <a:pt x="2362200" y="1866900"/>
              </a:cubicBezTo>
              <a:cubicBezTo>
                <a:pt x="2374342" y="1899278"/>
                <a:pt x="2388040" y="1933057"/>
                <a:pt x="2425700" y="1943100"/>
              </a:cubicBezTo>
              <a:cubicBezTo>
                <a:pt x="2475462" y="1956370"/>
                <a:pt x="2528137" y="1956009"/>
                <a:pt x="2578100" y="1968500"/>
              </a:cubicBezTo>
              <a:lnTo>
                <a:pt x="2628900" y="1981200"/>
              </a:lnTo>
              <a:cubicBezTo>
                <a:pt x="2650067" y="1993900"/>
                <a:pt x="2674946" y="2001846"/>
                <a:pt x="2692400" y="2019300"/>
              </a:cubicBezTo>
              <a:cubicBezTo>
                <a:pt x="2701866" y="2028766"/>
                <a:pt x="2701853" y="2044413"/>
                <a:pt x="2705100" y="2057400"/>
              </a:cubicBezTo>
              <a:cubicBezTo>
                <a:pt x="2710335" y="2078341"/>
                <a:pt x="2708868" y="2101249"/>
                <a:pt x="2717800" y="2120900"/>
              </a:cubicBezTo>
              <a:cubicBezTo>
                <a:pt x="2730432" y="2148691"/>
                <a:pt x="2751667" y="2171700"/>
                <a:pt x="2768600" y="2197100"/>
              </a:cubicBezTo>
              <a:lnTo>
                <a:pt x="2794000" y="2235200"/>
              </a:lnTo>
              <a:cubicBezTo>
                <a:pt x="2802467" y="2247900"/>
                <a:pt x="2814573" y="2258820"/>
                <a:pt x="2819400" y="2273300"/>
              </a:cubicBezTo>
              <a:cubicBezTo>
                <a:pt x="2823633" y="2286000"/>
                <a:pt x="2824674" y="2300261"/>
                <a:pt x="2832100" y="2311400"/>
              </a:cubicBezTo>
              <a:cubicBezTo>
                <a:pt x="2842063" y="2326344"/>
                <a:pt x="2857500" y="2336800"/>
                <a:pt x="2870200" y="2349500"/>
              </a:cubicBezTo>
              <a:cubicBezTo>
                <a:pt x="2874433" y="2362200"/>
                <a:pt x="2876399" y="2375898"/>
                <a:pt x="2882900" y="2387600"/>
              </a:cubicBezTo>
              <a:cubicBezTo>
                <a:pt x="2939328" y="2489170"/>
                <a:pt x="2923071" y="2430531"/>
                <a:pt x="2959100" y="2514600"/>
              </a:cubicBezTo>
              <a:cubicBezTo>
                <a:pt x="2964373" y="2526905"/>
                <a:pt x="2968553" y="2539713"/>
                <a:pt x="2971800" y="2552700"/>
              </a:cubicBezTo>
              <a:cubicBezTo>
                <a:pt x="2977035" y="2573641"/>
                <a:pt x="2973790" y="2597458"/>
                <a:pt x="2984500" y="2616200"/>
              </a:cubicBezTo>
              <a:cubicBezTo>
                <a:pt x="2992073" y="2629452"/>
                <a:pt x="3009900" y="2633133"/>
                <a:pt x="3022600" y="2641600"/>
              </a:cubicBezTo>
              <a:lnTo>
                <a:pt x="3073400" y="2717800"/>
              </a:lnTo>
              <a:cubicBezTo>
                <a:pt x="3081867" y="2730500"/>
                <a:pt x="3093973" y="2741420"/>
                <a:pt x="3098800" y="2755900"/>
              </a:cubicBezTo>
              <a:cubicBezTo>
                <a:pt x="3129027" y="2846580"/>
                <a:pt x="3109348" y="2809823"/>
                <a:pt x="3149600" y="2870200"/>
              </a:cubicBezTo>
              <a:cubicBezTo>
                <a:pt x="3153833" y="2887133"/>
                <a:pt x="3155424" y="2904957"/>
                <a:pt x="3162300" y="2921000"/>
              </a:cubicBezTo>
              <a:cubicBezTo>
                <a:pt x="3168313" y="2935029"/>
                <a:pt x="3185191" y="2944044"/>
                <a:pt x="3187700" y="2959100"/>
              </a:cubicBezTo>
              <a:cubicBezTo>
                <a:pt x="3189901" y="2972305"/>
                <a:pt x="3183363" y="2986747"/>
                <a:pt x="3175000" y="2997200"/>
              </a:cubicBezTo>
              <a:cubicBezTo>
                <a:pt x="3161283" y="3014347"/>
                <a:pt x="3061226" y="3060437"/>
                <a:pt x="3060700" y="3060700"/>
              </a:cubicBezTo>
              <a:cubicBezTo>
                <a:pt x="3052233" y="3086100"/>
                <a:pt x="3037964" y="3110259"/>
                <a:pt x="3035300" y="3136900"/>
              </a:cubicBezTo>
              <a:cubicBezTo>
                <a:pt x="3033563" y="3154268"/>
                <a:pt x="3044214" y="3170661"/>
                <a:pt x="3048000" y="3187700"/>
              </a:cubicBezTo>
              <a:cubicBezTo>
                <a:pt x="3052683" y="3208772"/>
                <a:pt x="3055020" y="3230375"/>
                <a:pt x="3060700" y="3251200"/>
              </a:cubicBezTo>
              <a:cubicBezTo>
                <a:pt x="3067745" y="3277031"/>
                <a:pt x="3077633" y="3302000"/>
                <a:pt x="3086100" y="3327400"/>
              </a:cubicBezTo>
              <a:lnTo>
                <a:pt x="3098800" y="3365500"/>
              </a:lnTo>
              <a:cubicBezTo>
                <a:pt x="3086100" y="3369733"/>
                <a:pt x="3072674" y="3372213"/>
                <a:pt x="3060700" y="3378200"/>
              </a:cubicBezTo>
              <a:cubicBezTo>
                <a:pt x="3032635" y="3392232"/>
                <a:pt x="2999203" y="3405603"/>
                <a:pt x="3035300" y="3441700"/>
              </a:cubicBezTo>
              <a:cubicBezTo>
                <a:pt x="3044766" y="3451166"/>
                <a:pt x="3060700" y="3450167"/>
                <a:pt x="3073400" y="3454400"/>
              </a:cubicBezTo>
              <a:cubicBezTo>
                <a:pt x="3092663" y="3441558"/>
                <a:pt x="3123310" y="3416300"/>
                <a:pt x="3149600" y="3416300"/>
              </a:cubicBezTo>
              <a:cubicBezTo>
                <a:pt x="3171186" y="3416300"/>
                <a:pt x="3191933" y="3424767"/>
                <a:pt x="3213100" y="3429000"/>
              </a:cubicBezTo>
              <a:cubicBezTo>
                <a:pt x="3217333" y="3441700"/>
                <a:pt x="3222278" y="3454185"/>
                <a:pt x="3225800" y="3467100"/>
              </a:cubicBezTo>
              <a:cubicBezTo>
                <a:pt x="3234985" y="3500779"/>
                <a:pt x="3251200" y="3568700"/>
                <a:pt x="3251200" y="3568700"/>
              </a:cubicBezTo>
              <a:cubicBezTo>
                <a:pt x="3245041" y="3642611"/>
                <a:pt x="3219191" y="3801965"/>
                <a:pt x="3263900" y="3873500"/>
              </a:cubicBezTo>
              <a:cubicBezTo>
                <a:pt x="3278844" y="3897410"/>
                <a:pt x="3364450" y="3923950"/>
                <a:pt x="3403600" y="3937000"/>
              </a:cubicBezTo>
              <a:cubicBezTo>
                <a:pt x="3437467" y="3932767"/>
                <a:pt x="3472089" y="3932578"/>
                <a:pt x="3505200" y="3924300"/>
              </a:cubicBezTo>
              <a:cubicBezTo>
                <a:pt x="3523567" y="3919708"/>
                <a:pt x="3545966" y="3882846"/>
                <a:pt x="3556000" y="3898900"/>
              </a:cubicBezTo>
              <a:cubicBezTo>
                <a:pt x="3578549" y="3934978"/>
                <a:pt x="3562231" y="3983850"/>
                <a:pt x="3568700" y="4025900"/>
              </a:cubicBezTo>
              <a:cubicBezTo>
                <a:pt x="3574828" y="4065729"/>
                <a:pt x="3586971" y="4067400"/>
                <a:pt x="3606800" y="4102100"/>
              </a:cubicBezTo>
              <a:cubicBezTo>
                <a:pt x="3631909" y="4146042"/>
                <a:pt x="3630652" y="4148256"/>
                <a:pt x="3644900" y="4191000"/>
              </a:cubicBezTo>
              <a:cubicBezTo>
                <a:pt x="3653863" y="4352328"/>
                <a:pt x="3640166" y="4364933"/>
                <a:pt x="3670300" y="4470400"/>
              </a:cubicBezTo>
              <a:cubicBezTo>
                <a:pt x="3673978" y="4483272"/>
                <a:pt x="3677013" y="4496526"/>
                <a:pt x="3683000" y="4508500"/>
              </a:cubicBezTo>
              <a:cubicBezTo>
                <a:pt x="3689826" y="4522152"/>
                <a:pt x="3699933" y="4533900"/>
                <a:pt x="3708400" y="4546600"/>
              </a:cubicBezTo>
              <a:cubicBezTo>
                <a:pt x="3712633" y="4580467"/>
                <a:pt x="3714995" y="4614620"/>
                <a:pt x="3721100" y="4648200"/>
              </a:cubicBezTo>
              <a:cubicBezTo>
                <a:pt x="3723495" y="4661371"/>
                <a:pt x="3730122" y="4673428"/>
                <a:pt x="3733800" y="4686300"/>
              </a:cubicBezTo>
              <a:cubicBezTo>
                <a:pt x="3738595" y="4703083"/>
                <a:pt x="3741484" y="4720382"/>
                <a:pt x="3746500" y="4737100"/>
              </a:cubicBezTo>
              <a:cubicBezTo>
                <a:pt x="3754193" y="4762745"/>
                <a:pt x="3763433" y="4787900"/>
                <a:pt x="3771900" y="4813300"/>
              </a:cubicBezTo>
              <a:lnTo>
                <a:pt x="3784600" y="4851400"/>
              </a:lnTo>
              <a:cubicBezTo>
                <a:pt x="3776601" y="4891394"/>
                <a:pt x="3774174" y="4932491"/>
                <a:pt x="3746500" y="4965700"/>
              </a:cubicBezTo>
              <a:cubicBezTo>
                <a:pt x="3736729" y="4977426"/>
                <a:pt x="3721100" y="4982633"/>
                <a:pt x="3708400" y="4991100"/>
              </a:cubicBezTo>
              <a:cubicBezTo>
                <a:pt x="3704167" y="4969933"/>
                <a:pt x="3715007" y="4937253"/>
                <a:pt x="3695700" y="4927600"/>
              </a:cubicBezTo>
              <a:cubicBezTo>
                <a:pt x="3679636" y="4919568"/>
                <a:pt x="3665632" y="4949636"/>
                <a:pt x="3657600" y="4965700"/>
              </a:cubicBezTo>
              <a:cubicBezTo>
                <a:pt x="3639639" y="5001621"/>
                <a:pt x="3632200" y="5041900"/>
                <a:pt x="3619500" y="5080000"/>
              </a:cubicBezTo>
              <a:cubicBezTo>
                <a:pt x="3606800" y="5118100"/>
                <a:pt x="3619500" y="5181600"/>
                <a:pt x="3581400" y="5194300"/>
              </a:cubicBezTo>
              <a:lnTo>
                <a:pt x="3543300" y="5207000"/>
              </a:lnTo>
              <a:cubicBezTo>
                <a:pt x="3512380" y="5114241"/>
                <a:pt x="3543875" y="5124306"/>
                <a:pt x="3467100" y="5143500"/>
              </a:cubicBezTo>
              <a:cubicBezTo>
                <a:pt x="3509781" y="5271543"/>
                <a:pt x="3444660" y="5072932"/>
                <a:pt x="3492500" y="5232400"/>
              </a:cubicBezTo>
              <a:cubicBezTo>
                <a:pt x="3500193" y="5258045"/>
                <a:pt x="3509433" y="5283200"/>
                <a:pt x="3517900" y="5308600"/>
              </a:cubicBezTo>
              <a:cubicBezTo>
                <a:pt x="3522133" y="5321300"/>
                <a:pt x="3527353" y="5333713"/>
                <a:pt x="3530600" y="5346700"/>
              </a:cubicBezTo>
              <a:lnTo>
                <a:pt x="3543300" y="5397500"/>
              </a:lnTo>
              <a:cubicBezTo>
                <a:pt x="3539067" y="5431367"/>
                <a:pt x="3539580" y="5466172"/>
                <a:pt x="3530600" y="5499100"/>
              </a:cubicBezTo>
              <a:cubicBezTo>
                <a:pt x="3526584" y="5513826"/>
                <a:pt x="3514072" y="5524780"/>
                <a:pt x="3505200" y="5537200"/>
              </a:cubicBezTo>
              <a:cubicBezTo>
                <a:pt x="3462238" y="5597347"/>
                <a:pt x="3481614" y="5578324"/>
                <a:pt x="3429000" y="5613400"/>
              </a:cubicBezTo>
              <a:cubicBezTo>
                <a:pt x="3296492" y="5480892"/>
                <a:pt x="3367848" y="5507958"/>
                <a:pt x="3238500" y="5486400"/>
              </a:cubicBezTo>
              <a:cubicBezTo>
                <a:pt x="3225800" y="5477933"/>
                <a:pt x="3214052" y="5467826"/>
                <a:pt x="3200400" y="5461000"/>
              </a:cubicBezTo>
              <a:cubicBezTo>
                <a:pt x="3165056" y="5443328"/>
                <a:pt x="3096264" y="5422055"/>
                <a:pt x="3060700" y="5410200"/>
              </a:cubicBezTo>
              <a:cubicBezTo>
                <a:pt x="3056467" y="5422900"/>
                <a:pt x="3038534" y="5438834"/>
                <a:pt x="3048000" y="5448300"/>
              </a:cubicBezTo>
              <a:cubicBezTo>
                <a:pt x="3063264" y="5463564"/>
                <a:pt x="3090559" y="5455765"/>
                <a:pt x="3111500" y="5461000"/>
              </a:cubicBezTo>
              <a:cubicBezTo>
                <a:pt x="3156217" y="5472179"/>
                <a:pt x="3153669" y="5478331"/>
                <a:pt x="3200400" y="5499100"/>
              </a:cubicBezTo>
              <a:cubicBezTo>
                <a:pt x="3221232" y="5508359"/>
                <a:pt x="3242733" y="5516033"/>
                <a:pt x="3263900" y="5524500"/>
              </a:cubicBezTo>
              <a:cubicBezTo>
                <a:pt x="3170767" y="5528733"/>
                <a:pt x="3076461" y="5521873"/>
                <a:pt x="2984500" y="5537200"/>
              </a:cubicBezTo>
              <a:cubicBezTo>
                <a:pt x="2969444" y="5539709"/>
                <a:pt x="2960619" y="5560112"/>
                <a:pt x="2959100" y="5575300"/>
              </a:cubicBezTo>
              <a:cubicBezTo>
                <a:pt x="2956121" y="5605086"/>
                <a:pt x="2965929" y="5634847"/>
                <a:pt x="2971800" y="5664200"/>
              </a:cubicBezTo>
              <a:cubicBezTo>
                <a:pt x="2974425" y="5677327"/>
                <a:pt x="2980267" y="5689600"/>
                <a:pt x="2984500" y="5702300"/>
              </a:cubicBezTo>
              <a:cubicBezTo>
                <a:pt x="2979622" y="5731566"/>
                <a:pt x="2974732" y="5785336"/>
                <a:pt x="2959100" y="5816600"/>
              </a:cubicBezTo>
              <a:cubicBezTo>
                <a:pt x="2952274" y="5830252"/>
                <a:pt x="2943471" y="5842974"/>
                <a:pt x="2933700" y="5854700"/>
              </a:cubicBezTo>
              <a:cubicBezTo>
                <a:pt x="2922202" y="5868498"/>
                <a:pt x="2908300" y="5880100"/>
                <a:pt x="2895600" y="5892800"/>
              </a:cubicBezTo>
              <a:cubicBezTo>
                <a:pt x="2870876" y="5966973"/>
                <a:pt x="2902245" y="5898855"/>
                <a:pt x="2844800" y="5956300"/>
              </a:cubicBezTo>
              <a:cubicBezTo>
                <a:pt x="2760133" y="6040967"/>
                <a:pt x="2882900" y="5952067"/>
                <a:pt x="2781300" y="6019800"/>
              </a:cubicBezTo>
              <a:cubicBezTo>
                <a:pt x="2772833" y="6032500"/>
                <a:pt x="2767387" y="6047849"/>
                <a:pt x="2755900" y="6057900"/>
              </a:cubicBezTo>
              <a:cubicBezTo>
                <a:pt x="2732926" y="6078002"/>
                <a:pt x="2679700" y="6108700"/>
                <a:pt x="2679700" y="6108700"/>
              </a:cubicBezTo>
              <a:cubicBezTo>
                <a:pt x="2611967" y="6210300"/>
                <a:pt x="2700867" y="6087533"/>
                <a:pt x="2616200" y="6172200"/>
              </a:cubicBezTo>
              <a:cubicBezTo>
                <a:pt x="2516300" y="6272100"/>
                <a:pt x="2677534" y="6144372"/>
                <a:pt x="2552700" y="6248400"/>
              </a:cubicBezTo>
              <a:cubicBezTo>
                <a:pt x="2498105" y="6293896"/>
                <a:pt x="2533778" y="6257861"/>
                <a:pt x="2476500" y="6286500"/>
              </a:cubicBezTo>
              <a:cubicBezTo>
                <a:pt x="2462848" y="6293326"/>
                <a:pt x="2452052" y="6305074"/>
                <a:pt x="2438400" y="6311900"/>
              </a:cubicBezTo>
              <a:cubicBezTo>
                <a:pt x="2409370" y="6326415"/>
                <a:pt x="2365783" y="6330054"/>
                <a:pt x="2336800" y="6337300"/>
              </a:cubicBezTo>
              <a:cubicBezTo>
                <a:pt x="2323813" y="6340547"/>
                <a:pt x="2311400" y="6345767"/>
                <a:pt x="2298700" y="6350000"/>
              </a:cubicBezTo>
              <a:cubicBezTo>
                <a:pt x="2234861" y="6286161"/>
                <a:pt x="2270760" y="6337300"/>
                <a:pt x="2247900" y="6223000"/>
              </a:cubicBezTo>
              <a:cubicBezTo>
                <a:pt x="2241054" y="6188769"/>
                <a:pt x="2222500" y="6121400"/>
                <a:pt x="2222500" y="6121400"/>
              </a:cubicBezTo>
              <a:cubicBezTo>
                <a:pt x="2226733" y="6108700"/>
                <a:pt x="2224307" y="6091081"/>
                <a:pt x="2235200" y="6083300"/>
              </a:cubicBezTo>
              <a:cubicBezTo>
                <a:pt x="2256987" y="6067738"/>
                <a:pt x="2289123" y="6072752"/>
                <a:pt x="2311400" y="6057900"/>
              </a:cubicBezTo>
              <a:lnTo>
                <a:pt x="2349500" y="6032500"/>
              </a:lnTo>
              <a:cubicBezTo>
                <a:pt x="2370667" y="6036733"/>
                <a:pt x="2392789" y="6037621"/>
                <a:pt x="2413000" y="6045200"/>
              </a:cubicBezTo>
              <a:cubicBezTo>
                <a:pt x="2427292" y="6050559"/>
                <a:pt x="2436133" y="6073593"/>
                <a:pt x="2451100" y="6070600"/>
              </a:cubicBezTo>
              <a:cubicBezTo>
                <a:pt x="2466067" y="6067607"/>
                <a:pt x="2468033" y="6045200"/>
                <a:pt x="2476500" y="6032500"/>
              </a:cubicBezTo>
              <a:lnTo>
                <a:pt x="2400300" y="6007100"/>
              </a:lnTo>
              <a:lnTo>
                <a:pt x="2362200" y="5994400"/>
              </a:lnTo>
              <a:cubicBezTo>
                <a:pt x="2357967" y="5981700"/>
                <a:pt x="2349500" y="5969687"/>
                <a:pt x="2349500" y="5956300"/>
              </a:cubicBezTo>
              <a:cubicBezTo>
                <a:pt x="2349500" y="5909458"/>
                <a:pt x="2402035" y="5879522"/>
                <a:pt x="2438400" y="5867400"/>
              </a:cubicBezTo>
              <a:cubicBezTo>
                <a:pt x="2451100" y="5863167"/>
                <a:pt x="2464526" y="5860687"/>
                <a:pt x="2476500" y="5854700"/>
              </a:cubicBezTo>
              <a:cubicBezTo>
                <a:pt x="2490152" y="5847874"/>
                <a:pt x="2501900" y="5837767"/>
                <a:pt x="2514600" y="5829300"/>
              </a:cubicBezTo>
              <a:cubicBezTo>
                <a:pt x="2501900" y="5812367"/>
                <a:pt x="2492761" y="5792051"/>
                <a:pt x="2476500" y="5778500"/>
              </a:cubicBezTo>
              <a:cubicBezTo>
                <a:pt x="2466216" y="5769930"/>
                <a:pt x="2450374" y="5771787"/>
                <a:pt x="2438400" y="5765800"/>
              </a:cubicBezTo>
              <a:cubicBezTo>
                <a:pt x="2424748" y="5758974"/>
                <a:pt x="2413000" y="5748867"/>
                <a:pt x="2400300" y="5740400"/>
              </a:cubicBezTo>
              <a:cubicBezTo>
                <a:pt x="2375201" y="5748766"/>
                <a:pt x="2342005" y="5756119"/>
                <a:pt x="2324100" y="5778500"/>
              </a:cubicBezTo>
              <a:cubicBezTo>
                <a:pt x="2315737" y="5788953"/>
                <a:pt x="2321853" y="5808237"/>
                <a:pt x="2311400" y="5816600"/>
              </a:cubicBezTo>
              <a:cubicBezTo>
                <a:pt x="2297770" y="5827504"/>
                <a:pt x="2277533" y="5825067"/>
                <a:pt x="2260600" y="5829300"/>
              </a:cubicBezTo>
              <a:cubicBezTo>
                <a:pt x="2247900" y="5820833"/>
                <a:pt x="2233293" y="5814693"/>
                <a:pt x="2222500" y="5803900"/>
              </a:cubicBezTo>
              <a:cubicBezTo>
                <a:pt x="2211707" y="5793107"/>
                <a:pt x="2206871" y="5777526"/>
                <a:pt x="2197100" y="5765800"/>
              </a:cubicBezTo>
              <a:cubicBezTo>
                <a:pt x="2185602" y="5752002"/>
                <a:pt x="2170498" y="5741498"/>
                <a:pt x="2159000" y="5727700"/>
              </a:cubicBezTo>
              <a:cubicBezTo>
                <a:pt x="2106083" y="5664200"/>
                <a:pt x="2165350" y="5710767"/>
                <a:pt x="2095500" y="5664200"/>
              </a:cubicBezTo>
              <a:cubicBezTo>
                <a:pt x="2071672" y="5616544"/>
                <a:pt x="2066046" y="5614475"/>
                <a:pt x="2057400" y="5562600"/>
              </a:cubicBezTo>
              <a:cubicBezTo>
                <a:pt x="2047795" y="5504971"/>
                <a:pt x="2066033" y="5452616"/>
                <a:pt x="2006600" y="5422900"/>
              </a:cubicBezTo>
              <a:cubicBezTo>
                <a:pt x="1979035" y="5409117"/>
                <a:pt x="1947333" y="5405967"/>
                <a:pt x="1917700" y="5397500"/>
              </a:cubicBezTo>
              <a:cubicBezTo>
                <a:pt x="1905000" y="5384800"/>
                <a:pt x="1891098" y="5373198"/>
                <a:pt x="1879600" y="5359400"/>
              </a:cubicBezTo>
              <a:cubicBezTo>
                <a:pt x="1869829" y="5347674"/>
                <a:pt x="1867543" y="5328713"/>
                <a:pt x="1854200" y="5321300"/>
              </a:cubicBezTo>
              <a:cubicBezTo>
                <a:pt x="1827259" y="5306333"/>
                <a:pt x="1794819" y="5304756"/>
                <a:pt x="1765300" y="5295900"/>
              </a:cubicBezTo>
              <a:cubicBezTo>
                <a:pt x="1717500" y="5281560"/>
                <a:pt x="1732889" y="5286992"/>
                <a:pt x="1689100" y="5257800"/>
              </a:cubicBezTo>
              <a:cubicBezTo>
                <a:pt x="1684867" y="5245100"/>
                <a:pt x="1676400" y="5233087"/>
                <a:pt x="1676400" y="5219700"/>
              </a:cubicBezTo>
              <a:cubicBezTo>
                <a:pt x="1676400" y="5194300"/>
                <a:pt x="1710267" y="5168900"/>
                <a:pt x="1676400" y="5143500"/>
              </a:cubicBezTo>
              <a:cubicBezTo>
                <a:pt x="1600294" y="5086421"/>
                <a:pt x="1517544" y="5038568"/>
                <a:pt x="1435100" y="4991100"/>
              </a:cubicBezTo>
              <a:cubicBezTo>
                <a:pt x="1377676" y="4958038"/>
                <a:pt x="1304154" y="4949054"/>
                <a:pt x="1257300" y="4902200"/>
              </a:cubicBezTo>
              <a:cubicBezTo>
                <a:pt x="1183007" y="4827907"/>
                <a:pt x="1218707" y="4855304"/>
                <a:pt x="1155700" y="4813300"/>
              </a:cubicBezTo>
              <a:cubicBezTo>
                <a:pt x="1128902" y="4545325"/>
                <a:pt x="1165139" y="4789187"/>
                <a:pt x="1117600" y="4622800"/>
              </a:cubicBezTo>
              <a:cubicBezTo>
                <a:pt x="1074533" y="4472067"/>
                <a:pt x="1119464" y="4549396"/>
                <a:pt x="1066800" y="4470400"/>
              </a:cubicBezTo>
              <a:cubicBezTo>
                <a:pt x="1062567" y="4453467"/>
                <a:pt x="1063351" y="4434401"/>
                <a:pt x="1054100" y="4419600"/>
              </a:cubicBezTo>
              <a:cubicBezTo>
                <a:pt x="968006" y="4281849"/>
                <a:pt x="1025311" y="4434834"/>
                <a:pt x="990600" y="4330700"/>
              </a:cubicBezTo>
              <a:cubicBezTo>
                <a:pt x="1003300" y="4313767"/>
                <a:pt x="1018198" y="4298278"/>
                <a:pt x="1028700" y="4279900"/>
              </a:cubicBezTo>
              <a:cubicBezTo>
                <a:pt x="1061765" y="4222036"/>
                <a:pt x="1005835" y="4228255"/>
                <a:pt x="1117600" y="4191000"/>
              </a:cubicBezTo>
              <a:lnTo>
                <a:pt x="1193800" y="4165600"/>
              </a:lnTo>
              <a:cubicBezTo>
                <a:pt x="1223433" y="4169833"/>
                <a:pt x="1253347" y="4172429"/>
                <a:pt x="1282700" y="4178300"/>
              </a:cubicBezTo>
              <a:cubicBezTo>
                <a:pt x="1295827" y="4180925"/>
                <a:pt x="1310090" y="4199032"/>
                <a:pt x="1320800" y="4191000"/>
              </a:cubicBezTo>
              <a:cubicBezTo>
                <a:pt x="1334764" y="4180527"/>
                <a:pt x="1328484" y="4156918"/>
                <a:pt x="1333500" y="4140200"/>
              </a:cubicBezTo>
              <a:lnTo>
                <a:pt x="1371600" y="4025900"/>
              </a:lnTo>
              <a:lnTo>
                <a:pt x="1384300" y="3987800"/>
              </a:lnTo>
              <a:lnTo>
                <a:pt x="1397000" y="3949700"/>
              </a:lnTo>
              <a:cubicBezTo>
                <a:pt x="1384300" y="3937000"/>
                <a:pt x="1373425" y="3922164"/>
                <a:pt x="1358900" y="3911600"/>
              </a:cubicBezTo>
              <a:cubicBezTo>
                <a:pt x="1275272" y="3850780"/>
                <a:pt x="1285358" y="3857453"/>
                <a:pt x="1219200" y="3835400"/>
              </a:cubicBezTo>
              <a:cubicBezTo>
                <a:pt x="1202267" y="3822700"/>
                <a:pt x="1184062" y="3811538"/>
                <a:pt x="1168400" y="3797300"/>
              </a:cubicBezTo>
              <a:cubicBezTo>
                <a:pt x="1137391" y="3769110"/>
                <a:pt x="1115886" y="3729192"/>
                <a:pt x="1079500" y="3708400"/>
              </a:cubicBezTo>
              <a:cubicBezTo>
                <a:pt x="1049867" y="3691467"/>
                <a:pt x="1019394" y="3675924"/>
                <a:pt x="990600" y="3657600"/>
              </a:cubicBezTo>
              <a:cubicBezTo>
                <a:pt x="940855" y="3625944"/>
                <a:pt x="913095" y="3591996"/>
                <a:pt x="863600" y="3556000"/>
              </a:cubicBezTo>
              <a:cubicBezTo>
                <a:pt x="843637" y="3541481"/>
                <a:pt x="821267" y="3530600"/>
                <a:pt x="800100" y="3517900"/>
              </a:cubicBezTo>
              <a:cubicBezTo>
                <a:pt x="742386" y="3431329"/>
                <a:pt x="802609" y="3540484"/>
                <a:pt x="787400" y="3403600"/>
              </a:cubicBezTo>
              <a:cubicBezTo>
                <a:pt x="785190" y="3383708"/>
                <a:pt x="733782" y="3337282"/>
                <a:pt x="723900" y="3327400"/>
              </a:cubicBezTo>
              <a:cubicBezTo>
                <a:pt x="713878" y="3297335"/>
                <a:pt x="698500" y="3256451"/>
                <a:pt x="698500" y="3225800"/>
              </a:cubicBezTo>
              <a:cubicBezTo>
                <a:pt x="698500" y="3179755"/>
                <a:pt x="716198" y="3126904"/>
                <a:pt x="736600" y="3086100"/>
              </a:cubicBezTo>
              <a:cubicBezTo>
                <a:pt x="796583" y="2966133"/>
                <a:pt x="758761" y="3070416"/>
                <a:pt x="787400" y="2984500"/>
              </a:cubicBezTo>
              <a:cubicBezTo>
                <a:pt x="777439" y="2964578"/>
                <a:pt x="754551" y="2913551"/>
                <a:pt x="736600" y="2895600"/>
              </a:cubicBezTo>
              <a:cubicBezTo>
                <a:pt x="725807" y="2884807"/>
                <a:pt x="711200" y="2878667"/>
                <a:pt x="698500" y="2870200"/>
              </a:cubicBezTo>
              <a:cubicBezTo>
                <a:pt x="688171" y="2839212"/>
                <a:pt x="685019" y="2818619"/>
                <a:pt x="660400" y="2794000"/>
              </a:cubicBezTo>
              <a:cubicBezTo>
                <a:pt x="649607" y="2783207"/>
                <a:pt x="635000" y="2777067"/>
                <a:pt x="622300" y="2768600"/>
              </a:cubicBezTo>
              <a:cubicBezTo>
                <a:pt x="618067" y="2755900"/>
                <a:pt x="615587" y="2742474"/>
                <a:pt x="609600" y="2730500"/>
              </a:cubicBezTo>
              <a:cubicBezTo>
                <a:pt x="563778" y="2638857"/>
                <a:pt x="603330" y="2752926"/>
                <a:pt x="558800" y="2641600"/>
              </a:cubicBezTo>
              <a:cubicBezTo>
                <a:pt x="548856" y="2616741"/>
                <a:pt x="533400" y="2565400"/>
                <a:pt x="533400" y="2565400"/>
              </a:cubicBezTo>
              <a:cubicBezTo>
                <a:pt x="537633" y="2523067"/>
                <a:pt x="533410" y="2479008"/>
                <a:pt x="546100" y="2438400"/>
              </a:cubicBezTo>
              <a:cubicBezTo>
                <a:pt x="555205" y="2409263"/>
                <a:pt x="596900" y="2362200"/>
                <a:pt x="596900" y="2362200"/>
              </a:cubicBezTo>
              <a:cubicBezTo>
                <a:pt x="584200" y="2345267"/>
                <a:pt x="570938" y="2328740"/>
                <a:pt x="558800" y="2311400"/>
              </a:cubicBezTo>
              <a:cubicBezTo>
                <a:pt x="541294" y="2286391"/>
                <a:pt x="508000" y="2235200"/>
                <a:pt x="508000" y="2235200"/>
              </a:cubicBezTo>
              <a:cubicBezTo>
                <a:pt x="515918" y="2187690"/>
                <a:pt x="537669" y="2101903"/>
                <a:pt x="508000" y="2057400"/>
              </a:cubicBezTo>
              <a:cubicBezTo>
                <a:pt x="496026" y="2039439"/>
                <a:pt x="465667" y="2048933"/>
                <a:pt x="444500" y="2044700"/>
              </a:cubicBezTo>
              <a:cubicBezTo>
                <a:pt x="436033" y="2032000"/>
                <a:pt x="426673" y="2019852"/>
                <a:pt x="419100" y="2006600"/>
              </a:cubicBezTo>
              <a:cubicBezTo>
                <a:pt x="399748" y="1972733"/>
                <a:pt x="391177" y="1953320"/>
                <a:pt x="381000" y="1917700"/>
              </a:cubicBezTo>
              <a:cubicBezTo>
                <a:pt x="376205" y="1900917"/>
                <a:pt x="371169" y="1884117"/>
                <a:pt x="368300" y="1866900"/>
              </a:cubicBezTo>
              <a:cubicBezTo>
                <a:pt x="362689" y="1833234"/>
                <a:pt x="362561" y="1798713"/>
                <a:pt x="355600" y="1765300"/>
              </a:cubicBezTo>
              <a:cubicBezTo>
                <a:pt x="341360" y="1696950"/>
                <a:pt x="316278" y="1630968"/>
                <a:pt x="304800" y="1562100"/>
              </a:cubicBezTo>
              <a:cubicBezTo>
                <a:pt x="289899" y="1472695"/>
                <a:pt x="300243" y="1510329"/>
                <a:pt x="279400" y="1447800"/>
              </a:cubicBezTo>
              <a:cubicBezTo>
                <a:pt x="275167" y="1409700"/>
                <a:pt x="273002" y="1371313"/>
                <a:pt x="266700" y="1333500"/>
              </a:cubicBezTo>
              <a:cubicBezTo>
                <a:pt x="264499" y="1320295"/>
                <a:pt x="261426" y="1306539"/>
                <a:pt x="254000" y="1295400"/>
              </a:cubicBezTo>
              <a:cubicBezTo>
                <a:pt x="244037" y="1280456"/>
                <a:pt x="228600" y="1270000"/>
                <a:pt x="215900" y="1257300"/>
              </a:cubicBezTo>
              <a:cubicBezTo>
                <a:pt x="203200" y="1219200"/>
                <a:pt x="215900" y="1130300"/>
                <a:pt x="177800" y="1143000"/>
              </a:cubicBezTo>
              <a:lnTo>
                <a:pt x="101600" y="1168400"/>
              </a:lnTo>
              <a:cubicBezTo>
                <a:pt x="88900" y="1164167"/>
                <a:pt x="72966" y="1165166"/>
                <a:pt x="63500" y="1155700"/>
              </a:cubicBezTo>
              <a:cubicBezTo>
                <a:pt x="54034" y="1146234"/>
                <a:pt x="56073" y="1129905"/>
                <a:pt x="50800" y="1117600"/>
              </a:cubicBezTo>
              <a:cubicBezTo>
                <a:pt x="31464" y="1072484"/>
                <a:pt x="25509" y="1066964"/>
                <a:pt x="0" y="1028700"/>
              </a:cubicBezTo>
              <a:cubicBezTo>
                <a:pt x="12700" y="1020233"/>
                <a:pt x="26374" y="1013071"/>
                <a:pt x="38100" y="1003300"/>
              </a:cubicBezTo>
              <a:cubicBezTo>
                <a:pt x="51898" y="991802"/>
                <a:pt x="61256" y="975163"/>
                <a:pt x="76200" y="965200"/>
              </a:cubicBezTo>
              <a:cubicBezTo>
                <a:pt x="92937" y="954042"/>
                <a:pt x="168640" y="941632"/>
                <a:pt x="177800" y="939800"/>
              </a:cubicBezTo>
              <a:cubicBezTo>
                <a:pt x="190500" y="931333"/>
                <a:pt x="202248" y="921226"/>
                <a:pt x="215900" y="914400"/>
              </a:cubicBezTo>
              <a:cubicBezTo>
                <a:pt x="246272" y="899214"/>
                <a:pt x="284525" y="887292"/>
                <a:pt x="317500" y="876300"/>
              </a:cubicBezTo>
              <a:cubicBezTo>
                <a:pt x="409954" y="737618"/>
                <a:pt x="273590" y="951419"/>
                <a:pt x="355600" y="787400"/>
              </a:cubicBezTo>
              <a:cubicBezTo>
                <a:pt x="387642" y="723316"/>
                <a:pt x="409950" y="707650"/>
                <a:pt x="457200" y="660400"/>
              </a:cubicBezTo>
              <a:cubicBezTo>
                <a:pt x="461433" y="647700"/>
                <a:pt x="461537" y="632753"/>
                <a:pt x="469900" y="622300"/>
              </a:cubicBezTo>
              <a:cubicBezTo>
                <a:pt x="535552" y="540236"/>
                <a:pt x="488778" y="654565"/>
                <a:pt x="520700" y="558800"/>
              </a:cubicBezTo>
              <a:cubicBezTo>
                <a:pt x="510962" y="471156"/>
                <a:pt x="494618" y="393478"/>
                <a:pt x="520700" y="304800"/>
              </a:cubicBezTo>
              <a:cubicBezTo>
                <a:pt x="529314" y="275513"/>
                <a:pt x="557848" y="255904"/>
                <a:pt x="571500" y="228600"/>
              </a:cubicBezTo>
              <a:cubicBezTo>
                <a:pt x="579967" y="211667"/>
                <a:pt x="584780" y="192344"/>
                <a:pt x="596900" y="177800"/>
              </a:cubicBezTo>
              <a:cubicBezTo>
                <a:pt x="606671" y="166074"/>
                <a:pt x="622300" y="160867"/>
                <a:pt x="635000" y="152400"/>
              </a:cubicBezTo>
              <a:cubicBezTo>
                <a:pt x="643467" y="139700"/>
                <a:pt x="653574" y="127952"/>
                <a:pt x="660400" y="114300"/>
              </a:cubicBezTo>
              <a:cubicBezTo>
                <a:pt x="666387" y="102326"/>
                <a:pt x="664737" y="86653"/>
                <a:pt x="673100" y="76200"/>
              </a:cubicBezTo>
              <a:cubicBezTo>
                <a:pt x="682635" y="64281"/>
                <a:pt x="698500" y="59267"/>
                <a:pt x="711200" y="50800"/>
              </a:cubicBezTo>
              <a:cubicBezTo>
                <a:pt x="728133" y="55033"/>
                <a:pt x="745217" y="58705"/>
                <a:pt x="762000" y="63500"/>
              </a:cubicBezTo>
              <a:cubicBezTo>
                <a:pt x="774872" y="67178"/>
                <a:pt x="786929" y="73805"/>
                <a:pt x="800100" y="76200"/>
              </a:cubicBezTo>
              <a:cubicBezTo>
                <a:pt x="833680" y="82305"/>
                <a:pt x="867833" y="84667"/>
                <a:pt x="901700" y="88900"/>
              </a:cubicBezTo>
              <a:cubicBezTo>
                <a:pt x="914400" y="97367"/>
                <a:pt x="926148" y="107474"/>
                <a:pt x="939800" y="114300"/>
              </a:cubicBezTo>
              <a:cubicBezTo>
                <a:pt x="951774" y="120287"/>
                <a:pt x="977900" y="127000"/>
                <a:pt x="977900" y="127000"/>
              </a:cubicBezTo>
            </a:path>
          </a:pathLst>
        </a:custGeom>
        <a:solidFill>
          <a:srgbClr val="FFCC66"/>
        </a:solidFill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139700</xdr:colOff>
      <xdr:row>5</xdr:row>
      <xdr:rowOff>101600</xdr:rowOff>
    </xdr:from>
    <xdr:to>
      <xdr:col>4</xdr:col>
      <xdr:colOff>622300</xdr:colOff>
      <xdr:row>36</xdr:row>
      <xdr:rowOff>12700</xdr:rowOff>
    </xdr:to>
    <xdr:sp macro="" textlink="">
      <xdr:nvSpPr>
        <xdr:cNvPr id="10" name="Freeform 9"/>
        <xdr:cNvSpPr/>
      </xdr:nvSpPr>
      <xdr:spPr>
        <a:xfrm>
          <a:off x="1790700" y="5791200"/>
          <a:ext cx="2133600" cy="5422900"/>
        </a:xfrm>
        <a:custGeom>
          <a:avLst/>
          <a:gdLst>
            <a:gd name="connsiteX0" fmla="*/ 2133600 w 2133600"/>
            <a:gd name="connsiteY0" fmla="*/ 4368800 h 4368800"/>
            <a:gd name="connsiteX1" fmla="*/ 2108200 w 2133600"/>
            <a:gd name="connsiteY1" fmla="*/ 4305300 h 4368800"/>
            <a:gd name="connsiteX2" fmla="*/ 2095500 w 2133600"/>
            <a:gd name="connsiteY2" fmla="*/ 4229100 h 4368800"/>
            <a:gd name="connsiteX3" fmla="*/ 2057400 w 2133600"/>
            <a:gd name="connsiteY3" fmla="*/ 4203700 h 4368800"/>
            <a:gd name="connsiteX4" fmla="*/ 1981200 w 2133600"/>
            <a:gd name="connsiteY4" fmla="*/ 4178300 h 4368800"/>
            <a:gd name="connsiteX5" fmla="*/ 1905000 w 2133600"/>
            <a:gd name="connsiteY5" fmla="*/ 4178300 h 4368800"/>
            <a:gd name="connsiteX6" fmla="*/ 1930400 w 2133600"/>
            <a:gd name="connsiteY6" fmla="*/ 4140200 h 4368800"/>
            <a:gd name="connsiteX7" fmla="*/ 1981200 w 2133600"/>
            <a:gd name="connsiteY7" fmla="*/ 4076700 h 4368800"/>
            <a:gd name="connsiteX8" fmla="*/ 2006600 w 2133600"/>
            <a:gd name="connsiteY8" fmla="*/ 3975100 h 4368800"/>
            <a:gd name="connsiteX9" fmla="*/ 1968500 w 2133600"/>
            <a:gd name="connsiteY9" fmla="*/ 3873500 h 4368800"/>
            <a:gd name="connsiteX10" fmla="*/ 1943100 w 2133600"/>
            <a:gd name="connsiteY10" fmla="*/ 3797300 h 4368800"/>
            <a:gd name="connsiteX11" fmla="*/ 1917700 w 2133600"/>
            <a:gd name="connsiteY11" fmla="*/ 3759200 h 4368800"/>
            <a:gd name="connsiteX12" fmla="*/ 1905000 w 2133600"/>
            <a:gd name="connsiteY12" fmla="*/ 3721100 h 4368800"/>
            <a:gd name="connsiteX13" fmla="*/ 1866900 w 2133600"/>
            <a:gd name="connsiteY13" fmla="*/ 3695700 h 4368800"/>
            <a:gd name="connsiteX14" fmla="*/ 1816100 w 2133600"/>
            <a:gd name="connsiteY14" fmla="*/ 3594100 h 4368800"/>
            <a:gd name="connsiteX15" fmla="*/ 1765300 w 2133600"/>
            <a:gd name="connsiteY15" fmla="*/ 3581400 h 4368800"/>
            <a:gd name="connsiteX16" fmla="*/ 1511300 w 2133600"/>
            <a:gd name="connsiteY16" fmla="*/ 3568700 h 4368800"/>
            <a:gd name="connsiteX17" fmla="*/ 1587500 w 2133600"/>
            <a:gd name="connsiteY17" fmla="*/ 3543300 h 4368800"/>
            <a:gd name="connsiteX18" fmla="*/ 1676400 w 2133600"/>
            <a:gd name="connsiteY18" fmla="*/ 3429000 h 4368800"/>
            <a:gd name="connsiteX19" fmla="*/ 1765300 w 2133600"/>
            <a:gd name="connsiteY19" fmla="*/ 3390900 h 4368800"/>
            <a:gd name="connsiteX20" fmla="*/ 1727200 w 2133600"/>
            <a:gd name="connsiteY20" fmla="*/ 3365500 h 4368800"/>
            <a:gd name="connsiteX21" fmla="*/ 1663700 w 2133600"/>
            <a:gd name="connsiteY21" fmla="*/ 3340100 h 4368800"/>
            <a:gd name="connsiteX22" fmla="*/ 1765300 w 2133600"/>
            <a:gd name="connsiteY22" fmla="*/ 3136900 h 4368800"/>
            <a:gd name="connsiteX23" fmla="*/ 1778000 w 2133600"/>
            <a:gd name="connsiteY23" fmla="*/ 3073400 h 4368800"/>
            <a:gd name="connsiteX24" fmla="*/ 1727200 w 2133600"/>
            <a:gd name="connsiteY24" fmla="*/ 3086100 h 4368800"/>
            <a:gd name="connsiteX25" fmla="*/ 1625600 w 2133600"/>
            <a:gd name="connsiteY25" fmla="*/ 3073400 h 4368800"/>
            <a:gd name="connsiteX26" fmla="*/ 1587500 w 2133600"/>
            <a:gd name="connsiteY26" fmla="*/ 3048000 h 4368800"/>
            <a:gd name="connsiteX27" fmla="*/ 1549400 w 2133600"/>
            <a:gd name="connsiteY27" fmla="*/ 3035300 h 4368800"/>
            <a:gd name="connsiteX28" fmla="*/ 1498600 w 2133600"/>
            <a:gd name="connsiteY28" fmla="*/ 2997200 h 4368800"/>
            <a:gd name="connsiteX29" fmla="*/ 1473200 w 2133600"/>
            <a:gd name="connsiteY29" fmla="*/ 2921000 h 4368800"/>
            <a:gd name="connsiteX30" fmla="*/ 1485900 w 2133600"/>
            <a:gd name="connsiteY30" fmla="*/ 2844800 h 4368800"/>
            <a:gd name="connsiteX31" fmla="*/ 1498600 w 2133600"/>
            <a:gd name="connsiteY31" fmla="*/ 2806700 h 4368800"/>
            <a:gd name="connsiteX32" fmla="*/ 1435100 w 2133600"/>
            <a:gd name="connsiteY32" fmla="*/ 2730500 h 4368800"/>
            <a:gd name="connsiteX33" fmla="*/ 1346200 w 2133600"/>
            <a:gd name="connsiteY33" fmla="*/ 2616200 h 4368800"/>
            <a:gd name="connsiteX34" fmla="*/ 1320800 w 2133600"/>
            <a:gd name="connsiteY34" fmla="*/ 2578100 h 4368800"/>
            <a:gd name="connsiteX35" fmla="*/ 1282700 w 2133600"/>
            <a:gd name="connsiteY35" fmla="*/ 2552700 h 4368800"/>
            <a:gd name="connsiteX36" fmla="*/ 1295400 w 2133600"/>
            <a:gd name="connsiteY36" fmla="*/ 2476500 h 4368800"/>
            <a:gd name="connsiteX37" fmla="*/ 1270000 w 2133600"/>
            <a:gd name="connsiteY37" fmla="*/ 2362200 h 4368800"/>
            <a:gd name="connsiteX38" fmla="*/ 1231900 w 2133600"/>
            <a:gd name="connsiteY38" fmla="*/ 2324100 h 4368800"/>
            <a:gd name="connsiteX39" fmla="*/ 1219200 w 2133600"/>
            <a:gd name="connsiteY39" fmla="*/ 2286000 h 4368800"/>
            <a:gd name="connsiteX40" fmla="*/ 1155700 w 2133600"/>
            <a:gd name="connsiteY40" fmla="*/ 2209800 h 4368800"/>
            <a:gd name="connsiteX41" fmla="*/ 1155700 w 2133600"/>
            <a:gd name="connsiteY41" fmla="*/ 1930400 h 4368800"/>
            <a:gd name="connsiteX42" fmla="*/ 1117600 w 2133600"/>
            <a:gd name="connsiteY42" fmla="*/ 1854200 h 4368800"/>
            <a:gd name="connsiteX43" fmla="*/ 1079500 w 2133600"/>
            <a:gd name="connsiteY43" fmla="*/ 1828800 h 4368800"/>
            <a:gd name="connsiteX44" fmla="*/ 1092200 w 2133600"/>
            <a:gd name="connsiteY44" fmla="*/ 1765300 h 4368800"/>
            <a:gd name="connsiteX45" fmla="*/ 1054100 w 2133600"/>
            <a:gd name="connsiteY45" fmla="*/ 1739900 h 4368800"/>
            <a:gd name="connsiteX46" fmla="*/ 1041400 w 2133600"/>
            <a:gd name="connsiteY46" fmla="*/ 1701800 h 4368800"/>
            <a:gd name="connsiteX47" fmla="*/ 1003300 w 2133600"/>
            <a:gd name="connsiteY47" fmla="*/ 1524000 h 4368800"/>
            <a:gd name="connsiteX48" fmla="*/ 977900 w 2133600"/>
            <a:gd name="connsiteY48" fmla="*/ 1485900 h 4368800"/>
            <a:gd name="connsiteX49" fmla="*/ 939800 w 2133600"/>
            <a:gd name="connsiteY49" fmla="*/ 1460500 h 4368800"/>
            <a:gd name="connsiteX50" fmla="*/ 914400 w 2133600"/>
            <a:gd name="connsiteY50" fmla="*/ 1422400 h 4368800"/>
            <a:gd name="connsiteX51" fmla="*/ 889000 w 2133600"/>
            <a:gd name="connsiteY51" fmla="*/ 1219200 h 4368800"/>
            <a:gd name="connsiteX52" fmla="*/ 850900 w 2133600"/>
            <a:gd name="connsiteY52" fmla="*/ 1231900 h 4368800"/>
            <a:gd name="connsiteX53" fmla="*/ 825500 w 2133600"/>
            <a:gd name="connsiteY53" fmla="*/ 1193800 h 4368800"/>
            <a:gd name="connsiteX54" fmla="*/ 800100 w 2133600"/>
            <a:gd name="connsiteY54" fmla="*/ 1079500 h 4368800"/>
            <a:gd name="connsiteX55" fmla="*/ 749300 w 2133600"/>
            <a:gd name="connsiteY55" fmla="*/ 1041400 h 4368800"/>
            <a:gd name="connsiteX56" fmla="*/ 711200 w 2133600"/>
            <a:gd name="connsiteY56" fmla="*/ 1003300 h 4368800"/>
            <a:gd name="connsiteX57" fmla="*/ 673100 w 2133600"/>
            <a:gd name="connsiteY57" fmla="*/ 977900 h 4368800"/>
            <a:gd name="connsiteX58" fmla="*/ 622300 w 2133600"/>
            <a:gd name="connsiteY58" fmla="*/ 939800 h 4368800"/>
            <a:gd name="connsiteX59" fmla="*/ 571500 w 2133600"/>
            <a:gd name="connsiteY59" fmla="*/ 914400 h 4368800"/>
            <a:gd name="connsiteX60" fmla="*/ 533400 w 2133600"/>
            <a:gd name="connsiteY60" fmla="*/ 889000 h 4368800"/>
            <a:gd name="connsiteX61" fmla="*/ 457200 w 2133600"/>
            <a:gd name="connsiteY61" fmla="*/ 838200 h 4368800"/>
            <a:gd name="connsiteX62" fmla="*/ 406400 w 2133600"/>
            <a:gd name="connsiteY62" fmla="*/ 800100 h 4368800"/>
            <a:gd name="connsiteX63" fmla="*/ 292100 w 2133600"/>
            <a:gd name="connsiteY63" fmla="*/ 774700 h 4368800"/>
            <a:gd name="connsiteX64" fmla="*/ 76200 w 2133600"/>
            <a:gd name="connsiteY64" fmla="*/ 685800 h 4368800"/>
            <a:gd name="connsiteX65" fmla="*/ 0 w 2133600"/>
            <a:gd name="connsiteY65" fmla="*/ 673100 h 4368800"/>
            <a:gd name="connsiteX66" fmla="*/ 12700 w 2133600"/>
            <a:gd name="connsiteY66" fmla="*/ 635000 h 4368800"/>
            <a:gd name="connsiteX67" fmla="*/ 38100 w 2133600"/>
            <a:gd name="connsiteY67" fmla="*/ 596900 h 4368800"/>
            <a:gd name="connsiteX68" fmla="*/ 63500 w 2133600"/>
            <a:gd name="connsiteY68" fmla="*/ 508000 h 4368800"/>
            <a:gd name="connsiteX69" fmla="*/ 101600 w 2133600"/>
            <a:gd name="connsiteY69" fmla="*/ 482600 h 4368800"/>
            <a:gd name="connsiteX70" fmla="*/ 127000 w 2133600"/>
            <a:gd name="connsiteY70" fmla="*/ 406400 h 4368800"/>
            <a:gd name="connsiteX71" fmla="*/ 139700 w 2133600"/>
            <a:gd name="connsiteY71" fmla="*/ 368300 h 4368800"/>
            <a:gd name="connsiteX72" fmla="*/ 152400 w 2133600"/>
            <a:gd name="connsiteY72" fmla="*/ 0 h 436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</a:cxnLst>
          <a:rect l="l" t="t" r="r" b="b"/>
          <a:pathLst>
            <a:path w="2133600" h="4368800">
              <a:moveTo>
                <a:pt x="2133600" y="4368800"/>
              </a:moveTo>
              <a:cubicBezTo>
                <a:pt x="2125133" y="4347633"/>
                <a:pt x="2114198" y="4327294"/>
                <a:pt x="2108200" y="4305300"/>
              </a:cubicBezTo>
              <a:cubicBezTo>
                <a:pt x="2101425" y="4280457"/>
                <a:pt x="2107016" y="4252132"/>
                <a:pt x="2095500" y="4229100"/>
              </a:cubicBezTo>
              <a:cubicBezTo>
                <a:pt x="2088674" y="4215448"/>
                <a:pt x="2071348" y="4209899"/>
                <a:pt x="2057400" y="4203700"/>
              </a:cubicBezTo>
              <a:cubicBezTo>
                <a:pt x="2032934" y="4192826"/>
                <a:pt x="1981200" y="4178300"/>
                <a:pt x="1981200" y="4178300"/>
              </a:cubicBezTo>
              <a:cubicBezTo>
                <a:pt x="1969247" y="4186269"/>
                <a:pt x="1916953" y="4238065"/>
                <a:pt x="1905000" y="4178300"/>
              </a:cubicBezTo>
              <a:cubicBezTo>
                <a:pt x="1902007" y="4163333"/>
                <a:pt x="1923574" y="4153852"/>
                <a:pt x="1930400" y="4140200"/>
              </a:cubicBezTo>
              <a:cubicBezTo>
                <a:pt x="1961072" y="4078856"/>
                <a:pt x="1916974" y="4119518"/>
                <a:pt x="1981200" y="4076700"/>
              </a:cubicBezTo>
              <a:cubicBezTo>
                <a:pt x="1989667" y="4042833"/>
                <a:pt x="2013446" y="4009331"/>
                <a:pt x="2006600" y="3975100"/>
              </a:cubicBezTo>
              <a:cubicBezTo>
                <a:pt x="1976492" y="3824559"/>
                <a:pt x="2016066" y="3980525"/>
                <a:pt x="1968500" y="3873500"/>
              </a:cubicBezTo>
              <a:cubicBezTo>
                <a:pt x="1957626" y="3849034"/>
                <a:pt x="1957952" y="3819577"/>
                <a:pt x="1943100" y="3797300"/>
              </a:cubicBezTo>
              <a:cubicBezTo>
                <a:pt x="1934633" y="3784600"/>
                <a:pt x="1924526" y="3772852"/>
                <a:pt x="1917700" y="3759200"/>
              </a:cubicBezTo>
              <a:cubicBezTo>
                <a:pt x="1911713" y="3747226"/>
                <a:pt x="1913363" y="3731553"/>
                <a:pt x="1905000" y="3721100"/>
              </a:cubicBezTo>
              <a:cubicBezTo>
                <a:pt x="1895465" y="3709181"/>
                <a:pt x="1879600" y="3704167"/>
                <a:pt x="1866900" y="3695700"/>
              </a:cubicBezTo>
              <a:cubicBezTo>
                <a:pt x="1855611" y="3661833"/>
                <a:pt x="1844092" y="3618093"/>
                <a:pt x="1816100" y="3594100"/>
              </a:cubicBezTo>
              <a:cubicBezTo>
                <a:pt x="1802848" y="3582741"/>
                <a:pt x="1782694" y="3582850"/>
                <a:pt x="1765300" y="3581400"/>
              </a:cubicBezTo>
              <a:cubicBezTo>
                <a:pt x="1680820" y="3574360"/>
                <a:pt x="1595967" y="3572933"/>
                <a:pt x="1511300" y="3568700"/>
              </a:cubicBezTo>
              <a:cubicBezTo>
                <a:pt x="1536700" y="3560233"/>
                <a:pt x="1572648" y="3565577"/>
                <a:pt x="1587500" y="3543300"/>
              </a:cubicBezTo>
              <a:cubicBezTo>
                <a:pt x="1611373" y="3507490"/>
                <a:pt x="1638418" y="3456130"/>
                <a:pt x="1676400" y="3429000"/>
              </a:cubicBezTo>
              <a:cubicBezTo>
                <a:pt x="1703863" y="3409383"/>
                <a:pt x="1734208" y="3401264"/>
                <a:pt x="1765300" y="3390900"/>
              </a:cubicBezTo>
              <a:cubicBezTo>
                <a:pt x="1752600" y="3382433"/>
                <a:pt x="1742256" y="3368009"/>
                <a:pt x="1727200" y="3365500"/>
              </a:cubicBezTo>
              <a:cubicBezTo>
                <a:pt x="1654902" y="3353450"/>
                <a:pt x="1719007" y="3423061"/>
                <a:pt x="1663700" y="3340100"/>
              </a:cubicBezTo>
              <a:cubicBezTo>
                <a:pt x="1697567" y="3272367"/>
                <a:pt x="1750448" y="3211158"/>
                <a:pt x="1765300" y="3136900"/>
              </a:cubicBezTo>
              <a:cubicBezTo>
                <a:pt x="1769533" y="3115733"/>
                <a:pt x="1790952" y="3090669"/>
                <a:pt x="1778000" y="3073400"/>
              </a:cubicBezTo>
              <a:cubicBezTo>
                <a:pt x="1767527" y="3059436"/>
                <a:pt x="1744133" y="3081867"/>
                <a:pt x="1727200" y="3086100"/>
              </a:cubicBezTo>
              <a:cubicBezTo>
                <a:pt x="1693333" y="3081867"/>
                <a:pt x="1658528" y="3082380"/>
                <a:pt x="1625600" y="3073400"/>
              </a:cubicBezTo>
              <a:cubicBezTo>
                <a:pt x="1610874" y="3069384"/>
                <a:pt x="1601152" y="3054826"/>
                <a:pt x="1587500" y="3048000"/>
              </a:cubicBezTo>
              <a:cubicBezTo>
                <a:pt x="1575526" y="3042013"/>
                <a:pt x="1562100" y="3039533"/>
                <a:pt x="1549400" y="3035300"/>
              </a:cubicBezTo>
              <a:cubicBezTo>
                <a:pt x="1532467" y="3022600"/>
                <a:pt x="1510341" y="3014812"/>
                <a:pt x="1498600" y="2997200"/>
              </a:cubicBezTo>
              <a:cubicBezTo>
                <a:pt x="1483748" y="2974923"/>
                <a:pt x="1473200" y="2921000"/>
                <a:pt x="1473200" y="2921000"/>
              </a:cubicBezTo>
              <a:cubicBezTo>
                <a:pt x="1477433" y="2895600"/>
                <a:pt x="1480314" y="2869937"/>
                <a:pt x="1485900" y="2844800"/>
              </a:cubicBezTo>
              <a:cubicBezTo>
                <a:pt x="1488804" y="2831732"/>
                <a:pt x="1500493" y="2819952"/>
                <a:pt x="1498600" y="2806700"/>
              </a:cubicBezTo>
              <a:cubicBezTo>
                <a:pt x="1488778" y="2737948"/>
                <a:pt x="1470889" y="2769868"/>
                <a:pt x="1435100" y="2730500"/>
              </a:cubicBezTo>
              <a:cubicBezTo>
                <a:pt x="1402632" y="2694785"/>
                <a:pt x="1372974" y="2656361"/>
                <a:pt x="1346200" y="2616200"/>
              </a:cubicBezTo>
              <a:cubicBezTo>
                <a:pt x="1337733" y="2603500"/>
                <a:pt x="1331593" y="2588893"/>
                <a:pt x="1320800" y="2578100"/>
              </a:cubicBezTo>
              <a:cubicBezTo>
                <a:pt x="1310007" y="2567307"/>
                <a:pt x="1295400" y="2561167"/>
                <a:pt x="1282700" y="2552700"/>
              </a:cubicBezTo>
              <a:cubicBezTo>
                <a:pt x="1247179" y="2446138"/>
                <a:pt x="1283090" y="2587287"/>
                <a:pt x="1295400" y="2476500"/>
              </a:cubicBezTo>
              <a:cubicBezTo>
                <a:pt x="1296059" y="2470573"/>
                <a:pt x="1282754" y="2381331"/>
                <a:pt x="1270000" y="2362200"/>
              </a:cubicBezTo>
              <a:cubicBezTo>
                <a:pt x="1260037" y="2347256"/>
                <a:pt x="1244600" y="2336800"/>
                <a:pt x="1231900" y="2324100"/>
              </a:cubicBezTo>
              <a:cubicBezTo>
                <a:pt x="1227667" y="2311400"/>
                <a:pt x="1225187" y="2297974"/>
                <a:pt x="1219200" y="2286000"/>
              </a:cubicBezTo>
              <a:cubicBezTo>
                <a:pt x="1201519" y="2250637"/>
                <a:pt x="1183787" y="2237887"/>
                <a:pt x="1155700" y="2209800"/>
              </a:cubicBezTo>
              <a:cubicBezTo>
                <a:pt x="1172873" y="2072419"/>
                <a:pt x="1175876" y="2101892"/>
                <a:pt x="1155700" y="1930400"/>
              </a:cubicBezTo>
              <a:cubicBezTo>
                <a:pt x="1152946" y="1906987"/>
                <a:pt x="1133583" y="1870183"/>
                <a:pt x="1117600" y="1854200"/>
              </a:cubicBezTo>
              <a:cubicBezTo>
                <a:pt x="1106807" y="1843407"/>
                <a:pt x="1092200" y="1837267"/>
                <a:pt x="1079500" y="1828800"/>
              </a:cubicBezTo>
              <a:cubicBezTo>
                <a:pt x="1083733" y="1807633"/>
                <a:pt x="1098130" y="1786055"/>
                <a:pt x="1092200" y="1765300"/>
              </a:cubicBezTo>
              <a:cubicBezTo>
                <a:pt x="1088007" y="1750624"/>
                <a:pt x="1063635" y="1751819"/>
                <a:pt x="1054100" y="1739900"/>
              </a:cubicBezTo>
              <a:cubicBezTo>
                <a:pt x="1045737" y="1729447"/>
                <a:pt x="1045633" y="1714500"/>
                <a:pt x="1041400" y="1701800"/>
              </a:cubicBezTo>
              <a:cubicBezTo>
                <a:pt x="1036026" y="1658809"/>
                <a:pt x="1031141" y="1565761"/>
                <a:pt x="1003300" y="1524000"/>
              </a:cubicBezTo>
              <a:cubicBezTo>
                <a:pt x="994833" y="1511300"/>
                <a:pt x="988693" y="1496693"/>
                <a:pt x="977900" y="1485900"/>
              </a:cubicBezTo>
              <a:cubicBezTo>
                <a:pt x="967107" y="1475107"/>
                <a:pt x="952500" y="1468967"/>
                <a:pt x="939800" y="1460500"/>
              </a:cubicBezTo>
              <a:cubicBezTo>
                <a:pt x="931333" y="1447800"/>
                <a:pt x="921226" y="1436052"/>
                <a:pt x="914400" y="1422400"/>
              </a:cubicBezTo>
              <a:cubicBezTo>
                <a:pt x="886987" y="1367574"/>
                <a:pt x="891424" y="1250712"/>
                <a:pt x="889000" y="1219200"/>
              </a:cubicBezTo>
              <a:cubicBezTo>
                <a:pt x="876300" y="1223433"/>
                <a:pt x="863329" y="1236872"/>
                <a:pt x="850900" y="1231900"/>
              </a:cubicBezTo>
              <a:cubicBezTo>
                <a:pt x="836728" y="1226231"/>
                <a:pt x="830327" y="1208280"/>
                <a:pt x="825500" y="1193800"/>
              </a:cubicBezTo>
              <a:cubicBezTo>
                <a:pt x="813158" y="1156773"/>
                <a:pt x="817554" y="1114409"/>
                <a:pt x="800100" y="1079500"/>
              </a:cubicBezTo>
              <a:cubicBezTo>
                <a:pt x="790634" y="1060568"/>
                <a:pt x="765371" y="1055175"/>
                <a:pt x="749300" y="1041400"/>
              </a:cubicBezTo>
              <a:cubicBezTo>
                <a:pt x="735663" y="1029711"/>
                <a:pt x="724998" y="1014798"/>
                <a:pt x="711200" y="1003300"/>
              </a:cubicBezTo>
              <a:cubicBezTo>
                <a:pt x="699474" y="993529"/>
                <a:pt x="685520" y="986772"/>
                <a:pt x="673100" y="977900"/>
              </a:cubicBezTo>
              <a:cubicBezTo>
                <a:pt x="655876" y="965597"/>
                <a:pt x="640249" y="951018"/>
                <a:pt x="622300" y="939800"/>
              </a:cubicBezTo>
              <a:cubicBezTo>
                <a:pt x="606246" y="929766"/>
                <a:pt x="587938" y="923793"/>
                <a:pt x="571500" y="914400"/>
              </a:cubicBezTo>
              <a:cubicBezTo>
                <a:pt x="558248" y="906827"/>
                <a:pt x="546100" y="897467"/>
                <a:pt x="533400" y="889000"/>
              </a:cubicBezTo>
              <a:cubicBezTo>
                <a:pt x="483975" y="814862"/>
                <a:pt x="539210" y="879205"/>
                <a:pt x="457200" y="838200"/>
              </a:cubicBezTo>
              <a:cubicBezTo>
                <a:pt x="438268" y="828734"/>
                <a:pt x="426156" y="807698"/>
                <a:pt x="406400" y="800100"/>
              </a:cubicBezTo>
              <a:cubicBezTo>
                <a:pt x="369972" y="786089"/>
                <a:pt x="329127" y="787042"/>
                <a:pt x="292100" y="774700"/>
              </a:cubicBezTo>
              <a:cubicBezTo>
                <a:pt x="104896" y="712299"/>
                <a:pt x="251411" y="735860"/>
                <a:pt x="76200" y="685800"/>
              </a:cubicBezTo>
              <a:cubicBezTo>
                <a:pt x="51440" y="678726"/>
                <a:pt x="25400" y="677333"/>
                <a:pt x="0" y="673100"/>
              </a:cubicBezTo>
              <a:cubicBezTo>
                <a:pt x="4233" y="660400"/>
                <a:pt x="6713" y="646974"/>
                <a:pt x="12700" y="635000"/>
              </a:cubicBezTo>
              <a:cubicBezTo>
                <a:pt x="19526" y="621348"/>
                <a:pt x="32087" y="610929"/>
                <a:pt x="38100" y="596900"/>
              </a:cubicBezTo>
              <a:cubicBezTo>
                <a:pt x="40206" y="591986"/>
                <a:pt x="55896" y="517505"/>
                <a:pt x="63500" y="508000"/>
              </a:cubicBezTo>
              <a:cubicBezTo>
                <a:pt x="73035" y="496081"/>
                <a:pt x="88900" y="491067"/>
                <a:pt x="101600" y="482600"/>
              </a:cubicBezTo>
              <a:lnTo>
                <a:pt x="127000" y="406400"/>
              </a:lnTo>
              <a:lnTo>
                <a:pt x="139700" y="368300"/>
              </a:lnTo>
              <a:cubicBezTo>
                <a:pt x="187206" y="225782"/>
                <a:pt x="152400" y="343587"/>
                <a:pt x="152400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18</xdr:row>
      <xdr:rowOff>88900</xdr:rowOff>
    </xdr:from>
    <xdr:to>
      <xdr:col>3</xdr:col>
      <xdr:colOff>622300</xdr:colOff>
      <xdr:row>23</xdr:row>
      <xdr:rowOff>12700</xdr:rowOff>
    </xdr:to>
    <xdr:sp macro="" textlink="">
      <xdr:nvSpPr>
        <xdr:cNvPr id="11" name="Freeform 10"/>
        <xdr:cNvSpPr/>
      </xdr:nvSpPr>
      <xdr:spPr>
        <a:xfrm>
          <a:off x="1727200" y="8089900"/>
          <a:ext cx="1371600" cy="812800"/>
        </a:xfrm>
        <a:custGeom>
          <a:avLst/>
          <a:gdLst>
            <a:gd name="connsiteX0" fmla="*/ 1282700 w 1282700"/>
            <a:gd name="connsiteY0" fmla="*/ 812800 h 812800"/>
            <a:gd name="connsiteX1" fmla="*/ 1193800 w 1282700"/>
            <a:gd name="connsiteY1" fmla="*/ 749300 h 812800"/>
            <a:gd name="connsiteX2" fmla="*/ 1181100 w 1282700"/>
            <a:gd name="connsiteY2" fmla="*/ 622300 h 812800"/>
            <a:gd name="connsiteX3" fmla="*/ 1168400 w 1282700"/>
            <a:gd name="connsiteY3" fmla="*/ 584200 h 812800"/>
            <a:gd name="connsiteX4" fmla="*/ 1054100 w 1282700"/>
            <a:gd name="connsiteY4" fmla="*/ 546100 h 812800"/>
            <a:gd name="connsiteX5" fmla="*/ 952500 w 1282700"/>
            <a:gd name="connsiteY5" fmla="*/ 508000 h 812800"/>
            <a:gd name="connsiteX6" fmla="*/ 914400 w 1282700"/>
            <a:gd name="connsiteY6" fmla="*/ 495300 h 812800"/>
            <a:gd name="connsiteX7" fmla="*/ 787400 w 1282700"/>
            <a:gd name="connsiteY7" fmla="*/ 304800 h 812800"/>
            <a:gd name="connsiteX8" fmla="*/ 723900 w 1282700"/>
            <a:gd name="connsiteY8" fmla="*/ 292100 h 812800"/>
            <a:gd name="connsiteX9" fmla="*/ 635000 w 1282700"/>
            <a:gd name="connsiteY9" fmla="*/ 304800 h 812800"/>
            <a:gd name="connsiteX10" fmla="*/ 508000 w 1282700"/>
            <a:gd name="connsiteY10" fmla="*/ 266700 h 812800"/>
            <a:gd name="connsiteX11" fmla="*/ 469900 w 1282700"/>
            <a:gd name="connsiteY11" fmla="*/ 228600 h 812800"/>
            <a:gd name="connsiteX12" fmla="*/ 317500 w 1282700"/>
            <a:gd name="connsiteY12" fmla="*/ 152400 h 812800"/>
            <a:gd name="connsiteX13" fmla="*/ 114300 w 1282700"/>
            <a:gd name="connsiteY13" fmla="*/ 101600 h 812800"/>
            <a:gd name="connsiteX14" fmla="*/ 50800 w 1282700"/>
            <a:gd name="connsiteY14" fmla="*/ 38100 h 812800"/>
            <a:gd name="connsiteX15" fmla="*/ 12700 w 1282700"/>
            <a:gd name="connsiteY15" fmla="*/ 12700 h 812800"/>
            <a:gd name="connsiteX16" fmla="*/ 0 w 1282700"/>
            <a:gd name="connsiteY16" fmla="*/ 0 h 812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</a:cxnLst>
          <a:rect l="l" t="t" r="r" b="b"/>
          <a:pathLst>
            <a:path w="1282700" h="812800">
              <a:moveTo>
                <a:pt x="1282700" y="812800"/>
              </a:moveTo>
              <a:cubicBezTo>
                <a:pt x="1245961" y="798104"/>
                <a:pt x="1204440" y="795406"/>
                <a:pt x="1193800" y="749300"/>
              </a:cubicBezTo>
              <a:cubicBezTo>
                <a:pt x="1184233" y="707845"/>
                <a:pt x="1187569" y="664350"/>
                <a:pt x="1181100" y="622300"/>
              </a:cubicBezTo>
              <a:cubicBezTo>
                <a:pt x="1179064" y="609069"/>
                <a:pt x="1177866" y="593666"/>
                <a:pt x="1168400" y="584200"/>
              </a:cubicBezTo>
              <a:cubicBezTo>
                <a:pt x="1137730" y="553530"/>
                <a:pt x="1091200" y="557515"/>
                <a:pt x="1054100" y="546100"/>
              </a:cubicBezTo>
              <a:cubicBezTo>
                <a:pt x="1019530" y="535463"/>
                <a:pt x="986492" y="520361"/>
                <a:pt x="952500" y="508000"/>
              </a:cubicBezTo>
              <a:cubicBezTo>
                <a:pt x="939919" y="503425"/>
                <a:pt x="927100" y="499533"/>
                <a:pt x="914400" y="495300"/>
              </a:cubicBezTo>
              <a:cubicBezTo>
                <a:pt x="879458" y="425416"/>
                <a:pt x="864733" y="339170"/>
                <a:pt x="787400" y="304800"/>
              </a:cubicBezTo>
              <a:cubicBezTo>
                <a:pt x="767675" y="296033"/>
                <a:pt x="745067" y="296333"/>
                <a:pt x="723900" y="292100"/>
              </a:cubicBezTo>
              <a:cubicBezTo>
                <a:pt x="694267" y="296333"/>
                <a:pt x="664934" y="304800"/>
                <a:pt x="635000" y="304800"/>
              </a:cubicBezTo>
              <a:cubicBezTo>
                <a:pt x="592390" y="304800"/>
                <a:pt x="543407" y="291990"/>
                <a:pt x="508000" y="266700"/>
              </a:cubicBezTo>
              <a:cubicBezTo>
                <a:pt x="493385" y="256261"/>
                <a:pt x="485301" y="237841"/>
                <a:pt x="469900" y="228600"/>
              </a:cubicBezTo>
              <a:cubicBezTo>
                <a:pt x="421198" y="199379"/>
                <a:pt x="370680" y="172342"/>
                <a:pt x="317500" y="152400"/>
              </a:cubicBezTo>
              <a:cubicBezTo>
                <a:pt x="183943" y="102316"/>
                <a:pt x="251790" y="118786"/>
                <a:pt x="114300" y="101600"/>
              </a:cubicBezTo>
              <a:cubicBezTo>
                <a:pt x="12700" y="33867"/>
                <a:pt x="135467" y="122767"/>
                <a:pt x="50800" y="38100"/>
              </a:cubicBezTo>
              <a:cubicBezTo>
                <a:pt x="40007" y="27307"/>
                <a:pt x="24911" y="21858"/>
                <a:pt x="12700" y="12700"/>
              </a:cubicBezTo>
              <a:cubicBezTo>
                <a:pt x="7911" y="9108"/>
                <a:pt x="4233" y="4233"/>
                <a:pt x="0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177800</xdr:colOff>
      <xdr:row>19</xdr:row>
      <xdr:rowOff>38100</xdr:rowOff>
    </xdr:from>
    <xdr:to>
      <xdr:col>4</xdr:col>
      <xdr:colOff>444504</xdr:colOff>
      <xdr:row>26</xdr:row>
      <xdr:rowOff>165100</xdr:rowOff>
    </xdr:to>
    <xdr:sp macro="" textlink="">
      <xdr:nvSpPr>
        <xdr:cNvPr id="12" name="Freeform 11"/>
        <xdr:cNvSpPr/>
      </xdr:nvSpPr>
      <xdr:spPr>
        <a:xfrm>
          <a:off x="3479800" y="8216900"/>
          <a:ext cx="266704" cy="1371600"/>
        </a:xfrm>
        <a:custGeom>
          <a:avLst/>
          <a:gdLst>
            <a:gd name="connsiteX0" fmla="*/ 0 w 266704"/>
            <a:gd name="connsiteY0" fmla="*/ 1371600 h 1371600"/>
            <a:gd name="connsiteX1" fmla="*/ 38100 w 266704"/>
            <a:gd name="connsiteY1" fmla="*/ 1155700 h 1371600"/>
            <a:gd name="connsiteX2" fmla="*/ 76200 w 266704"/>
            <a:gd name="connsiteY2" fmla="*/ 1104900 h 1371600"/>
            <a:gd name="connsiteX3" fmla="*/ 88900 w 266704"/>
            <a:gd name="connsiteY3" fmla="*/ 1066800 h 1371600"/>
            <a:gd name="connsiteX4" fmla="*/ 127000 w 266704"/>
            <a:gd name="connsiteY4" fmla="*/ 927100 h 1371600"/>
            <a:gd name="connsiteX5" fmla="*/ 203200 w 266704"/>
            <a:gd name="connsiteY5" fmla="*/ 876300 h 1371600"/>
            <a:gd name="connsiteX6" fmla="*/ 241300 w 266704"/>
            <a:gd name="connsiteY6" fmla="*/ 774700 h 1371600"/>
            <a:gd name="connsiteX7" fmla="*/ 228600 w 266704"/>
            <a:gd name="connsiteY7" fmla="*/ 723900 h 1371600"/>
            <a:gd name="connsiteX8" fmla="*/ 190500 w 266704"/>
            <a:gd name="connsiteY8" fmla="*/ 635000 h 1371600"/>
            <a:gd name="connsiteX9" fmla="*/ 177800 w 266704"/>
            <a:gd name="connsiteY9" fmla="*/ 571500 h 1371600"/>
            <a:gd name="connsiteX10" fmla="*/ 152400 w 266704"/>
            <a:gd name="connsiteY10" fmla="*/ 520700 h 1371600"/>
            <a:gd name="connsiteX11" fmla="*/ 190500 w 266704"/>
            <a:gd name="connsiteY11" fmla="*/ 406400 h 1371600"/>
            <a:gd name="connsiteX12" fmla="*/ 203200 w 266704"/>
            <a:gd name="connsiteY12" fmla="*/ 355600 h 1371600"/>
            <a:gd name="connsiteX13" fmla="*/ 241300 w 266704"/>
            <a:gd name="connsiteY13" fmla="*/ 241300 h 1371600"/>
            <a:gd name="connsiteX14" fmla="*/ 254000 w 266704"/>
            <a:gd name="connsiteY14" fmla="*/ 203200 h 1371600"/>
            <a:gd name="connsiteX15" fmla="*/ 266700 w 266704"/>
            <a:gd name="connsiteY15" fmla="*/ 0 h 1371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266704" h="1371600">
              <a:moveTo>
                <a:pt x="0" y="1371600"/>
              </a:moveTo>
              <a:cubicBezTo>
                <a:pt x="7448" y="1312018"/>
                <a:pt x="16838" y="1210981"/>
                <a:pt x="38100" y="1155700"/>
              </a:cubicBezTo>
              <a:cubicBezTo>
                <a:pt x="45698" y="1135944"/>
                <a:pt x="63500" y="1121833"/>
                <a:pt x="76200" y="1104900"/>
              </a:cubicBezTo>
              <a:cubicBezTo>
                <a:pt x="80433" y="1092200"/>
                <a:pt x="86505" y="1079971"/>
                <a:pt x="88900" y="1066800"/>
              </a:cubicBezTo>
              <a:cubicBezTo>
                <a:pt x="97986" y="1016829"/>
                <a:pt x="85131" y="963735"/>
                <a:pt x="127000" y="927100"/>
              </a:cubicBezTo>
              <a:cubicBezTo>
                <a:pt x="149974" y="906998"/>
                <a:pt x="203200" y="876300"/>
                <a:pt x="203200" y="876300"/>
              </a:cubicBezTo>
              <a:cubicBezTo>
                <a:pt x="217650" y="847399"/>
                <a:pt x="241300" y="809283"/>
                <a:pt x="241300" y="774700"/>
              </a:cubicBezTo>
              <a:cubicBezTo>
                <a:pt x="241300" y="757246"/>
                <a:pt x="233395" y="740683"/>
                <a:pt x="228600" y="723900"/>
              </a:cubicBezTo>
              <a:cubicBezTo>
                <a:pt x="216142" y="680297"/>
                <a:pt x="213078" y="680156"/>
                <a:pt x="190500" y="635000"/>
              </a:cubicBezTo>
              <a:cubicBezTo>
                <a:pt x="186267" y="613833"/>
                <a:pt x="184626" y="591978"/>
                <a:pt x="177800" y="571500"/>
              </a:cubicBezTo>
              <a:cubicBezTo>
                <a:pt x="171813" y="553539"/>
                <a:pt x="150948" y="539576"/>
                <a:pt x="152400" y="520700"/>
              </a:cubicBezTo>
              <a:cubicBezTo>
                <a:pt x="155480" y="480657"/>
                <a:pt x="180760" y="445362"/>
                <a:pt x="190500" y="406400"/>
              </a:cubicBezTo>
              <a:cubicBezTo>
                <a:pt x="194733" y="389467"/>
                <a:pt x="198184" y="372318"/>
                <a:pt x="203200" y="355600"/>
              </a:cubicBezTo>
              <a:lnTo>
                <a:pt x="241300" y="241300"/>
              </a:lnTo>
              <a:lnTo>
                <a:pt x="254000" y="203200"/>
              </a:lnTo>
              <a:cubicBezTo>
                <a:pt x="267303" y="16955"/>
                <a:pt x="266700" y="84818"/>
                <a:pt x="266700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482072</xdr:colOff>
      <xdr:row>13</xdr:row>
      <xdr:rowOff>63500</xdr:rowOff>
    </xdr:from>
    <xdr:to>
      <xdr:col>3</xdr:col>
      <xdr:colOff>723900</xdr:colOff>
      <xdr:row>21</xdr:row>
      <xdr:rowOff>76200</xdr:rowOff>
    </xdr:to>
    <xdr:sp macro="" textlink="">
      <xdr:nvSpPr>
        <xdr:cNvPr id="13" name="Freeform 12"/>
        <xdr:cNvSpPr/>
      </xdr:nvSpPr>
      <xdr:spPr>
        <a:xfrm>
          <a:off x="2958572" y="7175500"/>
          <a:ext cx="241828" cy="1435100"/>
        </a:xfrm>
        <a:custGeom>
          <a:avLst/>
          <a:gdLst>
            <a:gd name="connsiteX0" fmla="*/ 38628 w 241828"/>
            <a:gd name="connsiteY0" fmla="*/ 1435100 h 1435100"/>
            <a:gd name="connsiteX1" fmla="*/ 528 w 241828"/>
            <a:gd name="connsiteY1" fmla="*/ 1371600 h 1435100"/>
            <a:gd name="connsiteX2" fmla="*/ 64028 w 241828"/>
            <a:gd name="connsiteY2" fmla="*/ 1282700 h 1435100"/>
            <a:gd name="connsiteX3" fmla="*/ 114828 w 241828"/>
            <a:gd name="connsiteY3" fmla="*/ 1206500 h 1435100"/>
            <a:gd name="connsiteX4" fmla="*/ 152928 w 241828"/>
            <a:gd name="connsiteY4" fmla="*/ 1117600 h 1435100"/>
            <a:gd name="connsiteX5" fmla="*/ 165628 w 241828"/>
            <a:gd name="connsiteY5" fmla="*/ 914400 h 1435100"/>
            <a:gd name="connsiteX6" fmla="*/ 203728 w 241828"/>
            <a:gd name="connsiteY6" fmla="*/ 889000 h 1435100"/>
            <a:gd name="connsiteX7" fmla="*/ 241828 w 241828"/>
            <a:gd name="connsiteY7" fmla="*/ 812800 h 1435100"/>
            <a:gd name="connsiteX8" fmla="*/ 191028 w 241828"/>
            <a:gd name="connsiteY8" fmla="*/ 647700 h 1435100"/>
            <a:gd name="connsiteX9" fmla="*/ 178328 w 241828"/>
            <a:gd name="connsiteY9" fmla="*/ 431800 h 1435100"/>
            <a:gd name="connsiteX10" fmla="*/ 152928 w 241828"/>
            <a:gd name="connsiteY10" fmla="*/ 355600 h 1435100"/>
            <a:gd name="connsiteX11" fmla="*/ 140228 w 241828"/>
            <a:gd name="connsiteY11" fmla="*/ 266700 h 1435100"/>
            <a:gd name="connsiteX12" fmla="*/ 178328 w 241828"/>
            <a:gd name="connsiteY12" fmla="*/ 241300 h 1435100"/>
            <a:gd name="connsiteX13" fmla="*/ 152928 w 241828"/>
            <a:gd name="connsiteY13" fmla="*/ 76200 h 1435100"/>
            <a:gd name="connsiteX14" fmla="*/ 140228 w 241828"/>
            <a:gd name="connsiteY14" fmla="*/ 50800 h 1435100"/>
            <a:gd name="connsiteX15" fmla="*/ 178328 w 241828"/>
            <a:gd name="connsiteY15" fmla="*/ 0 h 1435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241828" h="1435100">
              <a:moveTo>
                <a:pt x="38628" y="1435100"/>
              </a:moveTo>
              <a:cubicBezTo>
                <a:pt x="25928" y="1413933"/>
                <a:pt x="2984" y="1396162"/>
                <a:pt x="528" y="1371600"/>
              </a:cubicBezTo>
              <a:cubicBezTo>
                <a:pt x="-4812" y="1318201"/>
                <a:pt x="31336" y="1304494"/>
                <a:pt x="64028" y="1282700"/>
              </a:cubicBezTo>
              <a:cubicBezTo>
                <a:pt x="80961" y="1257300"/>
                <a:pt x="99122" y="1232677"/>
                <a:pt x="114828" y="1206500"/>
              </a:cubicBezTo>
              <a:cubicBezTo>
                <a:pt x="138368" y="1167266"/>
                <a:pt x="139790" y="1157015"/>
                <a:pt x="152928" y="1117600"/>
              </a:cubicBezTo>
              <a:cubicBezTo>
                <a:pt x="157161" y="1049867"/>
                <a:pt x="150906" y="980649"/>
                <a:pt x="165628" y="914400"/>
              </a:cubicBezTo>
              <a:cubicBezTo>
                <a:pt x="168939" y="899500"/>
                <a:pt x="192935" y="899793"/>
                <a:pt x="203728" y="889000"/>
              </a:cubicBezTo>
              <a:cubicBezTo>
                <a:pt x="228347" y="864381"/>
                <a:pt x="231499" y="843788"/>
                <a:pt x="241828" y="812800"/>
              </a:cubicBezTo>
              <a:cubicBezTo>
                <a:pt x="213435" y="670833"/>
                <a:pt x="240375" y="721721"/>
                <a:pt x="191028" y="647700"/>
              </a:cubicBezTo>
              <a:cubicBezTo>
                <a:pt x="186795" y="575733"/>
                <a:pt x="187652" y="503286"/>
                <a:pt x="178328" y="431800"/>
              </a:cubicBezTo>
              <a:cubicBezTo>
                <a:pt x="174865" y="405251"/>
                <a:pt x="152928" y="355600"/>
                <a:pt x="152928" y="355600"/>
              </a:cubicBezTo>
              <a:cubicBezTo>
                <a:pt x="148695" y="325967"/>
                <a:pt x="133734" y="295921"/>
                <a:pt x="140228" y="266700"/>
              </a:cubicBezTo>
              <a:cubicBezTo>
                <a:pt x="143539" y="251800"/>
                <a:pt x="175819" y="256356"/>
                <a:pt x="178328" y="241300"/>
              </a:cubicBezTo>
              <a:cubicBezTo>
                <a:pt x="189242" y="175817"/>
                <a:pt x="171232" y="131113"/>
                <a:pt x="152928" y="76200"/>
              </a:cubicBezTo>
              <a:cubicBezTo>
                <a:pt x="74384" y="95836"/>
                <a:pt x="100405" y="98587"/>
                <a:pt x="140228" y="50800"/>
              </a:cubicBezTo>
              <a:cubicBezTo>
                <a:pt x="212030" y="-35363"/>
                <a:pt x="137937" y="40391"/>
                <a:pt x="178328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419100</xdr:colOff>
      <xdr:row>23</xdr:row>
      <xdr:rowOff>8033</xdr:rowOff>
    </xdr:from>
    <xdr:to>
      <xdr:col>4</xdr:col>
      <xdr:colOff>127000</xdr:colOff>
      <xdr:row>29</xdr:row>
      <xdr:rowOff>88900</xdr:rowOff>
    </xdr:to>
    <xdr:sp macro="" textlink="">
      <xdr:nvSpPr>
        <xdr:cNvPr id="14" name="Freeform 13"/>
        <xdr:cNvSpPr/>
      </xdr:nvSpPr>
      <xdr:spPr>
        <a:xfrm>
          <a:off x="2070100" y="8898033"/>
          <a:ext cx="1358900" cy="1147667"/>
        </a:xfrm>
        <a:custGeom>
          <a:avLst/>
          <a:gdLst>
            <a:gd name="connsiteX0" fmla="*/ 1358900 w 1358900"/>
            <a:gd name="connsiteY0" fmla="*/ 1147667 h 1147667"/>
            <a:gd name="connsiteX1" fmla="*/ 1282700 w 1358900"/>
            <a:gd name="connsiteY1" fmla="*/ 1096867 h 1147667"/>
            <a:gd name="connsiteX2" fmla="*/ 1181100 w 1358900"/>
            <a:gd name="connsiteY2" fmla="*/ 1020667 h 1147667"/>
            <a:gd name="connsiteX3" fmla="*/ 1181100 w 1358900"/>
            <a:gd name="connsiteY3" fmla="*/ 855567 h 1147667"/>
            <a:gd name="connsiteX4" fmla="*/ 1041400 w 1358900"/>
            <a:gd name="connsiteY4" fmla="*/ 779367 h 1147667"/>
            <a:gd name="connsiteX5" fmla="*/ 990600 w 1358900"/>
            <a:gd name="connsiteY5" fmla="*/ 766667 h 1147667"/>
            <a:gd name="connsiteX6" fmla="*/ 965200 w 1358900"/>
            <a:gd name="connsiteY6" fmla="*/ 728567 h 1147667"/>
            <a:gd name="connsiteX7" fmla="*/ 939800 w 1358900"/>
            <a:gd name="connsiteY7" fmla="*/ 601567 h 1147667"/>
            <a:gd name="connsiteX8" fmla="*/ 901700 w 1358900"/>
            <a:gd name="connsiteY8" fmla="*/ 550767 h 1147667"/>
            <a:gd name="connsiteX9" fmla="*/ 863600 w 1358900"/>
            <a:gd name="connsiteY9" fmla="*/ 538067 h 1147667"/>
            <a:gd name="connsiteX10" fmla="*/ 800100 w 1358900"/>
            <a:gd name="connsiteY10" fmla="*/ 499967 h 1147667"/>
            <a:gd name="connsiteX11" fmla="*/ 762000 w 1358900"/>
            <a:gd name="connsiteY11" fmla="*/ 461867 h 1147667"/>
            <a:gd name="connsiteX12" fmla="*/ 635000 w 1358900"/>
            <a:gd name="connsiteY12" fmla="*/ 436467 h 1147667"/>
            <a:gd name="connsiteX13" fmla="*/ 520700 w 1358900"/>
            <a:gd name="connsiteY13" fmla="*/ 398367 h 1147667"/>
            <a:gd name="connsiteX14" fmla="*/ 469900 w 1358900"/>
            <a:gd name="connsiteY14" fmla="*/ 372967 h 1147667"/>
            <a:gd name="connsiteX15" fmla="*/ 431800 w 1358900"/>
            <a:gd name="connsiteY15" fmla="*/ 334867 h 1147667"/>
            <a:gd name="connsiteX16" fmla="*/ 393700 w 1358900"/>
            <a:gd name="connsiteY16" fmla="*/ 258667 h 1147667"/>
            <a:gd name="connsiteX17" fmla="*/ 368300 w 1358900"/>
            <a:gd name="connsiteY17" fmla="*/ 144367 h 1147667"/>
            <a:gd name="connsiteX18" fmla="*/ 330200 w 1358900"/>
            <a:gd name="connsiteY18" fmla="*/ 106267 h 1147667"/>
            <a:gd name="connsiteX19" fmla="*/ 241300 w 1358900"/>
            <a:gd name="connsiteY19" fmla="*/ 118967 h 1147667"/>
            <a:gd name="connsiteX20" fmla="*/ 101600 w 1358900"/>
            <a:gd name="connsiteY20" fmla="*/ 93567 h 1147667"/>
            <a:gd name="connsiteX21" fmla="*/ 63500 w 1358900"/>
            <a:gd name="connsiteY21" fmla="*/ 4667 h 1147667"/>
            <a:gd name="connsiteX22" fmla="*/ 0 w 1358900"/>
            <a:gd name="connsiteY22" fmla="*/ 4667 h 11476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</a:cxnLst>
          <a:rect l="l" t="t" r="r" b="b"/>
          <a:pathLst>
            <a:path w="1358900" h="1147667">
              <a:moveTo>
                <a:pt x="1358900" y="1147667"/>
              </a:moveTo>
              <a:cubicBezTo>
                <a:pt x="1333500" y="1130734"/>
                <a:pt x="1309069" y="1112249"/>
                <a:pt x="1282700" y="1096867"/>
              </a:cubicBezTo>
              <a:cubicBezTo>
                <a:pt x="1184680" y="1039688"/>
                <a:pt x="1226643" y="1088981"/>
                <a:pt x="1181100" y="1020667"/>
              </a:cubicBezTo>
              <a:cubicBezTo>
                <a:pt x="1194173" y="968376"/>
                <a:pt x="1215328" y="908811"/>
                <a:pt x="1181100" y="855567"/>
              </a:cubicBezTo>
              <a:cubicBezTo>
                <a:pt x="1159422" y="821845"/>
                <a:pt x="1086793" y="792336"/>
                <a:pt x="1041400" y="779367"/>
              </a:cubicBezTo>
              <a:cubicBezTo>
                <a:pt x="1024617" y="774572"/>
                <a:pt x="1007533" y="770900"/>
                <a:pt x="990600" y="766667"/>
              </a:cubicBezTo>
              <a:cubicBezTo>
                <a:pt x="982133" y="753967"/>
                <a:pt x="971213" y="742596"/>
                <a:pt x="965200" y="728567"/>
              </a:cubicBezTo>
              <a:cubicBezTo>
                <a:pt x="914084" y="609296"/>
                <a:pt x="1002830" y="759143"/>
                <a:pt x="939800" y="601567"/>
              </a:cubicBezTo>
              <a:cubicBezTo>
                <a:pt x="931939" y="581914"/>
                <a:pt x="917961" y="564318"/>
                <a:pt x="901700" y="550767"/>
              </a:cubicBezTo>
              <a:cubicBezTo>
                <a:pt x="891416" y="542197"/>
                <a:pt x="875574" y="544054"/>
                <a:pt x="863600" y="538067"/>
              </a:cubicBezTo>
              <a:cubicBezTo>
                <a:pt x="841522" y="527028"/>
                <a:pt x="819847" y="514778"/>
                <a:pt x="800100" y="499967"/>
              </a:cubicBezTo>
              <a:cubicBezTo>
                <a:pt x="785732" y="489191"/>
                <a:pt x="778763" y="468314"/>
                <a:pt x="762000" y="461867"/>
              </a:cubicBezTo>
              <a:cubicBezTo>
                <a:pt x="721706" y="446369"/>
                <a:pt x="677213" y="445513"/>
                <a:pt x="635000" y="436467"/>
              </a:cubicBezTo>
              <a:cubicBezTo>
                <a:pt x="585182" y="425792"/>
                <a:pt x="570237" y="420383"/>
                <a:pt x="520700" y="398367"/>
              </a:cubicBezTo>
              <a:cubicBezTo>
                <a:pt x="503400" y="390678"/>
                <a:pt x="485306" y="383971"/>
                <a:pt x="469900" y="372967"/>
              </a:cubicBezTo>
              <a:cubicBezTo>
                <a:pt x="455285" y="362528"/>
                <a:pt x="443298" y="348665"/>
                <a:pt x="431800" y="334867"/>
              </a:cubicBezTo>
              <a:cubicBezTo>
                <a:pt x="409628" y="308261"/>
                <a:pt x="401883" y="291397"/>
                <a:pt x="393700" y="258667"/>
              </a:cubicBezTo>
              <a:cubicBezTo>
                <a:pt x="392592" y="254233"/>
                <a:pt x="374094" y="154507"/>
                <a:pt x="368300" y="144367"/>
              </a:cubicBezTo>
              <a:cubicBezTo>
                <a:pt x="359389" y="128773"/>
                <a:pt x="342900" y="118967"/>
                <a:pt x="330200" y="106267"/>
              </a:cubicBezTo>
              <a:cubicBezTo>
                <a:pt x="300567" y="110500"/>
                <a:pt x="271234" y="118967"/>
                <a:pt x="241300" y="118967"/>
              </a:cubicBezTo>
              <a:cubicBezTo>
                <a:pt x="169498" y="118967"/>
                <a:pt x="155181" y="111427"/>
                <a:pt x="101600" y="93567"/>
              </a:cubicBezTo>
              <a:cubicBezTo>
                <a:pt x="95968" y="76672"/>
                <a:pt x="76424" y="12052"/>
                <a:pt x="63500" y="4667"/>
              </a:cubicBezTo>
              <a:cubicBezTo>
                <a:pt x="45122" y="-5835"/>
                <a:pt x="21167" y="4667"/>
                <a:pt x="0" y="4667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685800</xdr:colOff>
      <xdr:row>12</xdr:row>
      <xdr:rowOff>63500</xdr:rowOff>
    </xdr:from>
    <xdr:to>
      <xdr:col>3</xdr:col>
      <xdr:colOff>266700</xdr:colOff>
      <xdr:row>16</xdr:row>
      <xdr:rowOff>63500</xdr:rowOff>
    </xdr:to>
    <xdr:sp macro="" textlink="">
      <xdr:nvSpPr>
        <xdr:cNvPr id="15" name="Freeform 14"/>
        <xdr:cNvSpPr/>
      </xdr:nvSpPr>
      <xdr:spPr>
        <a:xfrm>
          <a:off x="1511300" y="6997700"/>
          <a:ext cx="1231900" cy="711200"/>
        </a:xfrm>
        <a:custGeom>
          <a:avLst/>
          <a:gdLst>
            <a:gd name="connsiteX0" fmla="*/ 1231900 w 1231900"/>
            <a:gd name="connsiteY0" fmla="*/ 660400 h 711200"/>
            <a:gd name="connsiteX1" fmla="*/ 1130300 w 1231900"/>
            <a:gd name="connsiteY1" fmla="*/ 711200 h 711200"/>
            <a:gd name="connsiteX2" fmla="*/ 1092200 w 1231900"/>
            <a:gd name="connsiteY2" fmla="*/ 698500 h 711200"/>
            <a:gd name="connsiteX3" fmla="*/ 1079500 w 1231900"/>
            <a:gd name="connsiteY3" fmla="*/ 647700 h 711200"/>
            <a:gd name="connsiteX4" fmla="*/ 965200 w 1231900"/>
            <a:gd name="connsiteY4" fmla="*/ 609600 h 711200"/>
            <a:gd name="connsiteX5" fmla="*/ 914400 w 1231900"/>
            <a:gd name="connsiteY5" fmla="*/ 584200 h 711200"/>
            <a:gd name="connsiteX6" fmla="*/ 825500 w 1231900"/>
            <a:gd name="connsiteY6" fmla="*/ 533400 h 711200"/>
            <a:gd name="connsiteX7" fmla="*/ 787400 w 1231900"/>
            <a:gd name="connsiteY7" fmla="*/ 546100 h 711200"/>
            <a:gd name="connsiteX8" fmla="*/ 711200 w 1231900"/>
            <a:gd name="connsiteY8" fmla="*/ 596900 h 711200"/>
            <a:gd name="connsiteX9" fmla="*/ 673100 w 1231900"/>
            <a:gd name="connsiteY9" fmla="*/ 584200 h 711200"/>
            <a:gd name="connsiteX10" fmla="*/ 596900 w 1231900"/>
            <a:gd name="connsiteY10" fmla="*/ 457200 h 711200"/>
            <a:gd name="connsiteX11" fmla="*/ 520700 w 1231900"/>
            <a:gd name="connsiteY11" fmla="*/ 381000 h 711200"/>
            <a:gd name="connsiteX12" fmla="*/ 482600 w 1231900"/>
            <a:gd name="connsiteY12" fmla="*/ 393700 h 711200"/>
            <a:gd name="connsiteX13" fmla="*/ 457200 w 1231900"/>
            <a:gd name="connsiteY13" fmla="*/ 381000 h 711200"/>
            <a:gd name="connsiteX14" fmla="*/ 381000 w 1231900"/>
            <a:gd name="connsiteY14" fmla="*/ 279400 h 711200"/>
            <a:gd name="connsiteX15" fmla="*/ 317500 w 1231900"/>
            <a:gd name="connsiteY15" fmla="*/ 228600 h 711200"/>
            <a:gd name="connsiteX16" fmla="*/ 279400 w 1231900"/>
            <a:gd name="connsiteY16" fmla="*/ 203200 h 711200"/>
            <a:gd name="connsiteX17" fmla="*/ 152400 w 1231900"/>
            <a:gd name="connsiteY17" fmla="*/ 76200 h 711200"/>
            <a:gd name="connsiteX18" fmla="*/ 88900 w 1231900"/>
            <a:gd name="connsiteY18" fmla="*/ 63500 h 711200"/>
            <a:gd name="connsiteX19" fmla="*/ 0 w 1231900"/>
            <a:gd name="connsiteY19" fmla="*/ 12700 h 711200"/>
            <a:gd name="connsiteX20" fmla="*/ 0 w 1231900"/>
            <a:gd name="connsiteY20" fmla="*/ 0 h 711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1231900" h="711200">
              <a:moveTo>
                <a:pt x="1231900" y="660400"/>
              </a:moveTo>
              <a:cubicBezTo>
                <a:pt x="1219939" y="667577"/>
                <a:pt x="1157641" y="711200"/>
                <a:pt x="1130300" y="711200"/>
              </a:cubicBezTo>
              <a:cubicBezTo>
                <a:pt x="1116913" y="711200"/>
                <a:pt x="1104900" y="702733"/>
                <a:pt x="1092200" y="698500"/>
              </a:cubicBezTo>
              <a:cubicBezTo>
                <a:pt x="1087967" y="681567"/>
                <a:pt x="1089182" y="662223"/>
                <a:pt x="1079500" y="647700"/>
              </a:cubicBezTo>
              <a:cubicBezTo>
                <a:pt x="1057178" y="614217"/>
                <a:pt x="993691" y="614349"/>
                <a:pt x="965200" y="609600"/>
              </a:cubicBezTo>
              <a:cubicBezTo>
                <a:pt x="948267" y="601133"/>
                <a:pt x="931020" y="593266"/>
                <a:pt x="914400" y="584200"/>
              </a:cubicBezTo>
              <a:cubicBezTo>
                <a:pt x="884437" y="567857"/>
                <a:pt x="858191" y="543207"/>
                <a:pt x="825500" y="533400"/>
              </a:cubicBezTo>
              <a:cubicBezTo>
                <a:pt x="812678" y="529553"/>
                <a:pt x="799102" y="539599"/>
                <a:pt x="787400" y="546100"/>
              </a:cubicBezTo>
              <a:cubicBezTo>
                <a:pt x="760715" y="560925"/>
                <a:pt x="711200" y="596900"/>
                <a:pt x="711200" y="596900"/>
              </a:cubicBezTo>
              <a:cubicBezTo>
                <a:pt x="698500" y="592667"/>
                <a:pt x="682566" y="593666"/>
                <a:pt x="673100" y="584200"/>
              </a:cubicBezTo>
              <a:cubicBezTo>
                <a:pt x="545493" y="456593"/>
                <a:pt x="677073" y="557416"/>
                <a:pt x="596900" y="457200"/>
              </a:cubicBezTo>
              <a:cubicBezTo>
                <a:pt x="574460" y="429150"/>
                <a:pt x="520700" y="381000"/>
                <a:pt x="520700" y="381000"/>
              </a:cubicBezTo>
              <a:cubicBezTo>
                <a:pt x="508000" y="385233"/>
                <a:pt x="494574" y="387713"/>
                <a:pt x="482600" y="393700"/>
              </a:cubicBezTo>
              <a:cubicBezTo>
                <a:pt x="436644" y="416678"/>
                <a:pt x="436794" y="442217"/>
                <a:pt x="457200" y="381000"/>
              </a:cubicBezTo>
              <a:cubicBezTo>
                <a:pt x="421915" y="322192"/>
                <a:pt x="427783" y="320335"/>
                <a:pt x="381000" y="279400"/>
              </a:cubicBezTo>
              <a:cubicBezTo>
                <a:pt x="360600" y="261550"/>
                <a:pt x="339185" y="244864"/>
                <a:pt x="317500" y="228600"/>
              </a:cubicBezTo>
              <a:cubicBezTo>
                <a:pt x="305289" y="219442"/>
                <a:pt x="289667" y="214494"/>
                <a:pt x="279400" y="203200"/>
              </a:cubicBezTo>
              <a:cubicBezTo>
                <a:pt x="190716" y="105648"/>
                <a:pt x="233951" y="96588"/>
                <a:pt x="152400" y="76200"/>
              </a:cubicBezTo>
              <a:cubicBezTo>
                <a:pt x="131459" y="70965"/>
                <a:pt x="110067" y="67733"/>
                <a:pt x="88900" y="63500"/>
              </a:cubicBezTo>
              <a:cubicBezTo>
                <a:pt x="68978" y="53539"/>
                <a:pt x="17951" y="30651"/>
                <a:pt x="0" y="12700"/>
              </a:cubicBezTo>
              <a:lnTo>
                <a:pt x="0" y="0"/>
              </a:ln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558800</xdr:colOff>
      <xdr:row>3</xdr:row>
      <xdr:rowOff>63500</xdr:rowOff>
    </xdr:to>
    <xdr:sp macro="" textlink="">
      <xdr:nvSpPr>
        <xdr:cNvPr id="17" name="TextBox 16"/>
        <xdr:cNvSpPr txBox="1"/>
      </xdr:nvSpPr>
      <xdr:spPr>
        <a:xfrm>
          <a:off x="723900" y="203200"/>
          <a:ext cx="3962400" cy="393700"/>
        </a:xfrm>
        <a:prstGeom prst="rect">
          <a:avLst/>
        </a:prstGeom>
        <a:solidFill>
          <a:schemeClr val="tx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>
              <a:solidFill>
                <a:schemeClr val="bg1"/>
              </a:solidFill>
            </a:rPr>
            <a:t>ELBONIA</a:t>
          </a:r>
          <a:r>
            <a:rPr lang="en-US" sz="1800" baseline="0">
              <a:solidFill>
                <a:schemeClr val="bg1"/>
              </a:solidFill>
            </a:rPr>
            <a:t> WATERSHED</a:t>
          </a:r>
          <a:endParaRPr lang="en-US" sz="18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177800</xdr:colOff>
      <xdr:row>34</xdr:row>
      <xdr:rowOff>76200</xdr:rowOff>
    </xdr:from>
    <xdr:to>
      <xdr:col>6</xdr:col>
      <xdr:colOff>406400</xdr:colOff>
      <xdr:row>40</xdr:row>
      <xdr:rowOff>152400</xdr:rowOff>
    </xdr:to>
    <xdr:pic>
      <xdr:nvPicPr>
        <xdr:cNvPr id="18" name="Picture 17" descr="ocean.png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34" r="2533" b="11972"/>
        <a:stretch/>
      </xdr:blipFill>
      <xdr:spPr>
        <a:xfrm>
          <a:off x="177800" y="6121400"/>
          <a:ext cx="5486400" cy="1143000"/>
        </a:xfrm>
        <a:prstGeom prst="rect">
          <a:avLst/>
        </a:prstGeom>
      </xdr:spPr>
    </xdr:pic>
    <xdr:clientData/>
  </xdr:twoCellAnchor>
  <xdr:twoCellAnchor>
    <xdr:from>
      <xdr:col>6</xdr:col>
      <xdr:colOff>544689</xdr:colOff>
      <xdr:row>1</xdr:row>
      <xdr:rowOff>100190</xdr:rowOff>
    </xdr:from>
    <xdr:to>
      <xdr:col>13</xdr:col>
      <xdr:colOff>696383</xdr:colOff>
      <xdr:row>20</xdr:row>
      <xdr:rowOff>60677</xdr:rowOff>
    </xdr:to>
    <xdr:grpSp>
      <xdr:nvGrpSpPr>
        <xdr:cNvPr id="2" name="Group 1"/>
        <xdr:cNvGrpSpPr/>
      </xdr:nvGrpSpPr>
      <xdr:grpSpPr>
        <a:xfrm>
          <a:off x="5116689" y="290690"/>
          <a:ext cx="5485694" cy="3579987"/>
          <a:chOff x="5326239" y="395465"/>
          <a:chExt cx="5485694" cy="3579987"/>
        </a:xfrm>
      </xdr:grpSpPr>
      <xdr:graphicFrame macro="">
        <xdr:nvGraphicFramePr>
          <xdr:cNvPr id="19" name="Chart 18"/>
          <xdr:cNvGraphicFramePr>
            <a:graphicFrameLocks/>
          </xdr:cNvGraphicFramePr>
        </xdr:nvGraphicFramePr>
        <xdr:xfrm>
          <a:off x="5326239" y="395465"/>
          <a:ext cx="5485694" cy="35799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0" name="Oval 19"/>
          <xdr:cNvSpPr/>
        </xdr:nvSpPr>
        <xdr:spPr>
          <a:xfrm>
            <a:off x="7615768" y="1910483"/>
            <a:ext cx="909107" cy="927967"/>
          </a:xfrm>
          <a:prstGeom prst="ellipse">
            <a:avLst/>
          </a:prstGeom>
          <a:solidFill>
            <a:schemeClr val="accent6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>
                <a:solidFill>
                  <a:srgbClr val="000000"/>
                </a:solidFill>
              </a:rPr>
              <a:t>Urban</a:t>
            </a:r>
            <a:endParaRPr lang="en-US" sz="1100" b="1">
              <a:solidFill>
                <a:srgbClr val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18</xdr:row>
      <xdr:rowOff>97624</xdr:rowOff>
    </xdr:from>
    <xdr:to>
      <xdr:col>16</xdr:col>
      <xdr:colOff>304800</xdr:colOff>
      <xdr:row>27</xdr:row>
      <xdr:rowOff>38886</xdr:rowOff>
    </xdr:to>
    <xdr:sp macro="" textlink="">
      <xdr:nvSpPr>
        <xdr:cNvPr id="3" name="Subtitle 2"/>
        <xdr:cNvSpPr>
          <a:spLocks noGrp="1"/>
        </xdr:cNvSpPr>
      </xdr:nvSpPr>
      <xdr:spPr>
        <a:xfrm>
          <a:off x="914400" y="3526624"/>
          <a:ext cx="9144000" cy="1655762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147251</xdr:rowOff>
    </xdr:from>
    <xdr:to>
      <xdr:col>16</xdr:col>
      <xdr:colOff>304800</xdr:colOff>
      <xdr:row>34</xdr:row>
      <xdr:rowOff>54347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7751"/>
          <a:ext cx="10058400" cy="6193596"/>
        </a:xfrm>
        <a:prstGeom prst="rect">
          <a:avLst/>
        </a:prstGeom>
      </xdr:spPr>
    </xdr:pic>
    <xdr:clientData/>
  </xdr:twoCellAnchor>
  <xdr:twoCellAnchor>
    <xdr:from>
      <xdr:col>6</xdr:col>
      <xdr:colOff>530453</xdr:colOff>
      <xdr:row>3</xdr:row>
      <xdr:rowOff>19050</xdr:rowOff>
    </xdr:from>
    <xdr:to>
      <xdr:col>14</xdr:col>
      <xdr:colOff>542924</xdr:colOff>
      <xdr:row>6</xdr:row>
      <xdr:rowOff>118568</xdr:rowOff>
    </xdr:to>
    <xdr:sp macro="" textlink="">
      <xdr:nvSpPr>
        <xdr:cNvPr id="5" name="TextBox 4"/>
        <xdr:cNvSpPr txBox="1"/>
      </xdr:nvSpPr>
      <xdr:spPr>
        <a:xfrm>
          <a:off x="4188053" y="590550"/>
          <a:ext cx="4889271" cy="671018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en-US" sz="3200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</a:rPr>
            <a:t>Elbonian Watershed</a:t>
          </a:r>
        </a:p>
      </xdr:txBody>
    </xdr:sp>
    <xdr:clientData/>
  </xdr:twoCellAnchor>
  <xdr:twoCellAnchor editAs="oneCell">
    <xdr:from>
      <xdr:col>21</xdr:col>
      <xdr:colOff>25400</xdr:colOff>
      <xdr:row>16</xdr:row>
      <xdr:rowOff>139700</xdr:rowOff>
    </xdr:from>
    <xdr:to>
      <xdr:col>22</xdr:col>
      <xdr:colOff>342900</xdr:colOff>
      <xdr:row>17</xdr:row>
      <xdr:rowOff>177800</xdr:rowOff>
    </xdr:to>
    <xdr:sp macro="" textlink="">
      <xdr:nvSpPr>
        <xdr:cNvPr id="8195" name="Label1" hidden="1">
          <a:extLst>
            <a:ext uri="{63B3BB69-23CF-44E3-9099-C40C66FF867C}">
              <a14:compatExt xmlns:a14="http://schemas.microsoft.com/office/drawing/2010/main" spid="_x0000_s819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18</xdr:row>
          <xdr:rowOff>66675</xdr:rowOff>
        </xdr:from>
        <xdr:to>
          <xdr:col>4</xdr:col>
          <xdr:colOff>371475</xdr:colOff>
          <xdr:row>19</xdr:row>
          <xdr:rowOff>161925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12</xdr:row>
          <xdr:rowOff>142875</xdr:rowOff>
        </xdr:from>
        <xdr:to>
          <xdr:col>7</xdr:col>
          <xdr:colOff>219075</xdr:colOff>
          <xdr:row>14</xdr:row>
          <xdr:rowOff>28575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Rural Homes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18</xdr:row>
          <xdr:rowOff>0</xdr:rowOff>
        </xdr:from>
        <xdr:to>
          <xdr:col>13</xdr:col>
          <xdr:colOff>295275</xdr:colOff>
          <xdr:row>19</xdr:row>
          <xdr:rowOff>47625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Suburban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104775</xdr:rowOff>
        </xdr:from>
        <xdr:to>
          <xdr:col>13</xdr:col>
          <xdr:colOff>371475</xdr:colOff>
          <xdr:row>26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Urban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14</xdr:row>
          <xdr:rowOff>38100</xdr:rowOff>
        </xdr:from>
        <xdr:to>
          <xdr:col>9</xdr:col>
          <xdr:colOff>485775</xdr:colOff>
          <xdr:row>15</xdr:row>
          <xdr:rowOff>114300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Agriculture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279400</xdr:colOff>
      <xdr:row>10</xdr:row>
      <xdr:rowOff>44450</xdr:rowOff>
    </xdr:from>
    <xdr:to>
      <xdr:col>10</xdr:col>
      <xdr:colOff>520700</xdr:colOff>
      <xdr:row>37</xdr:row>
      <xdr:rowOff>63500</xdr:rowOff>
    </xdr:to>
    <xdr:cxnSp macro="">
      <xdr:nvCxnSpPr>
        <xdr:cNvPr id="6" name="Straight Connector 5"/>
        <xdr:cNvCxnSpPr/>
      </xdr:nvCxnSpPr>
      <xdr:spPr>
        <a:xfrm flipH="1">
          <a:off x="4991100" y="1822450"/>
          <a:ext cx="2260600" cy="48196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25400</xdr:colOff>
      <xdr:row>16</xdr:row>
      <xdr:rowOff>139700</xdr:rowOff>
    </xdr:from>
    <xdr:to>
      <xdr:col>22</xdr:col>
      <xdr:colOff>342900</xdr:colOff>
      <xdr:row>18</xdr:row>
      <xdr:rowOff>0</xdr:rowOff>
    </xdr:to>
    <xdr:pic>
      <xdr:nvPicPr>
        <xdr:cNvPr id="2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60500" y="2984500"/>
          <a:ext cx="990600" cy="215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140475</xdr:colOff>
      <xdr:row>1</xdr:row>
      <xdr:rowOff>9525</xdr:rowOff>
    </xdr:from>
    <xdr:to>
      <xdr:col>17</xdr:col>
      <xdr:colOff>9524</xdr:colOff>
      <xdr:row>38</xdr:row>
      <xdr:rowOff>142875</xdr:rowOff>
    </xdr:to>
    <xdr:grpSp>
      <xdr:nvGrpSpPr>
        <xdr:cNvPr id="46" name="Group 45"/>
        <xdr:cNvGrpSpPr/>
      </xdr:nvGrpSpPr>
      <xdr:grpSpPr>
        <a:xfrm>
          <a:off x="1321575" y="200025"/>
          <a:ext cx="8727299" cy="7181850"/>
          <a:chOff x="1359675" y="200025"/>
          <a:chExt cx="9013049" cy="7181850"/>
        </a:xfrm>
      </xdr:grpSpPr>
      <xdr:grpSp>
        <xdr:nvGrpSpPr>
          <xdr:cNvPr id="90" name="Group 89"/>
          <xdr:cNvGrpSpPr/>
        </xdr:nvGrpSpPr>
        <xdr:grpSpPr>
          <a:xfrm>
            <a:off x="1359675" y="200025"/>
            <a:ext cx="9013049" cy="7181850"/>
            <a:chOff x="2578875" y="390525"/>
            <a:chExt cx="9013049" cy="7181850"/>
          </a:xfrm>
        </xdr:grpSpPr>
        <xdr:grpSp>
          <xdr:nvGrpSpPr>
            <xdr:cNvPr id="38" name="Group 37"/>
            <xdr:cNvGrpSpPr/>
          </xdr:nvGrpSpPr>
          <xdr:grpSpPr>
            <a:xfrm>
              <a:off x="2857501" y="390525"/>
              <a:ext cx="8734423" cy="6006312"/>
              <a:chOff x="581026" y="47625"/>
              <a:chExt cx="8734423" cy="6006312"/>
            </a:xfrm>
          </xdr:grpSpPr>
          <xdr:pic>
            <xdr:nvPicPr>
              <xdr:cNvPr id="3" name="Picture 2"/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590550" y="977348"/>
                <a:ext cx="1685926" cy="1054965"/>
              </a:xfrm>
              <a:prstGeom prst="rect">
                <a:avLst/>
              </a:prstGeom>
            </xdr:spPr>
          </xdr:pic>
          <xdr:pic>
            <xdr:nvPicPr>
              <xdr:cNvPr id="4" name="Picture 3"/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648200" y="3292766"/>
                <a:ext cx="1924050" cy="1050633"/>
              </a:xfrm>
              <a:prstGeom prst="rect">
                <a:avLst/>
              </a:prstGeom>
            </xdr:spPr>
          </xdr:pic>
          <xdr:pic>
            <xdr:nvPicPr>
              <xdr:cNvPr id="5" name="Picture 4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714875" y="1405404"/>
                <a:ext cx="1809750" cy="975846"/>
              </a:xfrm>
              <a:prstGeom prst="rect">
                <a:avLst/>
              </a:prstGeom>
            </xdr:spPr>
          </xdr:pic>
          <xdr:pic>
            <xdr:nvPicPr>
              <xdr:cNvPr id="6" name="Picture 5"/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829175" y="5404933"/>
                <a:ext cx="1647825" cy="649004"/>
              </a:xfrm>
              <a:prstGeom prst="rect">
                <a:avLst/>
              </a:prstGeom>
            </xdr:spPr>
          </xdr:pic>
          <xdr:pic>
            <xdr:nvPicPr>
              <xdr:cNvPr id="7" name="Picture 6"/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096125" y="2376643"/>
                <a:ext cx="1438275" cy="957107"/>
              </a:xfrm>
              <a:prstGeom prst="rect">
                <a:avLst/>
              </a:prstGeom>
            </xdr:spPr>
          </xdr:pic>
          <xdr:pic>
            <xdr:nvPicPr>
              <xdr:cNvPr id="8" name="Picture 7"/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450161" y="4552950"/>
                <a:ext cx="1388413" cy="923925"/>
              </a:xfrm>
              <a:prstGeom prst="rect">
                <a:avLst/>
              </a:prstGeom>
            </xdr:spPr>
          </xdr:pic>
          <xdr:sp macro="" textlink="">
            <xdr:nvSpPr>
              <xdr:cNvPr id="13" name="TextBox 12"/>
              <xdr:cNvSpPr txBox="1"/>
            </xdr:nvSpPr>
            <xdr:spPr>
              <a:xfrm>
                <a:off x="1238251" y="47625"/>
                <a:ext cx="7477124" cy="598690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2800">
                    <a:solidFill>
                      <a:schemeClr val="accent1">
                        <a:lumMod val="50000"/>
                      </a:schemeClr>
                    </a:solidFill>
                    <a:latin typeface="Arial Black" panose="020B0A04020102020204" pitchFamily="34" charset="0"/>
                  </a:rPr>
                  <a:t>Elbonian Users</a:t>
                </a:r>
                <a:r>
                  <a:rPr lang="en-US" sz="2800" baseline="0">
                    <a:solidFill>
                      <a:schemeClr val="accent1">
                        <a:lumMod val="50000"/>
                      </a:schemeClr>
                    </a:solidFill>
                    <a:latin typeface="Arial Black" panose="020B0A04020102020204" pitchFamily="34" charset="0"/>
                  </a:rPr>
                  <a:t> and Supply Sources</a:t>
                </a:r>
                <a:endParaRPr lang="en-US" sz="2800">
                  <a:solidFill>
                    <a:schemeClr val="accent1">
                      <a:lumMod val="50000"/>
                    </a:schemeClr>
                  </a:solidFill>
                  <a:latin typeface="Arial Black" panose="020B0A04020102020204" pitchFamily="34" charset="0"/>
                </a:endParaRPr>
              </a:p>
            </xdr:txBody>
          </xdr:sp>
          <xdr:pic>
            <xdr:nvPicPr>
              <xdr:cNvPr id="14" name="Picture 13"/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743824" y="1014413"/>
                <a:ext cx="1571625" cy="785813"/>
              </a:xfrm>
              <a:prstGeom prst="rect">
                <a:avLst/>
              </a:prstGeom>
            </xdr:spPr>
          </xdr:pic>
          <xdr:sp macro="" textlink="">
            <xdr:nvSpPr>
              <xdr:cNvPr id="25" name="TextBox 24"/>
              <xdr:cNvSpPr txBox="1"/>
            </xdr:nvSpPr>
            <xdr:spPr>
              <a:xfrm>
                <a:off x="4714875" y="1120138"/>
                <a:ext cx="180975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Suburban</a:t>
                </a:r>
              </a:p>
            </xdr:txBody>
          </xdr:sp>
          <xdr:sp macro="" textlink="">
            <xdr:nvSpPr>
              <xdr:cNvPr id="26" name="TextBox 25"/>
              <xdr:cNvSpPr txBox="1"/>
            </xdr:nvSpPr>
            <xdr:spPr>
              <a:xfrm>
                <a:off x="4648199" y="3006088"/>
                <a:ext cx="1914525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Urban</a:t>
                </a:r>
              </a:p>
            </xdr:txBody>
          </xdr:sp>
          <xdr:sp macro="" textlink="">
            <xdr:nvSpPr>
              <xdr:cNvPr id="27" name="TextBox 26"/>
              <xdr:cNvSpPr txBox="1"/>
            </xdr:nvSpPr>
            <xdr:spPr>
              <a:xfrm>
                <a:off x="7105651" y="2076450"/>
                <a:ext cx="142875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Rural</a:t>
                </a:r>
                <a:r>
                  <a:rPr lang="en-US" sz="1100" baseline="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 Homes</a:t>
                </a:r>
                <a:endParaRPr lang="en-US" sz="1100">
                  <a:solidFill>
                    <a:schemeClr val="accent2"/>
                  </a:solidFill>
                  <a:latin typeface="Arial Black" panose="020B0A04020102020204" pitchFamily="34" charset="0"/>
                </a:endParaRPr>
              </a:p>
            </xdr:txBody>
          </xdr:sp>
          <xdr:sp macro="" textlink="">
            <xdr:nvSpPr>
              <xdr:cNvPr id="28" name="TextBox 27"/>
              <xdr:cNvSpPr txBox="1"/>
            </xdr:nvSpPr>
            <xdr:spPr>
              <a:xfrm>
                <a:off x="7753351" y="714375"/>
                <a:ext cx="1552574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Groundwater</a:t>
                </a:r>
              </a:p>
            </xdr:txBody>
          </xdr:sp>
          <xdr:sp macro="" textlink="">
            <xdr:nvSpPr>
              <xdr:cNvPr id="29" name="TextBox 28"/>
              <xdr:cNvSpPr txBox="1"/>
            </xdr:nvSpPr>
            <xdr:spPr>
              <a:xfrm>
                <a:off x="581026" y="695325"/>
                <a:ext cx="167640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Surface Reservoir</a:t>
                </a:r>
              </a:p>
            </xdr:txBody>
          </xdr:sp>
          <xdr:sp macro="" textlink="">
            <xdr:nvSpPr>
              <xdr:cNvPr id="36" name="TextBox 35"/>
              <xdr:cNvSpPr txBox="1"/>
            </xdr:nvSpPr>
            <xdr:spPr>
              <a:xfrm>
                <a:off x="2438400" y="4272913"/>
                <a:ext cx="139065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Environment</a:t>
                </a:r>
              </a:p>
            </xdr:txBody>
          </xdr:sp>
          <xdr:sp macro="" textlink="">
            <xdr:nvSpPr>
              <xdr:cNvPr id="37" name="TextBox 36"/>
              <xdr:cNvSpPr txBox="1"/>
            </xdr:nvSpPr>
            <xdr:spPr>
              <a:xfrm>
                <a:off x="4829175" y="5101588"/>
                <a:ext cx="163830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Agriculture</a:t>
                </a:r>
              </a:p>
            </xdr:txBody>
          </xdr:sp>
        </xdr:grpSp>
        <xdr:pic>
          <xdr:nvPicPr>
            <xdr:cNvPr id="39" name="Picture 38"/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66999" y="6592821"/>
              <a:ext cx="1933576" cy="979554"/>
            </a:xfrm>
            <a:prstGeom prst="rect">
              <a:avLst/>
            </a:prstGeom>
          </xdr:spPr>
        </xdr:pic>
        <xdr:pic>
          <xdr:nvPicPr>
            <xdr:cNvPr id="40" name="Picture 39"/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578875" y="3912375"/>
              <a:ext cx="1516873" cy="945375"/>
            </a:xfrm>
            <a:prstGeom prst="rect">
              <a:avLst/>
            </a:prstGeom>
          </xdr:spPr>
        </xdr:pic>
        <xdr:cxnSp macro="">
          <xdr:nvCxnSpPr>
            <xdr:cNvPr id="45" name="Curved Connector 44"/>
            <xdr:cNvCxnSpPr>
              <a:stCxn id="3" idx="3"/>
              <a:endCxn id="5" idx="1"/>
            </xdr:cNvCxnSpPr>
          </xdr:nvCxnSpPr>
          <xdr:spPr>
            <a:xfrm>
              <a:off x="4552951" y="1847731"/>
              <a:ext cx="2438399" cy="388496"/>
            </a:xfrm>
            <a:prstGeom prst="curvedConnector3">
              <a:avLst/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48" name="TextBox 47"/>
            <xdr:cNvSpPr txBox="1"/>
          </xdr:nvSpPr>
          <xdr:spPr>
            <a:xfrm>
              <a:off x="2590800" y="3619500"/>
              <a:ext cx="1495426" cy="291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en-US" sz="1100">
                  <a:solidFill>
                    <a:schemeClr val="accent2"/>
                  </a:solidFill>
                  <a:latin typeface="Arial Black" panose="020B0A04020102020204" pitchFamily="34" charset="0"/>
                </a:rPr>
                <a:t>River</a:t>
              </a:r>
            </a:p>
          </xdr:txBody>
        </xdr:sp>
        <xdr:sp macro="" textlink="">
          <xdr:nvSpPr>
            <xdr:cNvPr id="49" name="TextBox 48"/>
            <xdr:cNvSpPr txBox="1"/>
          </xdr:nvSpPr>
          <xdr:spPr>
            <a:xfrm>
              <a:off x="2667000" y="6305550"/>
              <a:ext cx="1905000" cy="291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en-US" sz="1100">
                  <a:solidFill>
                    <a:schemeClr val="accent2"/>
                  </a:solidFill>
                  <a:latin typeface="Arial Black" panose="020B0A04020102020204" pitchFamily="34" charset="0"/>
                </a:rPr>
                <a:t>Ocean</a:t>
              </a:r>
            </a:p>
          </xdr:txBody>
        </xdr:sp>
        <xdr:cxnSp macro="">
          <xdr:nvCxnSpPr>
            <xdr:cNvPr id="50" name="Curved Connector 49"/>
            <xdr:cNvCxnSpPr>
              <a:stCxn id="3" idx="3"/>
              <a:endCxn id="4" idx="1"/>
            </xdr:cNvCxnSpPr>
          </xdr:nvCxnSpPr>
          <xdr:spPr>
            <a:xfrm>
              <a:off x="4552951" y="1847731"/>
              <a:ext cx="2371724" cy="2313252"/>
            </a:xfrm>
            <a:prstGeom prst="curvedConnector3">
              <a:avLst>
                <a:gd name="adj1" fmla="val 60843"/>
              </a:avLst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53" name="Curved Connector 52"/>
            <xdr:cNvCxnSpPr>
              <a:stCxn id="3" idx="2"/>
              <a:endCxn id="40" idx="0"/>
            </xdr:cNvCxnSpPr>
          </xdr:nvCxnSpPr>
          <xdr:spPr>
            <a:xfrm rot="5400000">
              <a:off x="2755069" y="2957456"/>
              <a:ext cx="1537162" cy="372676"/>
            </a:xfrm>
            <a:prstGeom prst="curvedConnector3">
              <a:avLst>
                <a:gd name="adj1" fmla="val 50000"/>
              </a:avLst>
            </a:prstGeom>
            <a:ln w="28575"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" name="Curved Connector 55"/>
            <xdr:cNvCxnSpPr>
              <a:stCxn id="40" idx="2"/>
              <a:endCxn id="39" idx="0"/>
            </xdr:cNvCxnSpPr>
          </xdr:nvCxnSpPr>
          <xdr:spPr>
            <a:xfrm rot="16200000" flipH="1">
              <a:off x="2618014" y="5577047"/>
              <a:ext cx="1735071" cy="296475"/>
            </a:xfrm>
            <a:prstGeom prst="curvedConnector3">
              <a:avLst>
                <a:gd name="adj1" fmla="val 50000"/>
              </a:avLst>
            </a:prstGeom>
            <a:ln w="28575"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" name="Curved Connector 58"/>
            <xdr:cNvCxnSpPr>
              <a:stCxn id="14" idx="1"/>
              <a:endCxn id="5" idx="3"/>
            </xdr:cNvCxnSpPr>
          </xdr:nvCxnSpPr>
          <xdr:spPr>
            <a:xfrm rot="10800000" flipV="1">
              <a:off x="8801101" y="1750219"/>
              <a:ext cx="1219199" cy="486007"/>
            </a:xfrm>
            <a:prstGeom prst="curvedConnector3">
              <a:avLst/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62" name="Curved Connector 61"/>
            <xdr:cNvCxnSpPr>
              <a:stCxn id="14" idx="3"/>
              <a:endCxn id="4" idx="3"/>
            </xdr:cNvCxnSpPr>
          </xdr:nvCxnSpPr>
          <xdr:spPr>
            <a:xfrm flipH="1">
              <a:off x="8848725" y="1750220"/>
              <a:ext cx="2743199" cy="2410763"/>
            </a:xfrm>
            <a:prstGeom prst="curvedConnector3">
              <a:avLst>
                <a:gd name="adj1" fmla="val -8333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65" name="Curved Connector 64"/>
            <xdr:cNvCxnSpPr>
              <a:stCxn id="40" idx="3"/>
              <a:endCxn id="8" idx="1"/>
            </xdr:cNvCxnSpPr>
          </xdr:nvCxnSpPr>
          <xdr:spPr>
            <a:xfrm>
              <a:off x="4095748" y="4385063"/>
              <a:ext cx="630888" cy="972750"/>
            </a:xfrm>
            <a:prstGeom prst="curvedConnector3">
              <a:avLst/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68" name="Curved Connector 67"/>
            <xdr:cNvCxnSpPr>
              <a:stCxn id="40" idx="3"/>
              <a:endCxn id="6" idx="2"/>
            </xdr:cNvCxnSpPr>
          </xdr:nvCxnSpPr>
          <xdr:spPr>
            <a:xfrm>
              <a:off x="4095748" y="4385063"/>
              <a:ext cx="3833815" cy="2011774"/>
            </a:xfrm>
            <a:prstGeom prst="curvedConnector4">
              <a:avLst>
                <a:gd name="adj1" fmla="val 7205"/>
                <a:gd name="adj2" fmla="val 111363"/>
              </a:avLst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72" name="Curved Connector 71"/>
            <xdr:cNvCxnSpPr>
              <a:stCxn id="14" idx="3"/>
              <a:endCxn id="7" idx="3"/>
            </xdr:cNvCxnSpPr>
          </xdr:nvCxnSpPr>
          <xdr:spPr>
            <a:xfrm flipH="1">
              <a:off x="10810875" y="1750220"/>
              <a:ext cx="781049" cy="1447877"/>
            </a:xfrm>
            <a:prstGeom prst="curvedConnector3">
              <a:avLst>
                <a:gd name="adj1" fmla="val -12195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77" name="Curved Connector 76"/>
            <xdr:cNvCxnSpPr>
              <a:stCxn id="14" idx="3"/>
              <a:endCxn id="6" idx="3"/>
            </xdr:cNvCxnSpPr>
          </xdr:nvCxnSpPr>
          <xdr:spPr>
            <a:xfrm flipH="1">
              <a:off x="8753475" y="1750220"/>
              <a:ext cx="2838449" cy="4322115"/>
            </a:xfrm>
            <a:prstGeom prst="curvedConnector3">
              <a:avLst>
                <a:gd name="adj1" fmla="val -16779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81" name="Curved Connector 80"/>
            <xdr:cNvCxnSpPr>
              <a:stCxn id="14" idx="3"/>
              <a:endCxn id="8" idx="3"/>
            </xdr:cNvCxnSpPr>
          </xdr:nvCxnSpPr>
          <xdr:spPr>
            <a:xfrm flipH="1">
              <a:off x="6115049" y="1750220"/>
              <a:ext cx="5476875" cy="3607593"/>
            </a:xfrm>
            <a:prstGeom prst="curvedConnector3">
              <a:avLst>
                <a:gd name="adj1" fmla="val -6783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86" name="Curved Connector 85"/>
            <xdr:cNvCxnSpPr>
              <a:stCxn id="3" idx="3"/>
              <a:endCxn id="7" idx="1"/>
            </xdr:cNvCxnSpPr>
          </xdr:nvCxnSpPr>
          <xdr:spPr>
            <a:xfrm>
              <a:off x="4552951" y="1847731"/>
              <a:ext cx="4819649" cy="1350366"/>
            </a:xfrm>
            <a:prstGeom prst="curvedConnector3">
              <a:avLst>
                <a:gd name="adj1" fmla="val 30237"/>
              </a:avLst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</xdr:grpSp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33700" y="2696389"/>
            <a:ext cx="1609725" cy="904061"/>
          </a:xfrm>
          <a:prstGeom prst="rect">
            <a:avLst/>
          </a:prstGeom>
        </xdr:spPr>
      </xdr:pic>
      <xdr:cxnSp macro="">
        <xdr:nvCxnSpPr>
          <xdr:cNvPr id="41" name="Curved Connector 40"/>
          <xdr:cNvCxnSpPr>
            <a:stCxn id="2" idx="3"/>
            <a:endCxn id="5" idx="2"/>
          </xdr:cNvCxnSpPr>
        </xdr:nvCxnSpPr>
        <xdr:spPr>
          <a:xfrm flipV="1">
            <a:off x="4543425" y="2533650"/>
            <a:ext cx="2133600" cy="614770"/>
          </a:xfrm>
          <a:prstGeom prst="curvedConnector2">
            <a:avLst/>
          </a:prstGeom>
          <a:ln w="19050">
            <a:solidFill>
              <a:schemeClr val="accent4">
                <a:lumMod val="60000"/>
                <a:lumOff val="40000"/>
              </a:schemeClr>
            </a:solidFill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2" name="Curved Connector 41"/>
          <xdr:cNvCxnSpPr>
            <a:stCxn id="2" idx="3"/>
            <a:endCxn id="4" idx="2"/>
          </xdr:cNvCxnSpPr>
        </xdr:nvCxnSpPr>
        <xdr:spPr>
          <a:xfrm>
            <a:off x="4543425" y="3148420"/>
            <a:ext cx="2124075" cy="1347379"/>
          </a:xfrm>
          <a:prstGeom prst="curvedConnector4">
            <a:avLst>
              <a:gd name="adj1" fmla="val 21973"/>
              <a:gd name="adj2" fmla="val 116966"/>
            </a:avLst>
          </a:prstGeom>
          <a:ln w="19050">
            <a:solidFill>
              <a:schemeClr val="accent4">
                <a:lumMod val="60000"/>
                <a:lumOff val="40000"/>
              </a:schemeClr>
            </a:solidFill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4" name="Curved Connector 43"/>
          <xdr:cNvCxnSpPr>
            <a:stCxn id="2" idx="3"/>
            <a:endCxn id="6" idx="1"/>
          </xdr:cNvCxnSpPr>
        </xdr:nvCxnSpPr>
        <xdr:spPr>
          <a:xfrm>
            <a:off x="4543425" y="3148420"/>
            <a:ext cx="1343025" cy="2733415"/>
          </a:xfrm>
          <a:prstGeom prst="curvedConnector3">
            <a:avLst>
              <a:gd name="adj1" fmla="val 34397"/>
            </a:avLst>
          </a:prstGeom>
          <a:ln w="19050">
            <a:solidFill>
              <a:schemeClr val="accent4">
                <a:lumMod val="60000"/>
                <a:lumOff val="40000"/>
              </a:schemeClr>
            </a:solidFill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57" name="TextBox 56"/>
          <xdr:cNvSpPr txBox="1"/>
        </xdr:nvSpPr>
        <xdr:spPr>
          <a:xfrm>
            <a:off x="2924175" y="2390775"/>
            <a:ext cx="1619250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100">
                <a:solidFill>
                  <a:schemeClr val="accent2"/>
                </a:solidFill>
                <a:latin typeface="Arial Black" panose="020B0A04020102020204" pitchFamily="34" charset="0"/>
              </a:rPr>
              <a:t>Wastewater</a:t>
            </a:r>
            <a:r>
              <a:rPr lang="en-US" sz="1100" baseline="0">
                <a:solidFill>
                  <a:schemeClr val="accent2"/>
                </a:solidFill>
                <a:latin typeface="Arial Black" panose="020B0A04020102020204" pitchFamily="34" charset="0"/>
              </a:rPr>
              <a:t> Reuse</a:t>
            </a:r>
            <a:endParaRPr lang="en-US" sz="1100">
              <a:solidFill>
                <a:schemeClr val="accent2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43392</xdr:colOff>
      <xdr:row>12</xdr:row>
      <xdr:rowOff>1</xdr:rowOff>
    </xdr:from>
    <xdr:to>
      <xdr:col>23</xdr:col>
      <xdr:colOff>359622</xdr:colOff>
      <xdr:row>26</xdr:row>
      <xdr:rowOff>160021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142875</xdr:colOff>
      <xdr:row>12</xdr:row>
      <xdr:rowOff>38101</xdr:rowOff>
    </xdr:from>
    <xdr:to>
      <xdr:col>11</xdr:col>
      <xdr:colOff>449580</xdr:colOff>
      <xdr:row>26</xdr:row>
      <xdr:rowOff>198121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142875</xdr:colOff>
      <xdr:row>12</xdr:row>
      <xdr:rowOff>9525</xdr:rowOff>
    </xdr:from>
    <xdr:to>
      <xdr:col>15</xdr:col>
      <xdr:colOff>478155</xdr:colOff>
      <xdr:row>26</xdr:row>
      <xdr:rowOff>169545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12</xdr:row>
      <xdr:rowOff>1</xdr:rowOff>
    </xdr:from>
    <xdr:to>
      <xdr:col>21</xdr:col>
      <xdr:colOff>30480</xdr:colOff>
      <xdr:row>26</xdr:row>
      <xdr:rowOff>160021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9525</xdr:colOff>
      <xdr:row>12</xdr:row>
      <xdr:rowOff>1</xdr:rowOff>
    </xdr:from>
    <xdr:to>
      <xdr:col>28</xdr:col>
      <xdr:colOff>125730</xdr:colOff>
      <xdr:row>26</xdr:row>
      <xdr:rowOff>160021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6</xdr:col>
      <xdr:colOff>53356</xdr:colOff>
      <xdr:row>0</xdr:row>
      <xdr:rowOff>0</xdr:rowOff>
    </xdr:from>
    <xdr:ext cx="2255489" cy="593304"/>
    <xdr:sp macro="" textlink="">
      <xdr:nvSpPr>
        <xdr:cNvPr id="3" name="Rectangle 2"/>
        <xdr:cNvSpPr/>
      </xdr:nvSpPr>
      <xdr:spPr>
        <a:xfrm>
          <a:off x="3472831" y="0"/>
          <a:ext cx="2255489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Upper Basin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43392</xdr:colOff>
      <xdr:row>12</xdr:row>
      <xdr:rowOff>19051</xdr:rowOff>
    </xdr:from>
    <xdr:to>
      <xdr:col>23</xdr:col>
      <xdr:colOff>359622</xdr:colOff>
      <xdr:row>26</xdr:row>
      <xdr:rowOff>179071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133350</xdr:colOff>
      <xdr:row>13</xdr:row>
      <xdr:rowOff>47625</xdr:rowOff>
    </xdr:from>
    <xdr:to>
      <xdr:col>11</xdr:col>
      <xdr:colOff>440055</xdr:colOff>
      <xdr:row>26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142875</xdr:colOff>
      <xdr:row>13</xdr:row>
      <xdr:rowOff>47624</xdr:rowOff>
    </xdr:from>
    <xdr:to>
      <xdr:col>15</xdr:col>
      <xdr:colOff>478155</xdr:colOff>
      <xdr:row>26</xdr:row>
      <xdr:rowOff>123824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12</xdr:row>
      <xdr:rowOff>1</xdr:rowOff>
    </xdr:from>
    <xdr:to>
      <xdr:col>20</xdr:col>
      <xdr:colOff>40005</xdr:colOff>
      <xdr:row>26</xdr:row>
      <xdr:rowOff>160021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9526</xdr:colOff>
      <xdr:row>12</xdr:row>
      <xdr:rowOff>1</xdr:rowOff>
    </xdr:from>
    <xdr:to>
      <xdr:col>28</xdr:col>
      <xdr:colOff>68581</xdr:colOff>
      <xdr:row>26</xdr:row>
      <xdr:rowOff>160021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11643</xdr:colOff>
      <xdr:row>39</xdr:row>
      <xdr:rowOff>175683</xdr:rowOff>
    </xdr:from>
    <xdr:to>
      <xdr:col>15</xdr:col>
      <xdr:colOff>436034</xdr:colOff>
      <xdr:row>58</xdr:row>
      <xdr:rowOff>75670</xdr:rowOff>
    </xdr:to>
    <xdr:grpSp>
      <xdr:nvGrpSpPr>
        <xdr:cNvPr id="29" name="Group 28"/>
        <xdr:cNvGrpSpPr/>
      </xdr:nvGrpSpPr>
      <xdr:grpSpPr>
        <a:xfrm>
          <a:off x="4202643" y="7805208"/>
          <a:ext cx="6367991" cy="3605212"/>
          <a:chOff x="3894668" y="7317317"/>
          <a:chExt cx="6371166" cy="3604153"/>
        </a:xfrm>
      </xdr:grpSpPr>
      <xdr:grpSp>
        <xdr:nvGrpSpPr>
          <xdr:cNvPr id="31" name="Group 30"/>
          <xdr:cNvGrpSpPr/>
        </xdr:nvGrpSpPr>
        <xdr:grpSpPr>
          <a:xfrm>
            <a:off x="3894668" y="7317317"/>
            <a:ext cx="4419275" cy="3604153"/>
            <a:chOff x="3848101" y="7667625"/>
            <a:chExt cx="4362448" cy="3605212"/>
          </a:xfrm>
        </xdr:grpSpPr>
        <xdr:grpSp>
          <xdr:nvGrpSpPr>
            <xdr:cNvPr id="27" name="Group 26"/>
            <xdr:cNvGrpSpPr/>
          </xdr:nvGrpSpPr>
          <xdr:grpSpPr>
            <a:xfrm>
              <a:off x="3848101" y="7667625"/>
              <a:ext cx="4362448" cy="3605212"/>
              <a:chOff x="1704976" y="7734300"/>
              <a:chExt cx="4362448" cy="3605212"/>
            </a:xfrm>
          </xdr:grpSpPr>
          <xdr:grpSp>
            <xdr:nvGrpSpPr>
              <xdr:cNvPr id="26" name="Group 25"/>
              <xdr:cNvGrpSpPr/>
            </xdr:nvGrpSpPr>
            <xdr:grpSpPr>
              <a:xfrm>
                <a:off x="1704976" y="7734300"/>
                <a:ext cx="4362448" cy="3605212"/>
                <a:chOff x="1704976" y="7734300"/>
                <a:chExt cx="4362448" cy="3605212"/>
              </a:xfrm>
            </xdr:grpSpPr>
            <xdr:grpSp>
              <xdr:nvGrpSpPr>
                <xdr:cNvPr id="25" name="Group 24"/>
                <xdr:cNvGrpSpPr/>
              </xdr:nvGrpSpPr>
              <xdr:grpSpPr>
                <a:xfrm>
                  <a:off x="1704976" y="7734300"/>
                  <a:ext cx="4362448" cy="3605212"/>
                  <a:chOff x="3943351" y="7543800"/>
                  <a:chExt cx="4362448" cy="3605212"/>
                </a:xfrm>
              </xdr:grpSpPr>
              <xdr:grpSp>
                <xdr:nvGrpSpPr>
                  <xdr:cNvPr id="24" name="Group 23"/>
                  <xdr:cNvGrpSpPr/>
                </xdr:nvGrpSpPr>
                <xdr:grpSpPr>
                  <a:xfrm>
                    <a:off x="3943351" y="7543800"/>
                    <a:ext cx="4362448" cy="3605212"/>
                    <a:chOff x="3943351" y="7543800"/>
                    <a:chExt cx="4362448" cy="3605212"/>
                  </a:xfrm>
                </xdr:grpSpPr>
                <xdr:grpSp>
                  <xdr:nvGrpSpPr>
                    <xdr:cNvPr id="23" name="Group 22"/>
                    <xdr:cNvGrpSpPr/>
                  </xdr:nvGrpSpPr>
                  <xdr:grpSpPr>
                    <a:xfrm>
                      <a:off x="3943351" y="7543800"/>
                      <a:ext cx="4362448" cy="3605212"/>
                      <a:chOff x="3943351" y="7543800"/>
                      <a:chExt cx="4362448" cy="3605212"/>
                    </a:xfrm>
                  </xdr:grpSpPr>
                  <xdr:grpSp>
                    <xdr:nvGrpSpPr>
                      <xdr:cNvPr id="22" name="Group 21"/>
                      <xdr:cNvGrpSpPr/>
                    </xdr:nvGrpSpPr>
                    <xdr:grpSpPr>
                      <a:xfrm>
                        <a:off x="3943351" y="7543800"/>
                        <a:ext cx="4362448" cy="3605212"/>
                        <a:chOff x="3943351" y="7543800"/>
                        <a:chExt cx="4362448" cy="3605212"/>
                      </a:xfrm>
                    </xdr:grpSpPr>
                    <xdr:grpSp>
                      <xdr:nvGrpSpPr>
                        <xdr:cNvPr id="7" name="Group 6"/>
                        <xdr:cNvGrpSpPr/>
                      </xdr:nvGrpSpPr>
                      <xdr:grpSpPr>
                        <a:xfrm>
                          <a:off x="3943351" y="7543800"/>
                          <a:ext cx="4362448" cy="3605212"/>
                          <a:chOff x="5083176" y="168272"/>
                          <a:chExt cx="4362448" cy="3605212"/>
                        </a:xfrm>
                      </xdr:grpSpPr>
                      <xdr:grpSp>
                        <xdr:nvGrpSpPr>
                          <xdr:cNvPr id="9" name="Group 8"/>
                          <xdr:cNvGrpSpPr/>
                        </xdr:nvGrpSpPr>
                        <xdr:grpSpPr>
                          <a:xfrm>
                            <a:off x="5083176" y="168272"/>
                            <a:ext cx="4362448" cy="3605212"/>
                            <a:chOff x="5083176" y="215900"/>
                            <a:chExt cx="4362448" cy="3605212"/>
                          </a:xfrm>
                        </xdr:grpSpPr>
                        <xdr:sp macro="" textlink="">
                          <xdr:nvSpPr>
                            <xdr:cNvPr id="12" name="Rectangle 11"/>
                            <xdr:cNvSpPr/>
                          </xdr:nvSpPr>
                          <xdr:spPr>
                            <a:xfrm>
                              <a:off x="5246685" y="777875"/>
                              <a:ext cx="4198939" cy="2587625"/>
                            </a:xfrm>
                            <a:prstGeom prst="rect">
                              <a:avLst/>
                            </a:prstGeom>
                            <a:solidFill>
                              <a:sysClr val="window" lastClr="FFFFFF"/>
                            </a:solidFill>
                            <a:ln w="9525"/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graphicFrame macro="">
                          <xdr:nvGraphicFramePr>
                            <xdr:cNvPr id="13" name="Chart 12"/>
                            <xdr:cNvGraphicFramePr/>
                          </xdr:nvGraphicFramePr>
                          <xdr:xfrm>
                            <a:off x="5083176" y="215900"/>
                            <a:ext cx="3648076" cy="3605212"/>
                          </xdr:xfrm>
                          <a:graphic>
                            <a:graphicData uri="http://schemas.openxmlformats.org/drawingml/2006/chart">
                              <c:chart xmlns:c="http://schemas.openxmlformats.org/drawingml/2006/chart" xmlns:r="http://schemas.openxmlformats.org/officeDocument/2006/relationships" r:id="rId6"/>
                            </a:graphicData>
                          </a:graphic>
                        </xdr:graphicFrame>
                      </xdr:grpSp>
                      <xdr:sp macro="" textlink="">
                        <xdr:nvSpPr>
                          <xdr:cNvPr id="10" name="Freeform 9"/>
                          <xdr:cNvSpPr/>
                        </xdr:nvSpPr>
                        <xdr:spPr>
                          <a:xfrm>
                            <a:off x="5259821" y="835022"/>
                            <a:ext cx="2296679" cy="600076"/>
                          </a:xfrm>
                          <a:custGeom>
                            <a:avLst/>
                            <a:gdLst>
                              <a:gd name="connsiteX0" fmla="*/ 0 w 2238375"/>
                              <a:gd name="connsiteY0" fmla="*/ 0 h 682625"/>
                              <a:gd name="connsiteX1" fmla="*/ 460375 w 2238375"/>
                              <a:gd name="connsiteY1" fmla="*/ 142875 h 682625"/>
                              <a:gd name="connsiteX2" fmla="*/ 976312 w 2238375"/>
                              <a:gd name="connsiteY2" fmla="*/ 206375 h 682625"/>
                              <a:gd name="connsiteX3" fmla="*/ 1587500 w 2238375"/>
                              <a:gd name="connsiteY3" fmla="*/ 214313 h 682625"/>
                              <a:gd name="connsiteX4" fmla="*/ 2238375 w 2238375"/>
                              <a:gd name="connsiteY4" fmla="*/ 682625 h 682625"/>
                            </a:gdLst>
                            <a:ahLst/>
                            <a:cxnLst>
                              <a:cxn ang="0">
                                <a:pos x="connsiteX0" y="connsiteY0"/>
                              </a:cxn>
                              <a:cxn ang="0">
                                <a:pos x="connsiteX1" y="connsiteY1"/>
                              </a:cxn>
                              <a:cxn ang="0">
                                <a:pos x="connsiteX2" y="connsiteY2"/>
                              </a:cxn>
                              <a:cxn ang="0">
                                <a:pos x="connsiteX3" y="connsiteY3"/>
                              </a:cxn>
                              <a:cxn ang="0">
                                <a:pos x="connsiteX4" y="connsiteY4"/>
                              </a:cxn>
                            </a:cxnLst>
                            <a:rect l="l" t="t" r="r" b="b"/>
                            <a:pathLst>
                              <a:path w="2238375" h="682625">
                                <a:moveTo>
                                  <a:pt x="0" y="0"/>
                                </a:moveTo>
                                <a:cubicBezTo>
                                  <a:pt x="148828" y="54239"/>
                                  <a:pt x="297656" y="108479"/>
                                  <a:pt x="460375" y="142875"/>
                                </a:cubicBezTo>
                                <a:cubicBezTo>
                                  <a:pt x="623094" y="177271"/>
                                  <a:pt x="788458" y="194469"/>
                                  <a:pt x="976312" y="206375"/>
                                </a:cubicBezTo>
                                <a:cubicBezTo>
                                  <a:pt x="1164166" y="218281"/>
                                  <a:pt x="1377156" y="134938"/>
                                  <a:pt x="1587500" y="214313"/>
                                </a:cubicBezTo>
                                <a:cubicBezTo>
                                  <a:pt x="1797844" y="293688"/>
                                  <a:pt x="2116667" y="587375"/>
                                  <a:pt x="2238375" y="682625"/>
                                </a:cubicBezTo>
                              </a:path>
                            </a:pathLst>
                          </a:custGeom>
                          <a:ln w="12700"/>
                        </xdr:spPr>
                        <xdr:style>
                          <a:lnRef idx="2">
                            <a:schemeClr val="accent6"/>
                          </a:lnRef>
                          <a:fillRef idx="0">
                            <a:schemeClr val="accent6"/>
                          </a:fillRef>
                          <a:effectRef idx="1">
                            <a:schemeClr val="accent6"/>
                          </a:effectRef>
                          <a:fontRef idx="minor">
                            <a:schemeClr val="tx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US" sz="1100"/>
                          </a:p>
                        </xdr:txBody>
                      </xdr:sp>
                    </xdr:grpSp>
                    <xdr:sp macro="" textlink="">
                      <xdr:nvSpPr>
                        <xdr:cNvPr id="20" name="Rectangle 19"/>
                        <xdr:cNvSpPr/>
                      </xdr:nvSpPr>
                      <xdr:spPr>
                        <a:xfrm>
                          <a:off x="4181475" y="8886825"/>
                          <a:ext cx="971550" cy="447675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6"/>
                        </a:lnRef>
                        <a:fillRef idx="1">
                          <a:schemeClr val="lt1"/>
                        </a:fillRef>
                        <a:effectRef idx="0">
                          <a:schemeClr val="accent6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r>
                            <a:rPr lang="en-US" sz="1100"/>
                            <a:t>Groundwater (fresh)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21" name="Rectangle 20"/>
                      <xdr:cNvSpPr/>
                    </xdr:nvSpPr>
                    <xdr:spPr>
                      <a:xfrm>
                        <a:off x="4153371" y="8486775"/>
                        <a:ext cx="971550" cy="27622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6"/>
                      </a:lnRef>
                      <a:fillRef idx="1">
                        <a:schemeClr val="lt1"/>
                      </a:fillRef>
                      <a:effectRef idx="0">
                        <a:schemeClr val="accent6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en-US" sz="900"/>
                          <a:t>Water</a:t>
                        </a:r>
                        <a:r>
                          <a:rPr lang="en-US" sz="900" baseline="0"/>
                          <a:t> T</a:t>
                        </a:r>
                        <a:r>
                          <a:rPr lang="en-US" sz="900"/>
                          <a:t>able</a:t>
                        </a:r>
                      </a:p>
                    </xdr:txBody>
                  </xdr:sp>
                </xdr:grpSp>
                <xdr:sp macro="" textlink="">
                  <xdr:nvSpPr>
                    <xdr:cNvPr id="17" name="Rectangle 16"/>
                    <xdr:cNvSpPr/>
                  </xdr:nvSpPr>
                  <xdr:spPr>
                    <a:xfrm>
                      <a:off x="7067550" y="8553450"/>
                      <a:ext cx="914400" cy="314325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6"/>
                    </a:lnRef>
                    <a:fillRef idx="1">
                      <a:schemeClr val="lt1"/>
                    </a:fillRef>
                    <a:effectRef idx="0">
                      <a:schemeClr val="accent6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r>
                        <a:rPr lang="en-US" sz="1100"/>
                        <a:t>Sea Level</a:t>
                      </a:r>
                    </a:p>
                  </xdr:txBody>
                </xdr:sp>
              </xdr:grpSp>
              <xdr:sp macro="" textlink="">
                <xdr:nvSpPr>
                  <xdr:cNvPr id="18" name="Rectangle 17"/>
                  <xdr:cNvSpPr/>
                </xdr:nvSpPr>
                <xdr:spPr>
                  <a:xfrm>
                    <a:off x="7159730" y="9314361"/>
                    <a:ext cx="914400" cy="314325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6"/>
                  </a:lnRef>
                  <a:fillRef idx="1">
                    <a:schemeClr val="lt1"/>
                  </a:fillRef>
                  <a:effectRef idx="0">
                    <a:schemeClr val="accent6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100"/>
                      <a:t>Sea Floor</a:t>
                    </a:r>
                  </a:p>
                </xdr:txBody>
              </xdr:sp>
            </xdr:grpSp>
            <xdr:sp macro="" textlink="">
              <xdr:nvSpPr>
                <xdr:cNvPr id="19" name="Rectangle 18"/>
                <xdr:cNvSpPr/>
              </xdr:nvSpPr>
              <xdr:spPr>
                <a:xfrm>
                  <a:off x="3648075" y="10239375"/>
                  <a:ext cx="914400" cy="31432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en-US" sz="1100"/>
                    <a:t>Saltwater</a:t>
                  </a:r>
                </a:p>
              </xdr:txBody>
            </xdr:sp>
          </xdr:grpSp>
          <xdr:sp macro="" textlink="">
            <xdr:nvSpPr>
              <xdr:cNvPr id="16" name="Rectangle 15"/>
              <xdr:cNvSpPr/>
            </xdr:nvSpPr>
            <xdr:spPr>
              <a:xfrm>
                <a:off x="2828925" y="8305800"/>
                <a:ext cx="914400" cy="31432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100"/>
                  <a:t>Land Surface</a:t>
                </a:r>
              </a:p>
            </xdr:txBody>
          </xdr:sp>
        </xdr:grpSp>
        <xdr:sp macro="" textlink="">
          <xdr:nvSpPr>
            <xdr:cNvPr id="30" name="Left Arrow 29"/>
            <xdr:cNvSpPr/>
          </xdr:nvSpPr>
          <xdr:spPr>
            <a:xfrm rot="3739608">
              <a:off x="4972050" y="9305925"/>
              <a:ext cx="978408" cy="484632"/>
            </a:xfrm>
            <a:prstGeom prst="leftArrow">
              <a:avLst/>
            </a:prstGeom>
            <a:ln w="9525"/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900"/>
                <a:t>salt intrusion</a:t>
              </a:r>
            </a:p>
          </xdr:txBody>
        </xdr:sp>
      </xdr:grpSp>
      <xdr:sp macro="" textlink="">
        <xdr:nvSpPr>
          <xdr:cNvPr id="6" name="Pie 5"/>
          <xdr:cNvSpPr/>
        </xdr:nvSpPr>
        <xdr:spPr>
          <a:xfrm rot="5400000">
            <a:off x="7262812" y="6648986"/>
            <a:ext cx="2132544" cy="3873501"/>
          </a:xfrm>
          <a:prstGeom prst="pie">
            <a:avLst>
              <a:gd name="adj1" fmla="val 0"/>
              <a:gd name="adj2" fmla="val 5397510"/>
            </a:avLst>
          </a:prstGeom>
          <a:solidFill>
            <a:schemeClr val="accent1">
              <a:alpha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  <xdr:oneCellAnchor>
    <xdr:from>
      <xdr:col>6</xdr:col>
      <xdr:colOff>51792</xdr:colOff>
      <xdr:row>0</xdr:row>
      <xdr:rowOff>9525</xdr:rowOff>
    </xdr:from>
    <xdr:ext cx="2247155" cy="593304"/>
    <xdr:sp macro="" textlink="">
      <xdr:nvSpPr>
        <xdr:cNvPr id="28" name="Rectangle 27"/>
        <xdr:cNvSpPr/>
      </xdr:nvSpPr>
      <xdr:spPr>
        <a:xfrm>
          <a:off x="3471267" y="9525"/>
          <a:ext cx="2247155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solidFill>
                <a:srgbClr val="FFCC00"/>
              </a:solid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Lower Basin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123471</xdr:colOff>
      <xdr:row>1</xdr:row>
      <xdr:rowOff>152401</xdr:rowOff>
    </xdr:from>
    <xdr:to>
      <xdr:col>32</xdr:col>
      <xdr:colOff>590197</xdr:colOff>
      <xdr:row>104</xdr:row>
      <xdr:rowOff>160867</xdr:rowOff>
    </xdr:to>
    <xdr:grpSp>
      <xdr:nvGrpSpPr>
        <xdr:cNvPr id="13" name="Group 12"/>
        <xdr:cNvGrpSpPr/>
      </xdr:nvGrpSpPr>
      <xdr:grpSpPr>
        <a:xfrm>
          <a:off x="123471" y="342901"/>
          <a:ext cx="19567526" cy="19629966"/>
          <a:chOff x="123471" y="342901"/>
          <a:chExt cx="19567526" cy="19629966"/>
        </a:xfrm>
      </xdr:grpSpPr>
      <xdr:sp macro="" textlink="">
        <xdr:nvSpPr>
          <xdr:cNvPr id="3" name="Rectangle 2"/>
          <xdr:cNvSpPr/>
        </xdr:nvSpPr>
        <xdr:spPr>
          <a:xfrm>
            <a:off x="3238500" y="342901"/>
            <a:ext cx="16452497" cy="842010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pSp>
        <xdr:nvGrpSpPr>
          <xdr:cNvPr id="4" name="Group 261"/>
          <xdr:cNvGrpSpPr>
            <a:grpSpLocks/>
          </xdr:cNvGrpSpPr>
        </xdr:nvGrpSpPr>
        <xdr:grpSpPr bwMode="auto">
          <a:xfrm>
            <a:off x="6623049" y="495809"/>
            <a:ext cx="12436094" cy="8190991"/>
            <a:chOff x="3157257" y="-642341"/>
            <a:chExt cx="12603264" cy="7567932"/>
          </a:xfrm>
        </xdr:grpSpPr>
        <xdr:sp macro="" textlink="">
          <xdr:nvSpPr>
            <xdr:cNvPr id="49" name="Rectangle 48"/>
            <xdr:cNvSpPr/>
          </xdr:nvSpPr>
          <xdr:spPr>
            <a:xfrm>
              <a:off x="9723912" y="5040831"/>
              <a:ext cx="3324492" cy="1884760"/>
            </a:xfrm>
            <a:prstGeom prst="rect">
              <a:avLst/>
            </a:prstGeom>
            <a:gradFill flip="none" rotWithShape="1">
              <a:gsLst>
                <a:gs pos="0">
                  <a:schemeClr val="accent3">
                    <a:alpha val="28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3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46" name="Rectangle 45"/>
            <xdr:cNvSpPr/>
          </xdr:nvSpPr>
          <xdr:spPr>
            <a:xfrm>
              <a:off x="5094984" y="3776910"/>
              <a:ext cx="1867506" cy="921466"/>
            </a:xfrm>
            <a:prstGeom prst="rect">
              <a:avLst/>
            </a:prstGeom>
            <a:gradFill flip="none" rotWithShape="1">
              <a:gsLst>
                <a:gs pos="0">
                  <a:schemeClr val="accent5">
                    <a:alpha val="27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5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35" name="Rectangle 34"/>
            <xdr:cNvSpPr/>
          </xdr:nvSpPr>
          <xdr:spPr>
            <a:xfrm>
              <a:off x="6127426" y="-642341"/>
              <a:ext cx="3993121" cy="2227382"/>
            </a:xfrm>
            <a:prstGeom prst="rect">
              <a:avLst/>
            </a:prstGeom>
            <a:gradFill flip="none" rotWithShape="1"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bg1"/>
                </a:gs>
              </a:gsLst>
              <a:path path="rect">
                <a:fillToRect l="100000" t="100000"/>
              </a:path>
              <a:tileRect r="-100000" b="-100000"/>
            </a:gradFill>
            <a:ln w="63500">
              <a:solidFill>
                <a:schemeClr val="accent6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36" name="Rectangle 35"/>
            <xdr:cNvSpPr/>
          </xdr:nvSpPr>
          <xdr:spPr>
            <a:xfrm>
              <a:off x="12215298" y="1470049"/>
              <a:ext cx="3545223" cy="2389521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6">
                  <a:lumMod val="50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5" name="Isosceles Triangle 4"/>
            <xdr:cNvSpPr/>
          </xdr:nvSpPr>
          <xdr:spPr>
            <a:xfrm>
              <a:off x="3157257" y="-437553"/>
              <a:ext cx="1276350" cy="819150"/>
            </a:xfrm>
            <a:prstGeom prst="triangl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Reservoir</a:t>
              </a:r>
            </a:p>
          </xdr:txBody>
        </xdr:sp>
        <xdr:sp macro="" textlink="">
          <xdr:nvSpPr>
            <xdr:cNvPr id="6" name="Oval 5"/>
            <xdr:cNvSpPr/>
          </xdr:nvSpPr>
          <xdr:spPr>
            <a:xfrm>
              <a:off x="3606438" y="2385489"/>
              <a:ext cx="380189" cy="383478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1</a:t>
              </a:r>
            </a:p>
          </xdr:txBody>
        </xdr:sp>
        <xdr:sp macro="" textlink="">
          <xdr:nvSpPr>
            <xdr:cNvPr id="7" name="Rounded Rectangle 6"/>
            <xdr:cNvSpPr/>
          </xdr:nvSpPr>
          <xdr:spPr>
            <a:xfrm>
              <a:off x="7652932" y="-470146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Indoor</a:t>
              </a:r>
            </a:p>
          </xdr:txBody>
        </xdr:sp>
        <xdr:sp macro="" textlink="">
          <xdr:nvSpPr>
            <xdr:cNvPr id="8" name="Rounded Rectangle 7"/>
            <xdr:cNvSpPr/>
          </xdr:nvSpPr>
          <xdr:spPr>
            <a:xfrm>
              <a:off x="9061778" y="250248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Outoor</a:t>
              </a:r>
            </a:p>
          </xdr:txBody>
        </xdr:sp>
        <xdr:sp macro="" textlink="">
          <xdr:nvSpPr>
            <xdr:cNvPr id="9" name="Isosceles Triangle 8"/>
            <xdr:cNvSpPr/>
          </xdr:nvSpPr>
          <xdr:spPr>
            <a:xfrm>
              <a:off x="10172623" y="3088949"/>
              <a:ext cx="944887" cy="756196"/>
            </a:xfrm>
            <a:prstGeom prst="triangle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GW</a:t>
              </a:r>
            </a:p>
          </xdr:txBody>
        </xdr:sp>
        <xdr:sp macro="" textlink="">
          <xdr:nvSpPr>
            <xdr:cNvPr id="10" name="Oval 9"/>
            <xdr:cNvSpPr/>
          </xdr:nvSpPr>
          <xdr:spPr>
            <a:xfrm>
              <a:off x="6500694" y="268861"/>
              <a:ext cx="416248" cy="40423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3</a:t>
              </a:r>
            </a:p>
          </xdr:txBody>
        </xdr:sp>
        <xdr:sp macro="" textlink="">
          <xdr:nvSpPr>
            <xdr:cNvPr id="15" name="Snip Same Side Corner Rectangle 14"/>
            <xdr:cNvSpPr/>
          </xdr:nvSpPr>
          <xdr:spPr>
            <a:xfrm>
              <a:off x="4814974" y="2433042"/>
              <a:ext cx="6096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WTP</a:t>
              </a:r>
            </a:p>
          </xdr:txBody>
        </xdr:sp>
        <xdr:sp macro="" textlink="">
          <xdr:nvSpPr>
            <xdr:cNvPr id="17" name="Snip Same Side Corner Rectangle 16"/>
            <xdr:cNvSpPr/>
          </xdr:nvSpPr>
          <xdr:spPr>
            <a:xfrm>
              <a:off x="7653218" y="1061741"/>
              <a:ext cx="9144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WWTPu</a:t>
              </a:r>
            </a:p>
          </xdr:txBody>
        </xdr:sp>
        <xdr:cxnSp macro="">
          <xdr:nvCxnSpPr>
            <xdr:cNvPr id="18" name="Curved Connector 17"/>
            <xdr:cNvCxnSpPr>
              <a:stCxn id="7" idx="2"/>
              <a:endCxn id="17" idx="3"/>
            </xdr:cNvCxnSpPr>
          </xdr:nvCxnSpPr>
          <xdr:spPr>
            <a:xfrm rot="16200000" flipH="1">
              <a:off x="7568169" y="519491"/>
              <a:ext cx="1084211" cy="286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21" name="Rounded Rectangle 20"/>
            <xdr:cNvSpPr/>
          </xdr:nvSpPr>
          <xdr:spPr>
            <a:xfrm>
              <a:off x="13466113" y="1729358"/>
              <a:ext cx="914400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Suburban - Indoor</a:t>
              </a:r>
            </a:p>
          </xdr:txBody>
        </xdr:sp>
        <xdr:sp macro="" textlink="">
          <xdr:nvSpPr>
            <xdr:cNvPr id="22" name="Rounded Rectangle 21"/>
            <xdr:cNvSpPr/>
          </xdr:nvSpPr>
          <xdr:spPr>
            <a:xfrm>
              <a:off x="14772025" y="2366039"/>
              <a:ext cx="888037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0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Suburban - Outoor</a:t>
              </a:r>
            </a:p>
          </xdr:txBody>
        </xdr:sp>
        <xdr:sp macro="" textlink="">
          <xdr:nvSpPr>
            <xdr:cNvPr id="23" name="Snip Same Side Corner Rectangle 22"/>
            <xdr:cNvSpPr/>
          </xdr:nvSpPr>
          <xdr:spPr>
            <a:xfrm>
              <a:off x="13467240" y="3219764"/>
              <a:ext cx="914400" cy="294303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WWTPs</a:t>
              </a:r>
            </a:p>
          </xdr:txBody>
        </xdr:sp>
        <xdr:cxnSp macro="">
          <xdr:nvCxnSpPr>
            <xdr:cNvPr id="27" name="Curved Connector 26"/>
            <xdr:cNvCxnSpPr>
              <a:stCxn id="21" idx="2"/>
              <a:endCxn id="23" idx="3"/>
            </xdr:cNvCxnSpPr>
          </xdr:nvCxnSpPr>
          <xdr:spPr>
            <a:xfrm rot="16200000" flipH="1">
              <a:off x="13402511" y="2697835"/>
              <a:ext cx="1042732" cy="1127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" name="Oval 29"/>
            <xdr:cNvSpPr/>
          </xdr:nvSpPr>
          <xdr:spPr>
            <a:xfrm>
              <a:off x="3607051" y="5904777"/>
              <a:ext cx="349208" cy="35197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2</a:t>
              </a:r>
            </a:p>
          </xdr:txBody>
        </xdr:sp>
        <xdr:cxnSp macro="">
          <xdr:nvCxnSpPr>
            <xdr:cNvPr id="31" name="Curved Connector 30"/>
            <xdr:cNvCxnSpPr>
              <a:stCxn id="5" idx="3"/>
              <a:endCxn id="6" idx="0"/>
            </xdr:cNvCxnSpPr>
          </xdr:nvCxnSpPr>
          <xdr:spPr>
            <a:xfrm rot="16200000" flipH="1">
              <a:off x="2794037" y="1382992"/>
              <a:ext cx="2003892" cy="1101"/>
            </a:xfrm>
            <a:prstGeom prst="curvedConnector3">
              <a:avLst/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" name="Curved Connector 31"/>
            <xdr:cNvCxnSpPr>
              <a:stCxn id="6" idx="4"/>
              <a:endCxn id="30" idx="0"/>
            </xdr:cNvCxnSpPr>
          </xdr:nvCxnSpPr>
          <xdr:spPr>
            <a:xfrm rot="5400000">
              <a:off x="2221190" y="4329433"/>
              <a:ext cx="3135810" cy="14878"/>
            </a:xfrm>
            <a:prstGeom prst="curvedConnector3">
              <a:avLst>
                <a:gd name="adj1" fmla="val 50000"/>
              </a:avLst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7" name="Oval 36"/>
            <xdr:cNvSpPr/>
          </xdr:nvSpPr>
          <xdr:spPr>
            <a:xfrm>
              <a:off x="12450361" y="2384991"/>
              <a:ext cx="419990" cy="40334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chemeClr val="tx1"/>
                  </a:solidFill>
                </a:rPr>
                <a:t>4</a:t>
              </a:r>
            </a:p>
          </xdr:txBody>
        </xdr:sp>
        <xdr:sp macro="" textlink="">
          <xdr:nvSpPr>
            <xdr:cNvPr id="41" name="Rounded Rectangle 40"/>
            <xdr:cNvSpPr/>
          </xdr:nvSpPr>
          <xdr:spPr>
            <a:xfrm>
              <a:off x="5505015" y="3991053"/>
              <a:ext cx="914400" cy="447675"/>
            </a:xfrm>
            <a:prstGeom prst="roundRect">
              <a:avLst/>
            </a:prstGeom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Ag</a:t>
              </a:r>
            </a:p>
          </xdr:txBody>
        </xdr:sp>
        <xdr:sp macro="" textlink="">
          <xdr:nvSpPr>
            <xdr:cNvPr id="47" name="Rounded Rectangle 46"/>
            <xdr:cNvSpPr/>
          </xdr:nvSpPr>
          <xdr:spPr>
            <a:xfrm>
              <a:off x="9937201" y="5808550"/>
              <a:ext cx="914400" cy="447675"/>
            </a:xfrm>
            <a:prstGeom prst="roundRect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Rural</a:t>
              </a:r>
              <a:r>
                <a:rPr lang="en-US" sz="1000" baseline="0">
                  <a:latin typeface="Arial" panose="020B0604020202020204" pitchFamily="34" charset="0"/>
                  <a:cs typeface="Arial" panose="020B0604020202020204" pitchFamily="34" charset="0"/>
                </a:rPr>
                <a:t> - Indoor</a:t>
              </a:r>
              <a:endParaRPr lang="en-US" sz="10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04" name="Rectangle 103"/>
          <xdr:cNvSpPr/>
        </xdr:nvSpPr>
        <xdr:spPr>
          <a:xfrm>
            <a:off x="7301347" y="1841693"/>
            <a:ext cx="406977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r-1</a:t>
            </a:r>
          </a:p>
        </xdr:txBody>
      </xdr:sp>
      <xdr:sp macro="" textlink="">
        <xdr:nvSpPr>
          <xdr:cNvPr id="105" name="Rectangle 104"/>
          <xdr:cNvSpPr/>
        </xdr:nvSpPr>
        <xdr:spPr>
          <a:xfrm>
            <a:off x="6845300" y="5245100"/>
            <a:ext cx="391777" cy="188575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r-2</a:t>
            </a:r>
          </a:p>
        </xdr:txBody>
      </xdr:sp>
      <xdr:sp macro="" textlink="">
        <xdr:nvSpPr>
          <xdr:cNvPr id="107" name="Rectangle 106"/>
          <xdr:cNvSpPr/>
        </xdr:nvSpPr>
        <xdr:spPr>
          <a:xfrm>
            <a:off x="7543800" y="3670300"/>
            <a:ext cx="445269" cy="27863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u-4</a:t>
            </a:r>
          </a:p>
        </xdr:txBody>
      </xdr:sp>
      <xdr:sp macro="" textlink="">
        <xdr:nvSpPr>
          <xdr:cNvPr id="108" name="Rectangle 107"/>
          <xdr:cNvSpPr/>
        </xdr:nvSpPr>
        <xdr:spPr>
          <a:xfrm>
            <a:off x="13024043" y="3755159"/>
            <a:ext cx="397741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u-5</a:t>
            </a:r>
          </a:p>
        </xdr:txBody>
      </xdr:sp>
      <xdr:sp macro="" textlink="">
        <xdr:nvSpPr>
          <xdr:cNvPr id="109" name="Rectangle 108"/>
          <xdr:cNvSpPr/>
        </xdr:nvSpPr>
        <xdr:spPr>
          <a:xfrm>
            <a:off x="8621952" y="1295785"/>
            <a:ext cx="483947" cy="291715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u-6</a:t>
            </a:r>
          </a:p>
        </xdr:txBody>
      </xdr:sp>
      <xdr:sp macro="" textlink="">
        <xdr:nvSpPr>
          <xdr:cNvPr id="110" name="Rectangle 109"/>
          <xdr:cNvSpPr/>
        </xdr:nvSpPr>
        <xdr:spPr>
          <a:xfrm>
            <a:off x="10044931" y="4359756"/>
            <a:ext cx="389273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u-7</a:t>
            </a:r>
          </a:p>
        </xdr:txBody>
      </xdr:sp>
      <xdr:sp macro="" textlink="">
        <xdr:nvSpPr>
          <xdr:cNvPr id="111" name="Rectangle 110"/>
          <xdr:cNvSpPr/>
        </xdr:nvSpPr>
        <xdr:spPr>
          <a:xfrm>
            <a:off x="10144125" y="2328911"/>
            <a:ext cx="488084" cy="164523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u-8</a:t>
            </a:r>
          </a:p>
        </xdr:txBody>
      </xdr:sp>
      <xdr:sp macro="" textlink="">
        <xdr:nvSpPr>
          <xdr:cNvPr id="112" name="Rectangle 111"/>
          <xdr:cNvSpPr/>
        </xdr:nvSpPr>
        <xdr:spPr>
          <a:xfrm>
            <a:off x="10139508" y="940376"/>
            <a:ext cx="483464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u-9</a:t>
            </a:r>
          </a:p>
        </xdr:txBody>
      </xdr:sp>
      <xdr:sp macro="" textlink="">
        <xdr:nvSpPr>
          <xdr:cNvPr id="113" name="Rectangle 112"/>
          <xdr:cNvSpPr/>
        </xdr:nvSpPr>
        <xdr:spPr>
          <a:xfrm>
            <a:off x="11930399" y="1463769"/>
            <a:ext cx="485196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u-10</a:t>
            </a:r>
          </a:p>
        </xdr:txBody>
      </xdr:sp>
      <xdr:sp macro="" textlink="">
        <xdr:nvSpPr>
          <xdr:cNvPr id="114" name="Rectangle 113"/>
          <xdr:cNvSpPr/>
        </xdr:nvSpPr>
        <xdr:spPr>
          <a:xfrm>
            <a:off x="12423293" y="2305628"/>
            <a:ext cx="475672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u-11</a:t>
            </a:r>
          </a:p>
        </xdr:txBody>
      </xdr:sp>
      <xdr:sp macro="" textlink="">
        <xdr:nvSpPr>
          <xdr:cNvPr id="115" name="Rectangle 114"/>
          <xdr:cNvSpPr/>
        </xdr:nvSpPr>
        <xdr:spPr>
          <a:xfrm>
            <a:off x="11503122" y="2052203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u-12</a:t>
            </a:r>
          </a:p>
        </xdr:txBody>
      </xdr:sp>
      <xdr:sp macro="" textlink="">
        <xdr:nvSpPr>
          <xdr:cNvPr id="116" name="Rectangle 115"/>
          <xdr:cNvSpPr/>
        </xdr:nvSpPr>
        <xdr:spPr>
          <a:xfrm>
            <a:off x="12444270" y="925750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u-13</a:t>
            </a:r>
          </a:p>
        </xdr:txBody>
      </xdr:sp>
      <xdr:sp macro="" textlink="">
        <xdr:nvSpPr>
          <xdr:cNvPr id="117" name="Rectangle 116"/>
          <xdr:cNvSpPr/>
        </xdr:nvSpPr>
        <xdr:spPr>
          <a:xfrm>
            <a:off x="11032644" y="7568046"/>
            <a:ext cx="475673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u-15</a:t>
            </a:r>
          </a:p>
        </xdr:txBody>
      </xdr:sp>
      <xdr:sp macro="" textlink="">
        <xdr:nvSpPr>
          <xdr:cNvPr id="118" name="Rectangle 117"/>
          <xdr:cNvSpPr/>
        </xdr:nvSpPr>
        <xdr:spPr>
          <a:xfrm>
            <a:off x="7982528" y="5551248"/>
            <a:ext cx="47567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u-16</a:t>
            </a:r>
          </a:p>
        </xdr:txBody>
      </xdr:sp>
      <xdr:sp macro="" textlink="">
        <xdr:nvSpPr>
          <xdr:cNvPr id="119" name="Rectangle 118"/>
          <xdr:cNvSpPr/>
        </xdr:nvSpPr>
        <xdr:spPr>
          <a:xfrm>
            <a:off x="12661901" y="5760989"/>
            <a:ext cx="47567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u-17</a:t>
            </a:r>
          </a:p>
        </xdr:txBody>
      </xdr:sp>
      <xdr:sp macro="" textlink="">
        <xdr:nvSpPr>
          <xdr:cNvPr id="120" name="Rectangle 119"/>
          <xdr:cNvSpPr/>
        </xdr:nvSpPr>
        <xdr:spPr>
          <a:xfrm>
            <a:off x="8918862" y="7509164"/>
            <a:ext cx="475674" cy="1903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u-18</a:t>
            </a:r>
          </a:p>
        </xdr:txBody>
      </xdr:sp>
      <xdr:sp macro="" textlink="">
        <xdr:nvSpPr>
          <xdr:cNvPr id="121" name="Rectangle 120"/>
          <xdr:cNvSpPr/>
        </xdr:nvSpPr>
        <xdr:spPr>
          <a:xfrm>
            <a:off x="12650161" y="5378834"/>
            <a:ext cx="479907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u-19</a:t>
            </a:r>
          </a:p>
        </xdr:txBody>
      </xdr:sp>
      <xdr:sp macro="" textlink="">
        <xdr:nvSpPr>
          <xdr:cNvPr id="122" name="Rectangle 121"/>
          <xdr:cNvSpPr/>
        </xdr:nvSpPr>
        <xdr:spPr>
          <a:xfrm>
            <a:off x="12298603" y="6768330"/>
            <a:ext cx="5010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u-20</a:t>
            </a:r>
          </a:p>
        </xdr:txBody>
      </xdr:sp>
      <xdr:sp macro="" textlink="">
        <xdr:nvSpPr>
          <xdr:cNvPr id="123" name="Rectangle 122"/>
          <xdr:cNvSpPr/>
        </xdr:nvSpPr>
        <xdr:spPr>
          <a:xfrm>
            <a:off x="14553675" y="6109663"/>
            <a:ext cx="561398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u-21</a:t>
            </a:r>
          </a:p>
        </xdr:txBody>
      </xdr:sp>
      <xdr:sp macro="" textlink="">
        <xdr:nvSpPr>
          <xdr:cNvPr id="124" name="Rectangle 123"/>
          <xdr:cNvSpPr/>
        </xdr:nvSpPr>
        <xdr:spPr>
          <a:xfrm>
            <a:off x="12071735" y="8492062"/>
            <a:ext cx="475673" cy="198774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u-22</a:t>
            </a:r>
          </a:p>
        </xdr:txBody>
      </xdr:sp>
      <xdr:sp macro="" textlink="">
        <xdr:nvSpPr>
          <xdr:cNvPr id="125" name="Rectangle 124"/>
          <xdr:cNvSpPr/>
        </xdr:nvSpPr>
        <xdr:spPr>
          <a:xfrm>
            <a:off x="14698126" y="4745183"/>
            <a:ext cx="46297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u-23</a:t>
            </a:r>
          </a:p>
        </xdr:txBody>
      </xdr:sp>
      <xdr:sp macro="" textlink="">
        <xdr:nvSpPr>
          <xdr:cNvPr id="126" name="Rectangle 125"/>
          <xdr:cNvSpPr/>
        </xdr:nvSpPr>
        <xdr:spPr>
          <a:xfrm>
            <a:off x="16053376" y="4607596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u-24</a:t>
            </a:r>
          </a:p>
        </xdr:txBody>
      </xdr:sp>
      <xdr:sp macro="" textlink="">
        <xdr:nvSpPr>
          <xdr:cNvPr id="127" name="Rectangle 126"/>
          <xdr:cNvSpPr/>
        </xdr:nvSpPr>
        <xdr:spPr>
          <a:xfrm>
            <a:off x="16064346" y="3348759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u-25</a:t>
            </a:r>
          </a:p>
        </xdr:txBody>
      </xdr:sp>
      <xdr:sp macro="" textlink="">
        <xdr:nvSpPr>
          <xdr:cNvPr id="128" name="Rectangle 127"/>
          <xdr:cNvSpPr/>
        </xdr:nvSpPr>
        <xdr:spPr>
          <a:xfrm>
            <a:off x="17376678" y="3774401"/>
            <a:ext cx="52753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u-26</a:t>
            </a:r>
          </a:p>
        </xdr:txBody>
      </xdr:sp>
      <xdr:sp macro="" textlink="">
        <xdr:nvSpPr>
          <xdr:cNvPr id="129" name="Rectangle 128"/>
          <xdr:cNvSpPr/>
        </xdr:nvSpPr>
        <xdr:spPr>
          <a:xfrm>
            <a:off x="17255452" y="4319348"/>
            <a:ext cx="4883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u-3</a:t>
            </a:r>
          </a:p>
        </xdr:txBody>
      </xdr:sp>
      <xdr:sp macro="" textlink="">
        <xdr:nvSpPr>
          <xdr:cNvPr id="130" name="Rectangle 129"/>
          <xdr:cNvSpPr/>
        </xdr:nvSpPr>
        <xdr:spPr>
          <a:xfrm>
            <a:off x="17983585" y="3320858"/>
            <a:ext cx="51483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u-27</a:t>
            </a:r>
          </a:p>
        </xdr:txBody>
      </xdr:sp>
      <xdr:sp macro="" textlink="">
        <xdr:nvSpPr>
          <xdr:cNvPr id="131" name="Rectangle 130"/>
          <xdr:cNvSpPr/>
        </xdr:nvSpPr>
        <xdr:spPr>
          <a:xfrm>
            <a:off x="18042852" y="4618952"/>
            <a:ext cx="45633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</a:t>
            </a:r>
          </a:p>
        </xdr:txBody>
      </xdr:sp>
      <xdr:sp macro="" textlink="">
        <xdr:nvSpPr>
          <xdr:cNvPr id="132" name="Rectangle 131"/>
          <xdr:cNvSpPr/>
        </xdr:nvSpPr>
        <xdr:spPr>
          <a:xfrm>
            <a:off x="16709254" y="6286692"/>
            <a:ext cx="504249" cy="1691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</a:t>
            </a:r>
          </a:p>
        </xdr:txBody>
      </xdr:sp>
      <xdr:sp macro="" textlink="">
        <xdr:nvSpPr>
          <xdr:cNvPr id="164" name="Rectangle 163"/>
          <xdr:cNvSpPr/>
        </xdr:nvSpPr>
        <xdr:spPr>
          <a:xfrm>
            <a:off x="14048317" y="2106083"/>
            <a:ext cx="4629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u-28</a:t>
            </a:r>
          </a:p>
        </xdr:txBody>
      </xdr:sp>
      <xdr:sp macro="" textlink="">
        <xdr:nvSpPr>
          <xdr:cNvPr id="176" name="Rectangle 175"/>
          <xdr:cNvSpPr/>
        </xdr:nvSpPr>
        <xdr:spPr>
          <a:xfrm>
            <a:off x="14715067" y="5401734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u-29</a:t>
            </a:r>
          </a:p>
        </xdr:txBody>
      </xdr:sp>
      <xdr:cxnSp macro="">
        <xdr:nvCxnSpPr>
          <xdr:cNvPr id="195" name="Elbow Connector 194"/>
          <xdr:cNvCxnSpPr>
            <a:stCxn id="21" idx="3"/>
            <a:endCxn id="22" idx="0"/>
          </xdr:cNvCxnSpPr>
        </xdr:nvCxnSpPr>
        <xdr:spPr>
          <a:xfrm>
            <a:off x="17680555" y="3309194"/>
            <a:ext cx="815321" cy="44259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Elbow Connector 198"/>
          <xdr:cNvCxnSpPr>
            <a:stCxn id="23" idx="2"/>
            <a:endCxn id="37" idx="4"/>
          </xdr:cNvCxnSpPr>
        </xdr:nvCxnSpPr>
        <xdr:spPr>
          <a:xfrm rot="10800000">
            <a:off x="16000100" y="4208932"/>
            <a:ext cx="796181" cy="62621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Elbow Connector 200"/>
          <xdr:cNvCxnSpPr>
            <a:stCxn id="37" idx="0"/>
            <a:endCxn id="21" idx="1"/>
          </xdr:cNvCxnSpPr>
        </xdr:nvCxnSpPr>
        <xdr:spPr>
          <a:xfrm rot="5400000" flipH="1" flipV="1">
            <a:off x="16163961" y="3141172"/>
            <a:ext cx="467345" cy="79506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" name="Elbow Connector 203"/>
          <xdr:cNvCxnSpPr>
            <a:stCxn id="37" idx="6"/>
            <a:endCxn id="22" idx="1"/>
          </xdr:cNvCxnSpPr>
        </xdr:nvCxnSpPr>
        <xdr:spPr>
          <a:xfrm>
            <a:off x="16207308" y="3990655"/>
            <a:ext cx="1876450" cy="3477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" name="Elbow Connector 205"/>
          <xdr:cNvCxnSpPr>
            <a:stCxn id="22" idx="3"/>
            <a:endCxn id="9" idx="4"/>
          </xdr:cNvCxnSpPr>
        </xdr:nvCxnSpPr>
        <xdr:spPr>
          <a:xfrm flipH="1">
            <a:off x="14445007" y="4003384"/>
            <a:ext cx="4500837" cy="1357395"/>
          </a:xfrm>
          <a:prstGeom prst="bentConnector4">
            <a:avLst>
              <a:gd name="adj1" fmla="val -6445"/>
              <a:gd name="adj2" fmla="val 11802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5" name="Elbow Connector 264"/>
          <xdr:cNvCxnSpPr>
            <a:stCxn id="7" idx="3"/>
            <a:endCxn id="8" idx="0"/>
          </xdr:cNvCxnSpPr>
        </xdr:nvCxnSpPr>
        <xdr:spPr>
          <a:xfrm>
            <a:off x="11927632" y="923436"/>
            <a:ext cx="986214" cy="53825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" name="Elbow Connector 266"/>
          <xdr:cNvCxnSpPr>
            <a:stCxn id="10" idx="0"/>
            <a:endCxn id="7" idx="1"/>
          </xdr:cNvCxnSpPr>
        </xdr:nvCxnSpPr>
        <xdr:spPr>
          <a:xfrm rot="5400000" flipH="1" flipV="1">
            <a:off x="10329903" y="737318"/>
            <a:ext cx="557954" cy="93018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Elbow Connector 268"/>
          <xdr:cNvCxnSpPr>
            <a:stCxn id="10" idx="6"/>
            <a:endCxn id="8" idx="1"/>
          </xdr:cNvCxnSpPr>
        </xdr:nvCxnSpPr>
        <xdr:spPr>
          <a:xfrm>
            <a:off x="10333568" y="1699546"/>
            <a:ext cx="2150803" cy="15988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Elbow Connector 271"/>
          <xdr:cNvCxnSpPr>
            <a:stCxn id="17" idx="2"/>
            <a:endCxn id="10" idx="4"/>
          </xdr:cNvCxnSpPr>
        </xdr:nvCxnSpPr>
        <xdr:spPr>
          <a:xfrm rot="10800000">
            <a:off x="10143786" y="1921935"/>
            <a:ext cx="930508" cy="58533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4" name="Elbow Connector 273"/>
          <xdr:cNvCxnSpPr>
            <a:stCxn id="17" idx="0"/>
            <a:endCxn id="8" idx="2"/>
          </xdr:cNvCxnSpPr>
        </xdr:nvCxnSpPr>
        <xdr:spPr>
          <a:xfrm flipV="1">
            <a:off x="11961646" y="1946416"/>
            <a:ext cx="938742" cy="55871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Elbow Connector 281"/>
          <xdr:cNvCxnSpPr>
            <a:stCxn id="15" idx="0"/>
            <a:endCxn id="37" idx="2"/>
          </xdr:cNvCxnSpPr>
        </xdr:nvCxnSpPr>
        <xdr:spPr>
          <a:xfrm>
            <a:off x="8915616" y="3986203"/>
            <a:ext cx="6863658" cy="123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3" name="Elbow Connector 332"/>
          <xdr:cNvCxnSpPr>
            <a:stCxn id="8" idx="3"/>
            <a:endCxn id="9" idx="0"/>
          </xdr:cNvCxnSpPr>
        </xdr:nvCxnSpPr>
        <xdr:spPr>
          <a:xfrm>
            <a:off x="13342104" y="1700199"/>
            <a:ext cx="666118" cy="283291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5" name="Elbow Connector 334"/>
          <xdr:cNvCxnSpPr>
            <a:stCxn id="9" idx="5"/>
            <a:endCxn id="37" idx="3"/>
          </xdr:cNvCxnSpPr>
        </xdr:nvCxnSpPr>
        <xdr:spPr>
          <a:xfrm flipV="1">
            <a:off x="14274860" y="4144246"/>
            <a:ext cx="1573840" cy="8090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0" name="Elbow Connector 359"/>
          <xdr:cNvCxnSpPr>
            <a:stCxn id="6" idx="6"/>
            <a:endCxn id="15" idx="2"/>
          </xdr:cNvCxnSpPr>
        </xdr:nvCxnSpPr>
        <xdr:spPr>
          <a:xfrm>
            <a:off x="7441418" y="3980442"/>
            <a:ext cx="817360" cy="8890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2" name="Elbow Connector 361"/>
          <xdr:cNvCxnSpPr>
            <a:stCxn id="17" idx="1"/>
            <a:endCxn id="30" idx="5"/>
          </xdr:cNvCxnSpPr>
        </xdr:nvCxnSpPr>
        <xdr:spPr>
          <a:xfrm rot="5400000">
            <a:off x="6824280" y="3232288"/>
            <a:ext cx="5232551" cy="4124492"/>
          </a:xfrm>
          <a:prstGeom prst="bentConnector3">
            <a:avLst>
              <a:gd name="adj1" fmla="val 10574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4" name="Elbow Connector 363"/>
          <xdr:cNvCxnSpPr>
            <a:stCxn id="6" idx="2"/>
            <a:endCxn id="202" idx="2"/>
          </xdr:cNvCxnSpPr>
        </xdr:nvCxnSpPr>
        <xdr:spPr>
          <a:xfrm rot="10800000" flipH="1" flipV="1">
            <a:off x="7066272" y="3980441"/>
            <a:ext cx="7246628" cy="3046983"/>
          </a:xfrm>
          <a:prstGeom prst="bentConnector3">
            <a:avLst>
              <a:gd name="adj1" fmla="val -3155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Elbow Connector 365"/>
          <xdr:cNvCxnSpPr>
            <a:stCxn id="220" idx="2"/>
            <a:endCxn id="30" idx="4"/>
          </xdr:cNvCxnSpPr>
        </xdr:nvCxnSpPr>
        <xdr:spPr>
          <a:xfrm rot="10800000">
            <a:off x="7239166" y="7962900"/>
            <a:ext cx="6984835" cy="43180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Elbow Connector 371"/>
          <xdr:cNvCxnSpPr>
            <a:stCxn id="41" idx="2"/>
            <a:endCxn id="30" idx="6"/>
          </xdr:cNvCxnSpPr>
        </xdr:nvCxnSpPr>
        <xdr:spPr>
          <a:xfrm rot="5400000">
            <a:off x="7547991" y="5886760"/>
            <a:ext cx="1773639" cy="199755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Elbow Connector 373"/>
          <xdr:cNvCxnSpPr>
            <a:stCxn id="6" idx="5"/>
            <a:endCxn id="41" idx="1"/>
          </xdr:cNvCxnSpPr>
        </xdr:nvCxnSpPr>
        <xdr:spPr>
          <a:xfrm rot="16200000" flipH="1">
            <a:off x="7360309" y="4172520"/>
            <a:ext cx="1627902" cy="153751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1" name="Elbow Connector 400"/>
          <xdr:cNvCxnSpPr>
            <a:stCxn id="9" idx="3"/>
            <a:endCxn id="202" idx="0"/>
          </xdr:cNvCxnSpPr>
        </xdr:nvCxnSpPr>
        <xdr:spPr>
          <a:xfrm rot="16200000" flipH="1">
            <a:off x="13522429" y="5841855"/>
            <a:ext cx="1467155" cy="488933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2" name="Elbow Connector 441"/>
          <xdr:cNvCxnSpPr>
            <a:stCxn id="9" idx="3"/>
            <a:endCxn id="41" idx="3"/>
          </xdr:cNvCxnSpPr>
        </xdr:nvCxnSpPr>
        <xdr:spPr>
          <a:xfrm rot="5400000">
            <a:off x="11734969" y="3486568"/>
            <a:ext cx="399042" cy="414746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4" name="Elbow Connector 443"/>
          <xdr:cNvCxnSpPr>
            <a:endCxn id="9" idx="2"/>
          </xdr:cNvCxnSpPr>
        </xdr:nvCxnSpPr>
        <xdr:spPr>
          <a:xfrm flipV="1">
            <a:off x="9804400" y="5360779"/>
            <a:ext cx="3752753" cy="18912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8" name="Elbow Connector 507"/>
          <xdr:cNvCxnSpPr>
            <a:stCxn id="23" idx="1"/>
            <a:endCxn id="30" idx="7"/>
          </xdr:cNvCxnSpPr>
        </xdr:nvCxnSpPr>
        <xdr:spPr>
          <a:xfrm rot="5400000">
            <a:off x="10998942" y="1380181"/>
            <a:ext cx="2645789" cy="9887053"/>
          </a:xfrm>
          <a:prstGeom prst="bentConnector3">
            <a:avLst>
              <a:gd name="adj1" fmla="val 57204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4" name="Elbow Connector 623"/>
          <xdr:cNvCxnSpPr>
            <a:stCxn id="9" idx="1"/>
            <a:endCxn id="10" idx="3"/>
          </xdr:cNvCxnSpPr>
        </xdr:nvCxnSpPr>
        <xdr:spPr>
          <a:xfrm rot="10800000">
            <a:off x="9982290" y="1855473"/>
            <a:ext cx="3796163" cy="308804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1" name="Elbow Connector 630"/>
          <xdr:cNvCxnSpPr>
            <a:stCxn id="23" idx="0"/>
            <a:endCxn id="22" idx="2"/>
          </xdr:cNvCxnSpPr>
        </xdr:nvCxnSpPr>
        <xdr:spPr>
          <a:xfrm flipV="1">
            <a:off x="17681827" y="4242280"/>
            <a:ext cx="814049" cy="59713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3" name="Elbow Connector 632"/>
          <xdr:cNvCxnSpPr>
            <a:stCxn id="15" idx="3"/>
            <a:endCxn id="10" idx="1"/>
          </xdr:cNvCxnSpPr>
        </xdr:nvCxnSpPr>
        <xdr:spPr>
          <a:xfrm rot="5400000" flipH="1" flipV="1">
            <a:off x="8154780" y="1964016"/>
            <a:ext cx="2278709" cy="1447238"/>
          </a:xfrm>
          <a:prstGeom prst="bentConnector3">
            <a:avLst>
              <a:gd name="adj1" fmla="val 113073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6" name="Rectangle 285"/>
          <xdr:cNvSpPr/>
        </xdr:nvSpPr>
        <xdr:spPr>
          <a:xfrm>
            <a:off x="287084" y="9661236"/>
            <a:ext cx="15633700" cy="930910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87" name="Group 261"/>
          <xdr:cNvGrpSpPr>
            <a:grpSpLocks/>
          </xdr:cNvGrpSpPr>
        </xdr:nvGrpSpPr>
        <xdr:grpSpPr bwMode="auto">
          <a:xfrm>
            <a:off x="3548240" y="9830309"/>
            <a:ext cx="11929503" cy="8076691"/>
            <a:chOff x="3606438" y="-642341"/>
            <a:chExt cx="12154083" cy="7462326"/>
          </a:xfrm>
        </xdr:grpSpPr>
        <xdr:sp macro="" textlink="">
          <xdr:nvSpPr>
            <xdr:cNvPr id="289" name="Rectangle 288"/>
            <xdr:cNvSpPr/>
          </xdr:nvSpPr>
          <xdr:spPr>
            <a:xfrm>
              <a:off x="9723911" y="5040831"/>
              <a:ext cx="3167756" cy="1779154"/>
            </a:xfrm>
            <a:prstGeom prst="rect">
              <a:avLst/>
            </a:prstGeom>
            <a:gradFill flip="none" rotWithShape="1">
              <a:gsLst>
                <a:gs pos="0">
                  <a:schemeClr val="accent3">
                    <a:alpha val="28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3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0" name="Rectangle 289"/>
            <xdr:cNvSpPr/>
          </xdr:nvSpPr>
          <xdr:spPr>
            <a:xfrm>
              <a:off x="5094984" y="3776910"/>
              <a:ext cx="1867506" cy="921466"/>
            </a:xfrm>
            <a:prstGeom prst="rect">
              <a:avLst/>
            </a:prstGeom>
            <a:gradFill flip="none" rotWithShape="1">
              <a:gsLst>
                <a:gs pos="0">
                  <a:schemeClr val="accent5">
                    <a:alpha val="27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5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1" name="Rectangle 290"/>
            <xdr:cNvSpPr/>
          </xdr:nvSpPr>
          <xdr:spPr>
            <a:xfrm>
              <a:off x="6127426" y="-642341"/>
              <a:ext cx="3993121" cy="2227382"/>
            </a:xfrm>
            <a:prstGeom prst="rect">
              <a:avLst/>
            </a:prstGeom>
            <a:gradFill flip="none" rotWithShape="1"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bg1"/>
                </a:gs>
              </a:gsLst>
              <a:path path="rect">
                <a:fillToRect l="100000" t="100000"/>
              </a:path>
              <a:tileRect r="-100000" b="-100000"/>
            </a:gradFill>
            <a:ln w="63500">
              <a:solidFill>
                <a:schemeClr val="accent6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2" name="Rectangle 291"/>
            <xdr:cNvSpPr/>
          </xdr:nvSpPr>
          <xdr:spPr>
            <a:xfrm>
              <a:off x="12215298" y="1470049"/>
              <a:ext cx="3545223" cy="2389521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6">
                  <a:lumMod val="50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4" name="Oval 293"/>
            <xdr:cNvSpPr/>
          </xdr:nvSpPr>
          <xdr:spPr>
            <a:xfrm>
              <a:off x="3606438" y="2385489"/>
              <a:ext cx="380189" cy="383478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600">
                  <a:solidFill>
                    <a:srgbClr val="000000"/>
                  </a:solidFill>
                </a:rPr>
                <a:t>5</a:t>
              </a:r>
            </a:p>
          </xdr:txBody>
        </xdr:sp>
        <xdr:sp macro="" textlink="">
          <xdr:nvSpPr>
            <xdr:cNvPr id="295" name="Rounded Rectangle 294"/>
            <xdr:cNvSpPr/>
          </xdr:nvSpPr>
          <xdr:spPr>
            <a:xfrm>
              <a:off x="7652932" y="-470146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Indoor</a:t>
              </a:r>
            </a:p>
          </xdr:txBody>
        </xdr:sp>
        <xdr:sp macro="" textlink="">
          <xdr:nvSpPr>
            <xdr:cNvPr id="296" name="Rounded Rectangle 295"/>
            <xdr:cNvSpPr/>
          </xdr:nvSpPr>
          <xdr:spPr>
            <a:xfrm>
              <a:off x="9061778" y="250248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Outoor</a:t>
              </a:r>
            </a:p>
          </xdr:txBody>
        </xdr:sp>
        <xdr:sp macro="" textlink="">
          <xdr:nvSpPr>
            <xdr:cNvPr id="297" name="Isosceles Triangle 296"/>
            <xdr:cNvSpPr/>
          </xdr:nvSpPr>
          <xdr:spPr>
            <a:xfrm>
              <a:off x="10172623" y="3088949"/>
              <a:ext cx="944887" cy="756196"/>
            </a:xfrm>
            <a:prstGeom prst="triangle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GW</a:t>
              </a:r>
            </a:p>
          </xdr:txBody>
        </xdr:sp>
        <xdr:sp macro="" textlink="">
          <xdr:nvSpPr>
            <xdr:cNvPr id="298" name="Oval 297"/>
            <xdr:cNvSpPr/>
          </xdr:nvSpPr>
          <xdr:spPr>
            <a:xfrm>
              <a:off x="6500694" y="268861"/>
              <a:ext cx="416248" cy="40423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7</a:t>
              </a:r>
            </a:p>
          </xdr:txBody>
        </xdr:sp>
        <xdr:sp macro="" textlink="">
          <xdr:nvSpPr>
            <xdr:cNvPr id="299" name="Snip Same Side Corner Rectangle 298"/>
            <xdr:cNvSpPr/>
          </xdr:nvSpPr>
          <xdr:spPr>
            <a:xfrm>
              <a:off x="4814974" y="2433042"/>
              <a:ext cx="6096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WTP</a:t>
              </a:r>
            </a:p>
          </xdr:txBody>
        </xdr:sp>
        <xdr:sp macro="" textlink="">
          <xdr:nvSpPr>
            <xdr:cNvPr id="300" name="Snip Same Side Corner Rectangle 299"/>
            <xdr:cNvSpPr/>
          </xdr:nvSpPr>
          <xdr:spPr>
            <a:xfrm>
              <a:off x="7653218" y="1061741"/>
              <a:ext cx="9144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WWTPu</a:t>
              </a:r>
            </a:p>
          </xdr:txBody>
        </xdr:sp>
        <xdr:cxnSp macro="">
          <xdr:nvCxnSpPr>
            <xdr:cNvPr id="301" name="Curved Connector 300"/>
            <xdr:cNvCxnSpPr>
              <a:stCxn id="295" idx="2"/>
              <a:endCxn id="300" idx="3"/>
            </xdr:cNvCxnSpPr>
          </xdr:nvCxnSpPr>
          <xdr:spPr>
            <a:xfrm rot="16200000" flipH="1">
              <a:off x="7568169" y="519491"/>
              <a:ext cx="1084211" cy="286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2" name="Rounded Rectangle 301"/>
            <xdr:cNvSpPr/>
          </xdr:nvSpPr>
          <xdr:spPr>
            <a:xfrm>
              <a:off x="13466113" y="1729358"/>
              <a:ext cx="914400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Suburban - Indoor</a:t>
              </a:r>
            </a:p>
          </xdr:txBody>
        </xdr:sp>
        <xdr:sp macro="" textlink="">
          <xdr:nvSpPr>
            <xdr:cNvPr id="303" name="Rounded Rectangle 302"/>
            <xdr:cNvSpPr/>
          </xdr:nvSpPr>
          <xdr:spPr>
            <a:xfrm>
              <a:off x="14772025" y="2366039"/>
              <a:ext cx="888037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0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Suburban - Outoor</a:t>
              </a:r>
            </a:p>
          </xdr:txBody>
        </xdr:sp>
        <xdr:sp macro="" textlink="">
          <xdr:nvSpPr>
            <xdr:cNvPr id="304" name="Snip Same Side Corner Rectangle 303"/>
            <xdr:cNvSpPr/>
          </xdr:nvSpPr>
          <xdr:spPr>
            <a:xfrm>
              <a:off x="13467240" y="3219764"/>
              <a:ext cx="914400" cy="294303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WWTPs</a:t>
              </a:r>
            </a:p>
          </xdr:txBody>
        </xdr:sp>
        <xdr:cxnSp macro="">
          <xdr:nvCxnSpPr>
            <xdr:cNvPr id="305" name="Curved Connector 304"/>
            <xdr:cNvCxnSpPr>
              <a:stCxn id="302" idx="2"/>
              <a:endCxn id="304" idx="3"/>
            </xdr:cNvCxnSpPr>
          </xdr:nvCxnSpPr>
          <xdr:spPr>
            <a:xfrm rot="16200000" flipH="1">
              <a:off x="13402511" y="2697835"/>
              <a:ext cx="1042732" cy="1127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6" name="Oval 305"/>
            <xdr:cNvSpPr/>
          </xdr:nvSpPr>
          <xdr:spPr>
            <a:xfrm>
              <a:off x="3607051" y="5904777"/>
              <a:ext cx="349208" cy="35197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6</a:t>
              </a:r>
            </a:p>
          </xdr:txBody>
        </xdr:sp>
        <xdr:cxnSp macro="">
          <xdr:nvCxnSpPr>
            <xdr:cNvPr id="308" name="Curved Connector 307"/>
            <xdr:cNvCxnSpPr>
              <a:stCxn id="294" idx="4"/>
              <a:endCxn id="306" idx="0"/>
            </xdr:cNvCxnSpPr>
          </xdr:nvCxnSpPr>
          <xdr:spPr>
            <a:xfrm rot="5400000">
              <a:off x="2221190" y="4329433"/>
              <a:ext cx="3135810" cy="14878"/>
            </a:xfrm>
            <a:prstGeom prst="curvedConnector3">
              <a:avLst>
                <a:gd name="adj1" fmla="val 50000"/>
              </a:avLst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09" name="Oval 308"/>
            <xdr:cNvSpPr/>
          </xdr:nvSpPr>
          <xdr:spPr>
            <a:xfrm>
              <a:off x="12450361" y="2384991"/>
              <a:ext cx="419990" cy="40334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chemeClr val="tx1"/>
                  </a:solidFill>
                </a:rPr>
                <a:t>8</a:t>
              </a:r>
            </a:p>
          </xdr:txBody>
        </xdr:sp>
        <xdr:sp macro="" textlink="">
          <xdr:nvSpPr>
            <xdr:cNvPr id="310" name="Rounded Rectangle 309"/>
            <xdr:cNvSpPr/>
          </xdr:nvSpPr>
          <xdr:spPr>
            <a:xfrm>
              <a:off x="5505015" y="3991053"/>
              <a:ext cx="914400" cy="447675"/>
            </a:xfrm>
            <a:prstGeom prst="roundRect">
              <a:avLst/>
            </a:prstGeom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Ag</a:t>
              </a:r>
            </a:p>
          </xdr:txBody>
        </xdr:sp>
      </xdr:grpSp>
      <xdr:sp macro="" textlink="">
        <xdr:nvSpPr>
          <xdr:cNvPr id="312" name="Rectangle 311"/>
          <xdr:cNvSpPr/>
        </xdr:nvSpPr>
        <xdr:spPr>
          <a:xfrm>
            <a:off x="3719947" y="11176193"/>
            <a:ext cx="406977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r-3</a:t>
            </a:r>
          </a:p>
        </xdr:txBody>
      </xdr:sp>
      <xdr:sp macro="" textlink="">
        <xdr:nvSpPr>
          <xdr:cNvPr id="313" name="Rectangle 312"/>
          <xdr:cNvSpPr/>
        </xdr:nvSpPr>
        <xdr:spPr>
          <a:xfrm>
            <a:off x="3303732" y="14844374"/>
            <a:ext cx="430067" cy="192426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r-4</a:t>
            </a:r>
          </a:p>
        </xdr:txBody>
      </xdr:sp>
      <xdr:sp macro="" textlink="">
        <xdr:nvSpPr>
          <xdr:cNvPr id="314" name="Rectangle 313"/>
          <xdr:cNvSpPr/>
        </xdr:nvSpPr>
        <xdr:spPr>
          <a:xfrm>
            <a:off x="4038600" y="13068300"/>
            <a:ext cx="369069" cy="21513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I-4</a:t>
            </a:r>
          </a:p>
        </xdr:txBody>
      </xdr:sp>
      <xdr:sp macro="" textlink="">
        <xdr:nvSpPr>
          <xdr:cNvPr id="315" name="Rectangle 314"/>
          <xdr:cNvSpPr/>
        </xdr:nvSpPr>
        <xdr:spPr>
          <a:xfrm>
            <a:off x="9442643" y="13089659"/>
            <a:ext cx="397741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l-5</a:t>
            </a:r>
          </a:p>
        </xdr:txBody>
      </xdr:sp>
      <xdr:sp macro="" textlink="">
        <xdr:nvSpPr>
          <xdr:cNvPr id="316" name="Rectangle 315"/>
          <xdr:cNvSpPr/>
        </xdr:nvSpPr>
        <xdr:spPr>
          <a:xfrm>
            <a:off x="5040552" y="10604501"/>
            <a:ext cx="407747" cy="216286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I-6</a:t>
            </a:r>
          </a:p>
        </xdr:txBody>
      </xdr:sp>
      <xdr:sp macro="" textlink="">
        <xdr:nvSpPr>
          <xdr:cNvPr id="317" name="Rectangle 316"/>
          <xdr:cNvSpPr/>
        </xdr:nvSpPr>
        <xdr:spPr>
          <a:xfrm>
            <a:off x="6476231" y="13821256"/>
            <a:ext cx="389273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I-7</a:t>
            </a:r>
          </a:p>
        </xdr:txBody>
      </xdr:sp>
      <xdr:sp macro="" textlink="">
        <xdr:nvSpPr>
          <xdr:cNvPr id="318" name="Rectangle 317"/>
          <xdr:cNvSpPr/>
        </xdr:nvSpPr>
        <xdr:spPr>
          <a:xfrm>
            <a:off x="6727825" y="11625311"/>
            <a:ext cx="488084" cy="164523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l-8</a:t>
            </a:r>
          </a:p>
        </xdr:txBody>
      </xdr:sp>
      <xdr:sp macro="" textlink="">
        <xdr:nvSpPr>
          <xdr:cNvPr id="319" name="Rectangle 318"/>
          <xdr:cNvSpPr/>
        </xdr:nvSpPr>
        <xdr:spPr>
          <a:xfrm>
            <a:off x="6558108" y="10274876"/>
            <a:ext cx="483464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l-9</a:t>
            </a:r>
          </a:p>
        </xdr:txBody>
      </xdr:sp>
      <xdr:sp macro="" textlink="">
        <xdr:nvSpPr>
          <xdr:cNvPr id="320" name="Rectangle 319"/>
          <xdr:cNvSpPr/>
        </xdr:nvSpPr>
        <xdr:spPr>
          <a:xfrm>
            <a:off x="8348999" y="10798269"/>
            <a:ext cx="485196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l-10</a:t>
            </a:r>
          </a:p>
        </xdr:txBody>
      </xdr:sp>
      <xdr:sp macro="" textlink="">
        <xdr:nvSpPr>
          <xdr:cNvPr id="321" name="Rectangle 320"/>
          <xdr:cNvSpPr/>
        </xdr:nvSpPr>
        <xdr:spPr>
          <a:xfrm>
            <a:off x="8841893" y="11640128"/>
            <a:ext cx="475672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l-11</a:t>
            </a:r>
          </a:p>
        </xdr:txBody>
      </xdr:sp>
      <xdr:sp macro="" textlink="">
        <xdr:nvSpPr>
          <xdr:cNvPr id="322" name="Rectangle 321"/>
          <xdr:cNvSpPr/>
        </xdr:nvSpPr>
        <xdr:spPr>
          <a:xfrm>
            <a:off x="7921722" y="11386703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l-12</a:t>
            </a:r>
          </a:p>
        </xdr:txBody>
      </xdr:sp>
      <xdr:sp macro="" textlink="">
        <xdr:nvSpPr>
          <xdr:cNvPr id="323" name="Rectangle 322"/>
          <xdr:cNvSpPr/>
        </xdr:nvSpPr>
        <xdr:spPr>
          <a:xfrm>
            <a:off x="8862870" y="10260250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l-13</a:t>
            </a:r>
          </a:p>
        </xdr:txBody>
      </xdr:sp>
      <xdr:sp macro="" textlink="">
        <xdr:nvSpPr>
          <xdr:cNvPr id="324" name="Rectangle 323"/>
          <xdr:cNvSpPr/>
        </xdr:nvSpPr>
        <xdr:spPr>
          <a:xfrm>
            <a:off x="7451244" y="16902546"/>
            <a:ext cx="475673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l-15</a:t>
            </a:r>
          </a:p>
        </xdr:txBody>
      </xdr:sp>
      <xdr:sp macro="" textlink="">
        <xdr:nvSpPr>
          <xdr:cNvPr id="325" name="Rectangle 324"/>
          <xdr:cNvSpPr/>
        </xdr:nvSpPr>
        <xdr:spPr>
          <a:xfrm>
            <a:off x="4401128" y="14885748"/>
            <a:ext cx="47567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l-16</a:t>
            </a:r>
          </a:p>
        </xdr:txBody>
      </xdr:sp>
      <xdr:sp macro="" textlink="">
        <xdr:nvSpPr>
          <xdr:cNvPr id="326" name="Rectangle 325"/>
          <xdr:cNvSpPr/>
        </xdr:nvSpPr>
        <xdr:spPr>
          <a:xfrm>
            <a:off x="9080501" y="15095489"/>
            <a:ext cx="47567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l-17</a:t>
            </a:r>
          </a:p>
        </xdr:txBody>
      </xdr:sp>
      <xdr:sp macro="" textlink="">
        <xdr:nvSpPr>
          <xdr:cNvPr id="327" name="Rectangle 326"/>
          <xdr:cNvSpPr/>
        </xdr:nvSpPr>
        <xdr:spPr>
          <a:xfrm>
            <a:off x="5337462" y="16843664"/>
            <a:ext cx="475674" cy="1903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l-18</a:t>
            </a:r>
          </a:p>
        </xdr:txBody>
      </xdr:sp>
      <xdr:sp macro="" textlink="">
        <xdr:nvSpPr>
          <xdr:cNvPr id="328" name="Rectangle 327"/>
          <xdr:cNvSpPr/>
        </xdr:nvSpPr>
        <xdr:spPr>
          <a:xfrm>
            <a:off x="9068761" y="14713334"/>
            <a:ext cx="479907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l-19</a:t>
            </a:r>
          </a:p>
        </xdr:txBody>
      </xdr:sp>
      <xdr:sp macro="" textlink="">
        <xdr:nvSpPr>
          <xdr:cNvPr id="329" name="Rectangle 328"/>
          <xdr:cNvSpPr/>
        </xdr:nvSpPr>
        <xdr:spPr>
          <a:xfrm>
            <a:off x="8806103" y="16344130"/>
            <a:ext cx="5010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l-20</a:t>
            </a:r>
          </a:p>
        </xdr:txBody>
      </xdr:sp>
      <xdr:sp macro="" textlink="">
        <xdr:nvSpPr>
          <xdr:cNvPr id="330" name="Rectangle 329"/>
          <xdr:cNvSpPr/>
        </xdr:nvSpPr>
        <xdr:spPr>
          <a:xfrm>
            <a:off x="10137966" y="15296381"/>
            <a:ext cx="561398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l-21</a:t>
            </a:r>
          </a:p>
        </xdr:txBody>
      </xdr:sp>
      <xdr:sp macro="" textlink="">
        <xdr:nvSpPr>
          <xdr:cNvPr id="331" name="Rectangle 330"/>
          <xdr:cNvSpPr/>
        </xdr:nvSpPr>
        <xdr:spPr>
          <a:xfrm>
            <a:off x="8807835" y="18093262"/>
            <a:ext cx="475673" cy="198774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l-22</a:t>
            </a:r>
          </a:p>
        </xdr:txBody>
      </xdr:sp>
      <xdr:sp macro="" textlink="">
        <xdr:nvSpPr>
          <xdr:cNvPr id="332" name="Rectangle 331"/>
          <xdr:cNvSpPr/>
        </xdr:nvSpPr>
        <xdr:spPr>
          <a:xfrm>
            <a:off x="11116726" y="14079683"/>
            <a:ext cx="46297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l-23</a:t>
            </a:r>
          </a:p>
        </xdr:txBody>
      </xdr:sp>
      <xdr:sp macro="" textlink="">
        <xdr:nvSpPr>
          <xdr:cNvPr id="334" name="Rectangle 333"/>
          <xdr:cNvSpPr/>
        </xdr:nvSpPr>
        <xdr:spPr>
          <a:xfrm>
            <a:off x="12471976" y="13942096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l-24</a:t>
            </a:r>
          </a:p>
        </xdr:txBody>
      </xdr:sp>
      <xdr:sp macro="" textlink="">
        <xdr:nvSpPr>
          <xdr:cNvPr id="336" name="Rectangle 335"/>
          <xdr:cNvSpPr/>
        </xdr:nvSpPr>
        <xdr:spPr>
          <a:xfrm>
            <a:off x="12482946" y="12683259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l-25</a:t>
            </a:r>
          </a:p>
        </xdr:txBody>
      </xdr:sp>
      <xdr:sp macro="" textlink="">
        <xdr:nvSpPr>
          <xdr:cNvPr id="337" name="Rectangle 336"/>
          <xdr:cNvSpPr/>
        </xdr:nvSpPr>
        <xdr:spPr>
          <a:xfrm>
            <a:off x="13795278" y="13108901"/>
            <a:ext cx="52753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l-26</a:t>
            </a:r>
          </a:p>
        </xdr:txBody>
      </xdr:sp>
      <xdr:sp macro="" textlink="">
        <xdr:nvSpPr>
          <xdr:cNvPr id="338" name="Rectangle 337"/>
          <xdr:cNvSpPr/>
        </xdr:nvSpPr>
        <xdr:spPr>
          <a:xfrm>
            <a:off x="13674052" y="13653848"/>
            <a:ext cx="4883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l-3</a:t>
            </a:r>
          </a:p>
        </xdr:txBody>
      </xdr:sp>
      <xdr:sp macro="" textlink="">
        <xdr:nvSpPr>
          <xdr:cNvPr id="339" name="Rectangle 338"/>
          <xdr:cNvSpPr/>
        </xdr:nvSpPr>
        <xdr:spPr>
          <a:xfrm>
            <a:off x="14402185" y="12655358"/>
            <a:ext cx="51483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l-27</a:t>
            </a:r>
          </a:p>
        </xdr:txBody>
      </xdr:sp>
      <xdr:sp macro="" textlink="">
        <xdr:nvSpPr>
          <xdr:cNvPr id="340" name="Rectangle 339"/>
          <xdr:cNvSpPr/>
        </xdr:nvSpPr>
        <xdr:spPr>
          <a:xfrm>
            <a:off x="14461452" y="13953452"/>
            <a:ext cx="45633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</a:t>
            </a:r>
          </a:p>
        </xdr:txBody>
      </xdr:sp>
      <xdr:sp macro="" textlink="">
        <xdr:nvSpPr>
          <xdr:cNvPr id="341" name="Rectangle 340"/>
          <xdr:cNvSpPr/>
        </xdr:nvSpPr>
        <xdr:spPr>
          <a:xfrm>
            <a:off x="13127854" y="15557692"/>
            <a:ext cx="504249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</a:t>
            </a:r>
          </a:p>
        </xdr:txBody>
      </xdr:sp>
      <xdr:sp macro="" textlink="">
        <xdr:nvSpPr>
          <xdr:cNvPr id="342" name="Rectangle 341"/>
          <xdr:cNvSpPr/>
        </xdr:nvSpPr>
        <xdr:spPr>
          <a:xfrm>
            <a:off x="10466917" y="11440583"/>
            <a:ext cx="4629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l-28</a:t>
            </a:r>
          </a:p>
        </xdr:txBody>
      </xdr:sp>
      <xdr:sp macro="" textlink="">
        <xdr:nvSpPr>
          <xdr:cNvPr id="343" name="Rectangle 342"/>
          <xdr:cNvSpPr/>
        </xdr:nvSpPr>
        <xdr:spPr>
          <a:xfrm>
            <a:off x="11133667" y="14736234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l-29</a:t>
            </a:r>
          </a:p>
        </xdr:txBody>
      </xdr:sp>
      <xdr:cxnSp macro="">
        <xdr:nvCxnSpPr>
          <xdr:cNvPr id="344" name="Elbow Connector 343"/>
          <xdr:cNvCxnSpPr>
            <a:stCxn id="302" idx="3"/>
            <a:endCxn id="303" idx="0"/>
          </xdr:cNvCxnSpPr>
        </xdr:nvCxnSpPr>
        <xdr:spPr>
          <a:xfrm>
            <a:off x="14099155" y="12643694"/>
            <a:ext cx="815321" cy="44259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5" name="Elbow Connector 344"/>
          <xdr:cNvCxnSpPr>
            <a:stCxn id="304" idx="2"/>
            <a:endCxn id="309" idx="4"/>
          </xdr:cNvCxnSpPr>
        </xdr:nvCxnSpPr>
        <xdr:spPr>
          <a:xfrm rot="10800000">
            <a:off x="12434863" y="13543432"/>
            <a:ext cx="791975" cy="62621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6" name="Elbow Connector 345"/>
          <xdr:cNvCxnSpPr>
            <a:stCxn id="309" idx="0"/>
            <a:endCxn id="302" idx="1"/>
          </xdr:cNvCxnSpPr>
        </xdr:nvCxnSpPr>
        <xdr:spPr>
          <a:xfrm rot="5400000" flipH="1" flipV="1">
            <a:off x="12596624" y="12477772"/>
            <a:ext cx="467345" cy="790868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7" name="Elbow Connector 346"/>
          <xdr:cNvCxnSpPr>
            <a:stCxn id="309" idx="6"/>
            <a:endCxn id="303" idx="1"/>
          </xdr:cNvCxnSpPr>
        </xdr:nvCxnSpPr>
        <xdr:spPr>
          <a:xfrm>
            <a:off x="12640977" y="13325155"/>
            <a:ext cx="1866535" cy="3477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8" name="Elbow Connector 347"/>
          <xdr:cNvCxnSpPr>
            <a:stCxn id="303" idx="3"/>
            <a:endCxn id="297" idx="4"/>
          </xdr:cNvCxnSpPr>
        </xdr:nvCxnSpPr>
        <xdr:spPr>
          <a:xfrm flipH="1">
            <a:off x="10863607" y="13337884"/>
            <a:ext cx="4500837" cy="1357395"/>
          </a:xfrm>
          <a:prstGeom prst="bentConnector4">
            <a:avLst>
              <a:gd name="adj1" fmla="val -6445"/>
              <a:gd name="adj2" fmla="val 11802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9" name="Elbow Connector 348"/>
          <xdr:cNvCxnSpPr>
            <a:stCxn id="295" idx="3"/>
            <a:endCxn id="296" idx="0"/>
          </xdr:cNvCxnSpPr>
        </xdr:nvCxnSpPr>
        <xdr:spPr>
          <a:xfrm>
            <a:off x="8417468" y="10258947"/>
            <a:ext cx="934062" cy="53743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0" name="Elbow Connector 349"/>
          <xdr:cNvCxnSpPr>
            <a:stCxn id="298" idx="0"/>
            <a:endCxn id="295" idx="1"/>
          </xdr:cNvCxnSpPr>
        </xdr:nvCxnSpPr>
        <xdr:spPr>
          <a:xfrm rot="5400000" flipH="1" flipV="1">
            <a:off x="6748503" y="10071818"/>
            <a:ext cx="557954" cy="93018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1" name="Elbow Connector 350"/>
          <xdr:cNvCxnSpPr>
            <a:stCxn id="298" idx="6"/>
            <a:endCxn id="296" idx="1"/>
          </xdr:cNvCxnSpPr>
        </xdr:nvCxnSpPr>
        <xdr:spPr>
          <a:xfrm>
            <a:off x="6797574" y="11035288"/>
            <a:ext cx="2105204" cy="3362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2" name="Elbow Connector 351"/>
          <xdr:cNvCxnSpPr>
            <a:stCxn id="300" idx="2"/>
            <a:endCxn id="298" idx="4"/>
          </xdr:cNvCxnSpPr>
        </xdr:nvCxnSpPr>
        <xdr:spPr>
          <a:xfrm rot="10800000">
            <a:off x="6593297" y="11254047"/>
            <a:ext cx="926949" cy="58558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3" name="Elbow Connector 352"/>
          <xdr:cNvCxnSpPr>
            <a:stCxn id="300" idx="0"/>
            <a:endCxn id="296" idx="2"/>
          </xdr:cNvCxnSpPr>
        </xdr:nvCxnSpPr>
        <xdr:spPr>
          <a:xfrm flipV="1">
            <a:off x="8417749" y="11280916"/>
            <a:ext cx="933781" cy="55871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4" name="Elbow Connector 353"/>
          <xdr:cNvCxnSpPr>
            <a:stCxn id="299" idx="0"/>
            <a:endCxn id="309" idx="2"/>
          </xdr:cNvCxnSpPr>
        </xdr:nvCxnSpPr>
        <xdr:spPr>
          <a:xfrm>
            <a:off x="5334216" y="13320703"/>
            <a:ext cx="6863658" cy="123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6" name="Elbow Connector 355"/>
          <xdr:cNvCxnSpPr>
            <a:stCxn id="296" idx="3"/>
            <a:endCxn id="297" idx="0"/>
          </xdr:cNvCxnSpPr>
        </xdr:nvCxnSpPr>
        <xdr:spPr>
          <a:xfrm>
            <a:off x="9760704" y="11034699"/>
            <a:ext cx="666118" cy="283291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7" name="Elbow Connector 356"/>
          <xdr:cNvCxnSpPr>
            <a:stCxn id="297" idx="5"/>
            <a:endCxn id="309" idx="3"/>
          </xdr:cNvCxnSpPr>
        </xdr:nvCxnSpPr>
        <xdr:spPr>
          <a:xfrm flipV="1">
            <a:off x="10693460" y="13478746"/>
            <a:ext cx="1573840" cy="8090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Elbow Connector 357"/>
          <xdr:cNvCxnSpPr>
            <a:stCxn id="294" idx="6"/>
            <a:endCxn id="299" idx="2"/>
          </xdr:cNvCxnSpPr>
        </xdr:nvCxnSpPr>
        <xdr:spPr>
          <a:xfrm>
            <a:off x="3921404" y="13314942"/>
            <a:ext cx="813041" cy="8890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9" name="Elbow Connector 358"/>
          <xdr:cNvCxnSpPr>
            <a:stCxn id="300" idx="1"/>
            <a:endCxn id="306" idx="5"/>
          </xdr:cNvCxnSpPr>
        </xdr:nvCxnSpPr>
        <xdr:spPr>
          <a:xfrm rot="5400000">
            <a:off x="3286686" y="12559297"/>
            <a:ext cx="5237029" cy="4127595"/>
          </a:xfrm>
          <a:prstGeom prst="bentConnector3">
            <a:avLst>
              <a:gd name="adj1" fmla="val 10543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1" name="Elbow Connector 360"/>
          <xdr:cNvCxnSpPr>
            <a:stCxn id="294" idx="2"/>
            <a:endCxn id="293" idx="2"/>
          </xdr:cNvCxnSpPr>
        </xdr:nvCxnSpPr>
        <xdr:spPr>
          <a:xfrm rot="10800000" flipH="1" flipV="1">
            <a:off x="3548240" y="13314942"/>
            <a:ext cx="7516058" cy="2991858"/>
          </a:xfrm>
          <a:prstGeom prst="bentConnector3">
            <a:avLst>
              <a:gd name="adj1" fmla="val -304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3" name="Elbow Connector 362"/>
          <xdr:cNvCxnSpPr>
            <a:stCxn id="310" idx="2"/>
            <a:endCxn id="306" idx="6"/>
          </xdr:cNvCxnSpPr>
        </xdr:nvCxnSpPr>
        <xdr:spPr>
          <a:xfrm rot="5400000">
            <a:off x="3966591" y="15221260"/>
            <a:ext cx="1773639" cy="199755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5" name="Elbow Connector 364"/>
          <xdr:cNvCxnSpPr>
            <a:stCxn id="294" idx="5"/>
            <a:endCxn id="310" idx="1"/>
          </xdr:cNvCxnSpPr>
        </xdr:nvCxnSpPr>
        <xdr:spPr>
          <a:xfrm rot="16200000" flipH="1">
            <a:off x="3826371" y="13502066"/>
            <a:ext cx="1625748" cy="154498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Elbow Connector 366"/>
          <xdr:cNvCxnSpPr>
            <a:endCxn id="293" idx="0"/>
          </xdr:cNvCxnSpPr>
        </xdr:nvCxnSpPr>
        <xdr:spPr>
          <a:xfrm rot="16200000" flipH="1">
            <a:off x="10348503" y="15109704"/>
            <a:ext cx="1358900" cy="578092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Elbow Connector 367"/>
          <xdr:cNvCxnSpPr>
            <a:stCxn id="297" idx="3"/>
            <a:endCxn id="310" idx="3"/>
          </xdr:cNvCxnSpPr>
        </xdr:nvCxnSpPr>
        <xdr:spPr>
          <a:xfrm rot="5400000">
            <a:off x="8153569" y="12821068"/>
            <a:ext cx="399042" cy="414746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Elbow Connector 368"/>
          <xdr:cNvCxnSpPr>
            <a:endCxn id="297" idx="2"/>
          </xdr:cNvCxnSpPr>
        </xdr:nvCxnSpPr>
        <xdr:spPr>
          <a:xfrm flipV="1">
            <a:off x="6273800" y="14695279"/>
            <a:ext cx="3701953" cy="18912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0" name="Elbow Connector 369"/>
          <xdr:cNvCxnSpPr>
            <a:endCxn id="298" idx="3"/>
          </xdr:cNvCxnSpPr>
        </xdr:nvCxnSpPr>
        <xdr:spPr>
          <a:xfrm rot="10800000">
            <a:off x="6448850" y="11189974"/>
            <a:ext cx="3888951" cy="293242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Elbow Connector 370"/>
          <xdr:cNvCxnSpPr>
            <a:stCxn id="304" idx="0"/>
            <a:endCxn id="303" idx="2"/>
          </xdr:cNvCxnSpPr>
        </xdr:nvCxnSpPr>
        <xdr:spPr>
          <a:xfrm flipV="1">
            <a:off x="14100427" y="13576780"/>
            <a:ext cx="814049" cy="59713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Elbow Connector 372"/>
          <xdr:cNvCxnSpPr>
            <a:stCxn id="299" idx="3"/>
            <a:endCxn id="298" idx="2"/>
          </xdr:cNvCxnSpPr>
        </xdr:nvCxnSpPr>
        <xdr:spPr>
          <a:xfrm rot="5400000" flipH="1" flipV="1">
            <a:off x="4649517" y="11419385"/>
            <a:ext cx="2123597" cy="135540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Elbow Connector 47"/>
          <xdr:cNvCxnSpPr>
            <a:stCxn id="30" idx="2"/>
            <a:endCxn id="294" idx="0"/>
          </xdr:cNvCxnSpPr>
        </xdr:nvCxnSpPr>
        <xdr:spPr>
          <a:xfrm rot="10800000" flipV="1">
            <a:off x="3734823" y="7772421"/>
            <a:ext cx="3332055" cy="5334995"/>
          </a:xfrm>
          <a:prstGeom prst="bentConnector2">
            <a:avLst/>
          </a:prstGeom>
          <a:ln w="50800">
            <a:solidFill>
              <a:schemeClr val="tx2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5" name="Oval 374"/>
          <xdr:cNvSpPr/>
        </xdr:nvSpPr>
        <xdr:spPr>
          <a:xfrm>
            <a:off x="2425700" y="19011900"/>
            <a:ext cx="1682750" cy="960967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Arial" panose="020B0604020202020204" pitchFamily="34" charset="0"/>
                <a:cs typeface="Arial" panose="020B0604020202020204" pitchFamily="34" charset="0"/>
              </a:rPr>
              <a:t>Ocean</a:t>
            </a:r>
          </a:p>
        </xdr:txBody>
      </xdr:sp>
      <xdr:cxnSp macro="">
        <xdr:nvCxnSpPr>
          <xdr:cNvPr id="163" name="Elbow Connector 162"/>
          <xdr:cNvCxnSpPr>
            <a:stCxn id="306" idx="3"/>
            <a:endCxn id="375" idx="7"/>
          </xdr:cNvCxnSpPr>
        </xdr:nvCxnSpPr>
        <xdr:spPr>
          <a:xfrm rot="16200000" flipH="1">
            <a:off x="2775017" y="18065629"/>
            <a:ext cx="1911021" cy="262980"/>
          </a:xfrm>
          <a:prstGeom prst="bentConnector3">
            <a:avLst/>
          </a:prstGeom>
          <a:ln w="50800">
            <a:solidFill>
              <a:schemeClr val="tx2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7" name="Rectangle 376"/>
          <xdr:cNvSpPr/>
        </xdr:nvSpPr>
        <xdr:spPr>
          <a:xfrm>
            <a:off x="3187700" y="17691100"/>
            <a:ext cx="402744" cy="2413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r-5</a:t>
            </a:r>
          </a:p>
        </xdr:txBody>
      </xdr:sp>
      <xdr:sp macro="" textlink="">
        <xdr:nvSpPr>
          <xdr:cNvPr id="378" name="Snip Same Side Corner Rectangle 377"/>
          <xdr:cNvSpPr/>
        </xdr:nvSpPr>
        <xdr:spPr>
          <a:xfrm>
            <a:off x="3962400" y="10007600"/>
            <a:ext cx="812800" cy="304800"/>
          </a:xfrm>
          <a:prstGeom prst="snip2SameRect">
            <a:avLst/>
          </a:prstGeom>
          <a:solidFill>
            <a:schemeClr val="accent4">
              <a:lumMod val="20000"/>
              <a:lumOff val="80000"/>
            </a:schemeClr>
          </a:solidFill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100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Desal</a:t>
            </a:r>
          </a:p>
        </xdr:txBody>
      </xdr:sp>
      <xdr:cxnSp macro="">
        <xdr:nvCxnSpPr>
          <xdr:cNvPr id="189" name="Elbow Connector 188"/>
          <xdr:cNvCxnSpPr>
            <a:stCxn id="375" idx="0"/>
            <a:endCxn id="378" idx="2"/>
          </xdr:cNvCxnSpPr>
        </xdr:nvCxnSpPr>
        <xdr:spPr>
          <a:xfrm rot="5400000" flipH="1" flipV="1">
            <a:off x="-811213" y="14238288"/>
            <a:ext cx="8851900" cy="69532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3" name="Rectangle 382"/>
          <xdr:cNvSpPr/>
        </xdr:nvSpPr>
        <xdr:spPr>
          <a:xfrm>
            <a:off x="2651125" y="10998200"/>
            <a:ext cx="533882" cy="190307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l-39</a:t>
            </a:r>
          </a:p>
        </xdr:txBody>
      </xdr:sp>
      <xdr:sp macro="" textlink="">
        <xdr:nvSpPr>
          <xdr:cNvPr id="384" name="Rectangle 383"/>
          <xdr:cNvSpPr/>
        </xdr:nvSpPr>
        <xdr:spPr>
          <a:xfrm>
            <a:off x="5359400" y="10198100"/>
            <a:ext cx="467207" cy="190308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l-40</a:t>
            </a:r>
          </a:p>
        </xdr:txBody>
      </xdr:sp>
      <xdr:cxnSp macro="">
        <xdr:nvCxnSpPr>
          <xdr:cNvPr id="385" name="Elbow Connector 384"/>
          <xdr:cNvCxnSpPr>
            <a:stCxn id="304" idx="1"/>
            <a:endCxn id="306" idx="7"/>
          </xdr:cNvCxnSpPr>
        </xdr:nvCxnSpPr>
        <xdr:spPr>
          <a:xfrm rot="5400000">
            <a:off x="7436834" y="10733479"/>
            <a:ext cx="2643324" cy="9834187"/>
          </a:xfrm>
          <a:prstGeom prst="bentConnector3">
            <a:avLst>
              <a:gd name="adj1" fmla="val 54805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Elbow Connector 385"/>
          <xdr:cNvCxnSpPr>
            <a:stCxn id="278" idx="4"/>
            <a:endCxn id="306" idx="4"/>
          </xdr:cNvCxnSpPr>
        </xdr:nvCxnSpPr>
        <xdr:spPr>
          <a:xfrm rot="5400000" flipH="1">
            <a:off x="7198585" y="13819034"/>
            <a:ext cx="508000" cy="7464730"/>
          </a:xfrm>
          <a:prstGeom prst="bentConnector3">
            <a:avLst>
              <a:gd name="adj1" fmla="val -45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8" name="Rectangle 397"/>
          <xdr:cNvSpPr/>
        </xdr:nvSpPr>
        <xdr:spPr>
          <a:xfrm>
            <a:off x="123471" y="486834"/>
            <a:ext cx="2511072" cy="8593666"/>
          </a:xfrm>
          <a:prstGeom prst="rect">
            <a:avLst/>
          </a:prstGeom>
          <a:solidFill>
            <a:schemeClr val="bg1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000">
                <a:solidFill>
                  <a:srgbClr val="000000"/>
                </a:solidFill>
              </a:rPr>
              <a:t>Legend:</a:t>
            </a:r>
          </a:p>
        </xdr:txBody>
      </xdr:sp>
      <xdr:sp macro="" textlink="">
        <xdr:nvSpPr>
          <xdr:cNvPr id="406" name="Rectangle 405"/>
          <xdr:cNvSpPr/>
        </xdr:nvSpPr>
        <xdr:spPr bwMode="auto">
          <a:xfrm>
            <a:off x="229306" y="1351140"/>
            <a:ext cx="2246488" cy="677333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chemeClr val="accent6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Urban</a:t>
            </a:r>
          </a:p>
        </xdr:txBody>
      </xdr:sp>
      <xdr:sp macro="" textlink="">
        <xdr:nvSpPr>
          <xdr:cNvPr id="407" name="Rectangle 406"/>
          <xdr:cNvSpPr/>
        </xdr:nvSpPr>
        <xdr:spPr bwMode="auto">
          <a:xfrm>
            <a:off x="246944" y="2236610"/>
            <a:ext cx="2264129" cy="691446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100000">
                <a:schemeClr val="bg1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6">
                <a:lumMod val="50000"/>
              </a:schemeClr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Suburban</a:t>
            </a:r>
          </a:p>
        </xdr:txBody>
      </xdr:sp>
      <xdr:sp macro="" textlink="">
        <xdr:nvSpPr>
          <xdr:cNvPr id="408" name="Rectangle 407"/>
          <xdr:cNvSpPr/>
        </xdr:nvSpPr>
        <xdr:spPr bwMode="auto">
          <a:xfrm>
            <a:off x="246943" y="3136195"/>
            <a:ext cx="2264128" cy="726722"/>
          </a:xfrm>
          <a:prstGeom prst="rect">
            <a:avLst/>
          </a:prstGeom>
          <a:gradFill flip="none" rotWithShape="1">
            <a:gsLst>
              <a:gs pos="0">
                <a:schemeClr val="accent3">
                  <a:alpha val="28000"/>
                </a:schemeClr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3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Rural</a:t>
            </a:r>
          </a:p>
        </xdr:txBody>
      </xdr:sp>
      <xdr:sp macro="" textlink="">
        <xdr:nvSpPr>
          <xdr:cNvPr id="409" name="Rectangle 408"/>
          <xdr:cNvSpPr/>
        </xdr:nvSpPr>
        <xdr:spPr bwMode="auto">
          <a:xfrm>
            <a:off x="246944" y="4053417"/>
            <a:ext cx="2281767" cy="677334"/>
          </a:xfrm>
          <a:prstGeom prst="rect">
            <a:avLst/>
          </a:prstGeom>
          <a:gradFill flip="none" rotWithShape="1">
            <a:gsLst>
              <a:gs pos="0">
                <a:schemeClr val="accent5">
                  <a:alpha val="27000"/>
                </a:schemeClr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5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Agriculture</a:t>
            </a:r>
          </a:p>
        </xdr:txBody>
      </xdr:sp>
      <xdr:sp macro="" textlink="">
        <xdr:nvSpPr>
          <xdr:cNvPr id="410" name="Snip Same Side Corner Rectangle 409"/>
          <xdr:cNvSpPr/>
        </xdr:nvSpPr>
        <xdr:spPr bwMode="auto">
          <a:xfrm>
            <a:off x="264584" y="5985934"/>
            <a:ext cx="2264127" cy="673805"/>
          </a:xfrm>
          <a:prstGeom prst="snip2SameRect">
            <a:avLst/>
          </a:prstGeom>
          <a:solidFill>
            <a:schemeClr val="accent4">
              <a:lumMod val="20000"/>
              <a:lumOff val="80000"/>
            </a:schemeClr>
          </a:solidFill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Treatment</a:t>
            </a:r>
            <a:r>
              <a:rPr lang="en-US" sz="2400" baseline="0">
                <a:latin typeface="+mn-lt"/>
                <a:cs typeface="Arial" panose="020B0604020202020204" pitchFamily="34" charset="0"/>
              </a:rPr>
              <a:t> Plant</a:t>
            </a:r>
            <a:endParaRPr lang="en-US" sz="2400">
              <a:latin typeface="+mn-lt"/>
              <a:cs typeface="Arial" panose="020B0604020202020204" pitchFamily="34" charset="0"/>
            </a:endParaRPr>
          </a:p>
        </xdr:txBody>
      </xdr:sp>
      <xdr:sp macro="" textlink="">
        <xdr:nvSpPr>
          <xdr:cNvPr id="411" name="Isosceles Triangle 410"/>
          <xdr:cNvSpPr/>
        </xdr:nvSpPr>
        <xdr:spPr bwMode="auto">
          <a:xfrm>
            <a:off x="229306" y="6867879"/>
            <a:ext cx="2352322" cy="797277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102" name="Oval 101"/>
          <xdr:cNvSpPr/>
        </xdr:nvSpPr>
        <xdr:spPr>
          <a:xfrm>
            <a:off x="254000" y="8080375"/>
            <a:ext cx="2209800" cy="927100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Ocean</a:t>
            </a:r>
            <a:endParaRPr lang="en-US" sz="2000">
              <a:latin typeface="+mn-lt"/>
              <a:cs typeface="Arial" panose="020B0604020202020204" pitchFamily="34" charset="0"/>
            </a:endParaRPr>
          </a:p>
        </xdr:txBody>
      </xdr:sp>
      <xdr:cxnSp macro="">
        <xdr:nvCxnSpPr>
          <xdr:cNvPr id="11" name="Elbow Connector 10"/>
          <xdr:cNvCxnSpPr>
            <a:stCxn id="183" idx="0"/>
            <a:endCxn id="297" idx="1"/>
          </xdr:cNvCxnSpPr>
        </xdr:nvCxnSpPr>
        <xdr:spPr>
          <a:xfrm rot="5400000" flipH="1" flipV="1">
            <a:off x="4455377" y="12463390"/>
            <a:ext cx="3954948" cy="758420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3" name="Rounded Rectangle 182"/>
          <xdr:cNvSpPr/>
        </xdr:nvSpPr>
        <xdr:spPr bwMode="auto">
          <a:xfrm>
            <a:off x="2171699" y="18232967"/>
            <a:ext cx="938097" cy="486518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Salinity</a:t>
            </a:r>
            <a:r>
              <a:rPr lang="en-US" sz="1050" baseline="0">
                <a:latin typeface="Arial" panose="020B0604020202020204" pitchFamily="34" charset="0"/>
                <a:cs typeface="Arial" panose="020B0604020202020204" pitchFamily="34" charset="0"/>
              </a:rPr>
              <a:t> barrier</a:t>
            </a:r>
            <a:endParaRPr lang="en-US" sz="105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90" name="Rectangle 189"/>
          <xdr:cNvSpPr/>
        </xdr:nvSpPr>
        <xdr:spPr>
          <a:xfrm>
            <a:off x="2125133" y="16637000"/>
            <a:ext cx="467207" cy="1776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l-42</a:t>
            </a:r>
          </a:p>
        </xdr:txBody>
      </xdr:sp>
      <xdr:sp macro="" textlink="">
        <xdr:nvSpPr>
          <xdr:cNvPr id="191" name="Rectangle 190"/>
          <xdr:cNvSpPr/>
        </xdr:nvSpPr>
        <xdr:spPr>
          <a:xfrm>
            <a:off x="1629833" y="18969567"/>
            <a:ext cx="467207" cy="177608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l-41</a:t>
            </a:r>
          </a:p>
        </xdr:txBody>
      </xdr:sp>
      <xdr:cxnSp macro="">
        <xdr:nvCxnSpPr>
          <xdr:cNvPr id="28" name="Elbow Connector 27"/>
          <xdr:cNvCxnSpPr>
            <a:endCxn id="41" idx="0"/>
          </xdr:cNvCxnSpPr>
        </xdr:nvCxnSpPr>
        <xdr:spPr>
          <a:xfrm rot="5400000">
            <a:off x="8950470" y="3120032"/>
            <a:ext cx="2830966" cy="195030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7" name="Rectangle 196"/>
          <xdr:cNvSpPr/>
        </xdr:nvSpPr>
        <xdr:spPr>
          <a:xfrm>
            <a:off x="10553700" y="34290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u-30</a:t>
            </a:r>
          </a:p>
        </xdr:txBody>
      </xdr:sp>
      <xdr:cxnSp macro="">
        <xdr:nvCxnSpPr>
          <xdr:cNvPr id="198" name="Elbow Connector 197"/>
          <xdr:cNvCxnSpPr>
            <a:endCxn id="310" idx="0"/>
          </xdr:cNvCxnSpPr>
        </xdr:nvCxnSpPr>
        <xdr:spPr>
          <a:xfrm rot="5400000">
            <a:off x="5386145" y="12475843"/>
            <a:ext cx="2843665" cy="1894978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0" name="Rectangle 199"/>
          <xdr:cNvSpPr/>
        </xdr:nvSpPr>
        <xdr:spPr>
          <a:xfrm>
            <a:off x="7247467" y="12763499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l-30</a:t>
            </a:r>
          </a:p>
        </xdr:txBody>
      </xdr:sp>
      <xdr:sp macro="" textlink="">
        <xdr:nvSpPr>
          <xdr:cNvPr id="192" name="Rounded Rectangle 191"/>
          <xdr:cNvSpPr/>
        </xdr:nvSpPr>
        <xdr:spPr bwMode="auto">
          <a:xfrm>
            <a:off x="14808200" y="74803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-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Outdoor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02" name="Oval 201"/>
          <xdr:cNvSpPr/>
        </xdr:nvSpPr>
        <xdr:spPr bwMode="auto">
          <a:xfrm>
            <a:off x="14312900" y="6819900"/>
            <a:ext cx="375146" cy="41504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9</a:t>
            </a:r>
          </a:p>
        </xdr:txBody>
      </xdr:sp>
      <xdr:cxnSp macro="">
        <xdr:nvCxnSpPr>
          <xdr:cNvPr id="210" name="Elbow Connector 209"/>
          <xdr:cNvCxnSpPr>
            <a:stCxn id="202" idx="3"/>
            <a:endCxn id="47" idx="0"/>
          </xdr:cNvCxnSpPr>
        </xdr:nvCxnSpPr>
        <xdr:spPr>
          <a:xfrm rot="5400000">
            <a:off x="13914206" y="7024161"/>
            <a:ext cx="303629" cy="603639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1" name="Elbow Connector 210"/>
          <xdr:cNvCxnSpPr>
            <a:stCxn id="202" idx="6"/>
            <a:endCxn id="192" idx="0"/>
          </xdr:cNvCxnSpPr>
        </xdr:nvCxnSpPr>
        <xdr:spPr>
          <a:xfrm>
            <a:off x="14688046" y="7027425"/>
            <a:ext cx="571290" cy="45287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7" name="Elbow Connector 216"/>
          <xdr:cNvCxnSpPr>
            <a:stCxn id="47" idx="3"/>
            <a:endCxn id="192" idx="1"/>
          </xdr:cNvCxnSpPr>
        </xdr:nvCxnSpPr>
        <xdr:spPr>
          <a:xfrm>
            <a:off x="14215335" y="7720061"/>
            <a:ext cx="592865" cy="250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0" name="Oval 219"/>
          <xdr:cNvSpPr/>
        </xdr:nvSpPr>
        <xdr:spPr bwMode="auto">
          <a:xfrm>
            <a:off x="14224000" y="8153400"/>
            <a:ext cx="495300" cy="48259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10</a:t>
            </a:r>
          </a:p>
        </xdr:txBody>
      </xdr:sp>
      <xdr:cxnSp macro="">
        <xdr:nvCxnSpPr>
          <xdr:cNvPr id="223" name="Elbow Connector 222"/>
          <xdr:cNvCxnSpPr>
            <a:stCxn id="47" idx="2"/>
            <a:endCxn id="220" idx="1"/>
          </xdr:cNvCxnSpPr>
        </xdr:nvCxnSpPr>
        <xdr:spPr>
          <a:xfrm rot="16200000" flipH="1">
            <a:off x="13899493" y="7827032"/>
            <a:ext cx="261749" cy="53233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6" name="Elbow Connector 225"/>
          <xdr:cNvCxnSpPr>
            <a:stCxn id="192" idx="2"/>
            <a:endCxn id="220" idx="7"/>
          </xdr:cNvCxnSpPr>
        </xdr:nvCxnSpPr>
        <xdr:spPr>
          <a:xfrm rot="5400000">
            <a:off x="14823430" y="7788168"/>
            <a:ext cx="259243" cy="61257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1" name="Rectangle 230"/>
          <xdr:cNvSpPr/>
        </xdr:nvSpPr>
        <xdr:spPr bwMode="auto">
          <a:xfrm>
            <a:off x="3924300" y="4864100"/>
            <a:ext cx="2682856" cy="1356660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232" name="Rounded Rectangle 231"/>
          <xdr:cNvSpPr/>
        </xdr:nvSpPr>
        <xdr:spPr bwMode="auto">
          <a:xfrm>
            <a:off x="4749800" y="5346700"/>
            <a:ext cx="10165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Environment</a:t>
            </a:r>
          </a:p>
        </xdr:txBody>
      </xdr:sp>
      <xdr:cxnSp macro="">
        <xdr:nvCxnSpPr>
          <xdr:cNvPr id="233" name="Elbow Connector 232"/>
          <xdr:cNvCxnSpPr>
            <a:stCxn id="6" idx="1"/>
            <a:endCxn id="232" idx="0"/>
          </xdr:cNvCxnSpPr>
        </xdr:nvCxnSpPr>
        <xdr:spPr>
          <a:xfrm rot="16200000" flipH="1" flipV="1">
            <a:off x="5433149" y="3658637"/>
            <a:ext cx="1513000" cy="1863125"/>
          </a:xfrm>
          <a:prstGeom prst="bentConnector3">
            <a:avLst>
              <a:gd name="adj1" fmla="val -19126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6" name="Elbow Connector 235"/>
          <xdr:cNvCxnSpPr>
            <a:stCxn id="9" idx="1"/>
            <a:endCxn id="232" idx="3"/>
          </xdr:cNvCxnSpPr>
        </xdr:nvCxnSpPr>
        <xdr:spPr>
          <a:xfrm rot="10800000" flipV="1">
            <a:off x="5766372" y="4943518"/>
            <a:ext cx="8012081" cy="645447"/>
          </a:xfrm>
          <a:prstGeom prst="bentConnector3">
            <a:avLst>
              <a:gd name="adj1" fmla="val 75837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" name="Elbow Connector 242"/>
          <xdr:cNvCxnSpPr>
            <a:stCxn id="232" idx="2"/>
            <a:endCxn id="30" idx="1"/>
          </xdr:cNvCxnSpPr>
        </xdr:nvCxnSpPr>
        <xdr:spPr>
          <a:xfrm rot="16200000" flipH="1">
            <a:off x="5284461" y="5804856"/>
            <a:ext cx="1806502" cy="1859253"/>
          </a:xfrm>
          <a:prstGeom prst="bentConnector3">
            <a:avLst>
              <a:gd name="adj1" fmla="val 76012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Elbow Connector 251"/>
          <xdr:cNvCxnSpPr>
            <a:stCxn id="375" idx="2"/>
            <a:endCxn id="183" idx="2"/>
          </xdr:cNvCxnSpPr>
        </xdr:nvCxnSpPr>
        <xdr:spPr>
          <a:xfrm rot="10800000" flipH="1">
            <a:off x="2425700" y="18719486"/>
            <a:ext cx="215048" cy="772899"/>
          </a:xfrm>
          <a:prstGeom prst="bentConnector4">
            <a:avLst>
              <a:gd name="adj1" fmla="val -106302"/>
              <a:gd name="adj2" fmla="val 81083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2" name="Rectangle 261"/>
          <xdr:cNvSpPr/>
        </xdr:nvSpPr>
        <xdr:spPr bwMode="auto">
          <a:xfrm>
            <a:off x="436765" y="13730400"/>
            <a:ext cx="1519034" cy="1356660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263" name="Rounded Rectangle 262"/>
          <xdr:cNvSpPr/>
        </xdr:nvSpPr>
        <xdr:spPr bwMode="auto">
          <a:xfrm>
            <a:off x="647700" y="14213000"/>
            <a:ext cx="981982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Environment</a:t>
            </a:r>
          </a:p>
        </xdr:txBody>
      </xdr:sp>
      <xdr:cxnSp macro="">
        <xdr:nvCxnSpPr>
          <xdr:cNvPr id="264" name="Elbow Connector 263"/>
          <xdr:cNvCxnSpPr>
            <a:stCxn id="294" idx="3"/>
            <a:endCxn id="263" idx="0"/>
          </xdr:cNvCxnSpPr>
        </xdr:nvCxnSpPr>
        <xdr:spPr>
          <a:xfrm rot="5400000">
            <a:off x="1995132" y="12605242"/>
            <a:ext cx="751317" cy="2464198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6" name="Elbow Connector 265"/>
          <xdr:cNvCxnSpPr>
            <a:endCxn id="263" idx="3"/>
          </xdr:cNvCxnSpPr>
        </xdr:nvCxnSpPr>
        <xdr:spPr>
          <a:xfrm rot="10800000">
            <a:off x="1629682" y="14455266"/>
            <a:ext cx="8492218" cy="22734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8" name="Elbow Connector 267"/>
          <xdr:cNvCxnSpPr>
            <a:stCxn id="263" idx="2"/>
            <a:endCxn id="306" idx="2"/>
          </xdr:cNvCxnSpPr>
        </xdr:nvCxnSpPr>
        <xdr:spPr>
          <a:xfrm rot="16200000" flipH="1">
            <a:off x="1139071" y="14697151"/>
            <a:ext cx="2409390" cy="24101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6" name="Rounded Rectangle 275"/>
          <xdr:cNvSpPr/>
        </xdr:nvSpPr>
        <xdr:spPr bwMode="auto">
          <a:xfrm>
            <a:off x="11521500" y="166497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-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Outdoor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cxnSp macro="">
        <xdr:nvCxnSpPr>
          <xdr:cNvPr id="277" name="Elbow Connector 276"/>
          <xdr:cNvCxnSpPr>
            <a:stCxn id="281" idx="3"/>
            <a:endCxn id="276" idx="1"/>
          </xdr:cNvCxnSpPr>
        </xdr:nvCxnSpPr>
        <xdr:spPr>
          <a:xfrm flipV="1">
            <a:off x="10820971" y="16891966"/>
            <a:ext cx="700529" cy="12700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8" name="Oval 277"/>
          <xdr:cNvSpPr/>
        </xdr:nvSpPr>
        <xdr:spPr bwMode="auto">
          <a:xfrm>
            <a:off x="10937300" y="17322800"/>
            <a:ext cx="495300" cy="48259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12</a:t>
            </a:r>
          </a:p>
        </xdr:txBody>
      </xdr:sp>
      <xdr:cxnSp macro="">
        <xdr:nvCxnSpPr>
          <xdr:cNvPr id="279" name="Elbow Connector 278"/>
          <xdr:cNvCxnSpPr>
            <a:endCxn id="278" idx="1"/>
          </xdr:cNvCxnSpPr>
        </xdr:nvCxnSpPr>
        <xdr:spPr>
          <a:xfrm rot="16200000" flipH="1">
            <a:off x="10612793" y="16996432"/>
            <a:ext cx="261749" cy="53233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0" name="Elbow Connector 279"/>
          <xdr:cNvCxnSpPr>
            <a:stCxn id="276" idx="2"/>
            <a:endCxn id="278" idx="7"/>
          </xdr:cNvCxnSpPr>
        </xdr:nvCxnSpPr>
        <xdr:spPr>
          <a:xfrm rot="5400000">
            <a:off x="11536730" y="16957568"/>
            <a:ext cx="259243" cy="61257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1" name="Rounded Rectangle 280"/>
          <xdr:cNvSpPr/>
        </xdr:nvSpPr>
        <xdr:spPr bwMode="auto">
          <a:xfrm>
            <a:off x="9918700" y="166624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- Indoor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93" name="Oval 292"/>
          <xdr:cNvSpPr/>
        </xdr:nvSpPr>
        <xdr:spPr bwMode="auto">
          <a:xfrm>
            <a:off x="11064298" y="16078200"/>
            <a:ext cx="505401" cy="45720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11</a:t>
            </a:r>
          </a:p>
        </xdr:txBody>
      </xdr:sp>
      <xdr:cxnSp macro="">
        <xdr:nvCxnSpPr>
          <xdr:cNvPr id="307" name="Elbow Connector 306"/>
          <xdr:cNvCxnSpPr>
            <a:stCxn id="293" idx="3"/>
            <a:endCxn id="281" idx="0"/>
          </xdr:cNvCxnSpPr>
        </xdr:nvCxnSpPr>
        <xdr:spPr>
          <a:xfrm rot="5400000">
            <a:off x="10657097" y="16181184"/>
            <a:ext cx="193955" cy="76847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5" name="Elbow Connector 354"/>
          <xdr:cNvCxnSpPr>
            <a:stCxn id="293" idx="6"/>
            <a:endCxn id="276" idx="0"/>
          </xdr:cNvCxnSpPr>
        </xdr:nvCxnSpPr>
        <xdr:spPr>
          <a:xfrm>
            <a:off x="11569699" y="16306800"/>
            <a:ext cx="402937" cy="342900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6" name="Rectangle 375"/>
          <xdr:cNvSpPr/>
        </xdr:nvSpPr>
        <xdr:spPr bwMode="auto">
          <a:xfrm>
            <a:off x="228600" y="4940300"/>
            <a:ext cx="2264128" cy="726722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Environment</a:t>
            </a:r>
          </a:p>
        </xdr:txBody>
      </xdr:sp>
      <xdr:sp macro="" textlink="">
        <xdr:nvSpPr>
          <xdr:cNvPr id="215" name="Rectangle 214"/>
          <xdr:cNvSpPr/>
        </xdr:nvSpPr>
        <xdr:spPr>
          <a:xfrm>
            <a:off x="14859000" y="67691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u-31</a:t>
            </a:r>
          </a:p>
        </xdr:txBody>
      </xdr:sp>
      <xdr:sp macro="" textlink="">
        <xdr:nvSpPr>
          <xdr:cNvPr id="216" name="Rectangle 215"/>
          <xdr:cNvSpPr/>
        </xdr:nvSpPr>
        <xdr:spPr>
          <a:xfrm>
            <a:off x="13576300" y="70739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u-32</a:t>
            </a:r>
          </a:p>
        </xdr:txBody>
      </xdr:sp>
      <xdr:sp macro="" textlink="">
        <xdr:nvSpPr>
          <xdr:cNvPr id="218" name="Rectangle 217"/>
          <xdr:cNvSpPr/>
        </xdr:nvSpPr>
        <xdr:spPr>
          <a:xfrm>
            <a:off x="14224001" y="74422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u-33</a:t>
            </a:r>
          </a:p>
        </xdr:txBody>
      </xdr:sp>
      <xdr:sp macro="" textlink="">
        <xdr:nvSpPr>
          <xdr:cNvPr id="219" name="Rectangle 218"/>
          <xdr:cNvSpPr/>
        </xdr:nvSpPr>
        <xdr:spPr>
          <a:xfrm>
            <a:off x="14922500" y="81915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u-34</a:t>
            </a:r>
          </a:p>
        </xdr:txBody>
      </xdr:sp>
      <xdr:sp macro="" textlink="">
        <xdr:nvSpPr>
          <xdr:cNvPr id="221" name="Rectangle 220"/>
          <xdr:cNvSpPr/>
        </xdr:nvSpPr>
        <xdr:spPr>
          <a:xfrm>
            <a:off x="13639800" y="81534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u-35</a:t>
            </a:r>
          </a:p>
        </xdr:txBody>
      </xdr:sp>
      <xdr:sp macro="" textlink="">
        <xdr:nvSpPr>
          <xdr:cNvPr id="222" name="Rectangle 221"/>
          <xdr:cNvSpPr/>
        </xdr:nvSpPr>
        <xdr:spPr>
          <a:xfrm>
            <a:off x="5816600" y="32385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u-36</a:t>
            </a:r>
          </a:p>
        </xdr:txBody>
      </xdr:sp>
      <xdr:sp macro="" textlink="">
        <xdr:nvSpPr>
          <xdr:cNvPr id="224" name="Rectangle 223"/>
          <xdr:cNvSpPr/>
        </xdr:nvSpPr>
        <xdr:spPr>
          <a:xfrm>
            <a:off x="8166100" y="46609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u-37</a:t>
            </a:r>
          </a:p>
        </xdr:txBody>
      </xdr:sp>
      <xdr:sp macro="" textlink="">
        <xdr:nvSpPr>
          <xdr:cNvPr id="225" name="Rectangle 224"/>
          <xdr:cNvSpPr/>
        </xdr:nvSpPr>
        <xdr:spPr>
          <a:xfrm>
            <a:off x="5791200" y="68961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u-38</a:t>
            </a:r>
          </a:p>
        </xdr:txBody>
      </xdr:sp>
      <xdr:sp macro="" textlink="">
        <xdr:nvSpPr>
          <xdr:cNvPr id="227" name="Rectangle 226"/>
          <xdr:cNvSpPr/>
        </xdr:nvSpPr>
        <xdr:spPr>
          <a:xfrm>
            <a:off x="11730567" y="160866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l-31</a:t>
            </a:r>
          </a:p>
        </xdr:txBody>
      </xdr:sp>
      <xdr:sp macro="" textlink="">
        <xdr:nvSpPr>
          <xdr:cNvPr id="228" name="Rectangle 227"/>
          <xdr:cNvSpPr/>
        </xdr:nvSpPr>
        <xdr:spPr>
          <a:xfrm>
            <a:off x="10498667" y="163279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l-32</a:t>
            </a:r>
          </a:p>
        </xdr:txBody>
      </xdr:sp>
      <xdr:sp macro="" textlink="">
        <xdr:nvSpPr>
          <xdr:cNvPr id="229" name="Rectangle 228"/>
          <xdr:cNvSpPr/>
        </xdr:nvSpPr>
        <xdr:spPr>
          <a:xfrm>
            <a:off x="10930467" y="16632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l-33</a:t>
            </a:r>
          </a:p>
        </xdr:txBody>
      </xdr:sp>
      <xdr:sp macro="" textlink="">
        <xdr:nvSpPr>
          <xdr:cNvPr id="230" name="Rectangle 229"/>
          <xdr:cNvSpPr/>
        </xdr:nvSpPr>
        <xdr:spPr>
          <a:xfrm>
            <a:off x="11552767" y="173312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l-34</a:t>
            </a:r>
          </a:p>
        </xdr:txBody>
      </xdr:sp>
      <xdr:sp macro="" textlink="">
        <xdr:nvSpPr>
          <xdr:cNvPr id="234" name="Rectangle 233"/>
          <xdr:cNvSpPr/>
        </xdr:nvSpPr>
        <xdr:spPr>
          <a:xfrm>
            <a:off x="10358967" y="173312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l-35</a:t>
            </a:r>
          </a:p>
        </xdr:txBody>
      </xdr:sp>
      <xdr:sp macro="" textlink="">
        <xdr:nvSpPr>
          <xdr:cNvPr id="235" name="Rectangle 234"/>
          <xdr:cNvSpPr/>
        </xdr:nvSpPr>
        <xdr:spPr>
          <a:xfrm>
            <a:off x="2078567" y="13584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l-36</a:t>
            </a:r>
          </a:p>
        </xdr:txBody>
      </xdr:sp>
      <xdr:sp macro="" textlink="">
        <xdr:nvSpPr>
          <xdr:cNvPr id="237" name="Rectangle 236"/>
          <xdr:cNvSpPr/>
        </xdr:nvSpPr>
        <xdr:spPr>
          <a:xfrm>
            <a:off x="2027767" y="14219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l-37</a:t>
            </a:r>
          </a:p>
        </xdr:txBody>
      </xdr:sp>
      <xdr:sp macro="" textlink="">
        <xdr:nvSpPr>
          <xdr:cNvPr id="238" name="Rectangle 237"/>
          <xdr:cNvSpPr/>
        </xdr:nvSpPr>
        <xdr:spPr>
          <a:xfrm>
            <a:off x="1151467" y="154770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l-38</a:t>
            </a:r>
          </a:p>
        </xdr:txBody>
      </xdr:sp>
    </xdr:grpSp>
    <xdr:clientData/>
  </xdr:twoCellAnchor>
  <xdr:twoCellAnchor>
    <xdr:from>
      <xdr:col>8</xdr:col>
      <xdr:colOff>0</xdr:colOff>
      <xdr:row>53</xdr:row>
      <xdr:rowOff>63500</xdr:rowOff>
    </xdr:from>
    <xdr:to>
      <xdr:col>10</xdr:col>
      <xdr:colOff>479849</xdr:colOff>
      <xdr:row>57</xdr:row>
      <xdr:rowOff>22102</xdr:rowOff>
    </xdr:to>
    <xdr:cxnSp macro="">
      <xdr:nvCxnSpPr>
        <xdr:cNvPr id="240" name="Elbow Connector 239"/>
        <xdr:cNvCxnSpPr>
          <a:stCxn id="378" idx="0"/>
          <a:endCxn id="298" idx="1"/>
        </xdr:cNvCxnSpPr>
      </xdr:nvCxnSpPr>
      <xdr:spPr>
        <a:xfrm>
          <a:off x="4775200" y="10160000"/>
          <a:ext cx="1673649" cy="720602"/>
        </a:xfrm>
        <a:prstGeom prst="bentConnector2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190499</xdr:colOff>
      <xdr:row>52</xdr:row>
      <xdr:rowOff>101601</xdr:rowOff>
    </xdr:from>
    <xdr:to>
      <xdr:col>20</xdr:col>
      <xdr:colOff>351116</xdr:colOff>
      <xdr:row>69</xdr:row>
      <xdr:rowOff>26311</xdr:rowOff>
    </xdr:to>
    <xdr:cxnSp macro="">
      <xdr:nvCxnSpPr>
        <xdr:cNvPr id="244" name="Elbow Connector 243"/>
        <xdr:cNvCxnSpPr>
          <a:stCxn id="378" idx="3"/>
          <a:endCxn id="309" idx="1"/>
        </xdr:cNvCxnSpPr>
      </xdr:nvCxnSpPr>
      <xdr:spPr>
        <a:xfrm rot="16200000" flipH="1">
          <a:off x="6747353" y="7629047"/>
          <a:ext cx="3163210" cy="7920317"/>
        </a:xfrm>
        <a:prstGeom prst="bentConnector3">
          <a:avLst>
            <a:gd name="adj1" fmla="val -7227"/>
          </a:avLst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317500</xdr:colOff>
      <xdr:row>51</xdr:row>
      <xdr:rowOff>152400</xdr:rowOff>
    </xdr:from>
    <xdr:to>
      <xdr:col>20</xdr:col>
      <xdr:colOff>187807</xdr:colOff>
      <xdr:row>52</xdr:row>
      <xdr:rowOff>152208</xdr:rowOff>
    </xdr:to>
    <xdr:sp macro="" textlink="">
      <xdr:nvSpPr>
        <xdr:cNvPr id="247" name="Rectangle 246"/>
        <xdr:cNvSpPr/>
      </xdr:nvSpPr>
      <xdr:spPr>
        <a:xfrm>
          <a:off x="11658600" y="9867900"/>
          <a:ext cx="467207" cy="1903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l-43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95249</xdr:colOff>
      <xdr:row>39</xdr:row>
      <xdr:rowOff>83523</xdr:rowOff>
    </xdr:from>
    <xdr:to>
      <xdr:col>16</xdr:col>
      <xdr:colOff>440267</xdr:colOff>
      <xdr:row>53</xdr:row>
      <xdr:rowOff>167215</xdr:rowOff>
    </xdr:to>
    <xdr:pic>
      <xdr:nvPicPr>
        <xdr:cNvPr id="2" name="Picture 1" descr="Screen Shot 2016-05-19 at 11.10.28 AM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70582" y="7195523"/>
          <a:ext cx="5636684" cy="274010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122766</xdr:colOff>
      <xdr:row>55</xdr:row>
      <xdr:rowOff>19050</xdr:rowOff>
    </xdr:from>
    <xdr:to>
      <xdr:col>15</xdr:col>
      <xdr:colOff>473073</xdr:colOff>
      <xdr:row>80</xdr:row>
      <xdr:rowOff>68786</xdr:rowOff>
    </xdr:to>
    <xdr:pic>
      <xdr:nvPicPr>
        <xdr:cNvPr id="3" name="Picture 2" descr="Screen Shot 2016-05-20 at 10.23.32 AM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099" y="10168467"/>
          <a:ext cx="5049308" cy="4812236"/>
        </a:xfrm>
        <a:prstGeom prst="rect">
          <a:avLst/>
        </a:prstGeom>
      </xdr:spPr>
    </xdr:pic>
    <xdr:clientData/>
  </xdr:twoCellAnchor>
  <xdr:oneCellAnchor>
    <xdr:from>
      <xdr:col>19</xdr:col>
      <xdr:colOff>455083</xdr:colOff>
      <xdr:row>14</xdr:row>
      <xdr:rowOff>95250</xdr:rowOff>
    </xdr:from>
    <xdr:ext cx="6007574" cy="1107996"/>
    <xdr:sp macro="" textlink="">
      <xdr:nvSpPr>
        <xdr:cNvPr id="4" name="TextBox 3"/>
        <xdr:cNvSpPr txBox="1"/>
      </xdr:nvSpPr>
      <xdr:spPr>
        <a:xfrm>
          <a:off x="20549305" y="2875139"/>
          <a:ext cx="6007574" cy="1107996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Assumptions:</a:t>
          </a:r>
        </a:p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1-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Return flow from agricultural demand areas to surface and groundwater are split 50%-50%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2- Surface water and groundwater supplies to rural homes are split 50%-50%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3- Return flows from Rural homes indoor and outdoor go only to surface water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4- Desalination is included in wastewater reuse ratio calculations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5- Environment does not affect salinity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23</xdr:col>
      <xdr:colOff>331178</xdr:colOff>
      <xdr:row>39</xdr:row>
      <xdr:rowOff>44449</xdr:rowOff>
    </xdr:from>
    <xdr:to>
      <xdr:col>34</xdr:col>
      <xdr:colOff>24498</xdr:colOff>
      <xdr:row>57</xdr:row>
      <xdr:rowOff>92075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8877" t="23274" r="857" b="20022"/>
        <a:stretch/>
      </xdr:blipFill>
      <xdr:spPr>
        <a:xfrm>
          <a:off x="18952553" y="7216774"/>
          <a:ext cx="6189371" cy="346710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33</xdr:row>
      <xdr:rowOff>0</xdr:rowOff>
    </xdr:from>
    <xdr:to>
      <xdr:col>22</xdr:col>
      <xdr:colOff>228600</xdr:colOff>
      <xdr:row>61</xdr:row>
      <xdr:rowOff>57150</xdr:rowOff>
    </xdr:to>
    <xdr:sp macro="" textlink="">
      <xdr:nvSpPr>
        <xdr:cNvPr id="2" name="Rectangle 1"/>
        <xdr:cNvSpPr/>
      </xdr:nvSpPr>
      <xdr:spPr>
        <a:xfrm>
          <a:off x="4502150" y="6146800"/>
          <a:ext cx="10627783" cy="527261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209550</xdr:colOff>
      <xdr:row>0</xdr:row>
      <xdr:rowOff>171450</xdr:rowOff>
    </xdr:from>
    <xdr:to>
      <xdr:col>22</xdr:col>
      <xdr:colOff>552450</xdr:colOff>
      <xdr:row>28</xdr:row>
      <xdr:rowOff>171450</xdr:rowOff>
    </xdr:to>
    <xdr:sp macro="" textlink="">
      <xdr:nvSpPr>
        <xdr:cNvPr id="3" name="Rectangle 2"/>
        <xdr:cNvSpPr/>
      </xdr:nvSpPr>
      <xdr:spPr>
        <a:xfrm>
          <a:off x="4921250" y="171450"/>
          <a:ext cx="10439400" cy="4978400"/>
        </a:xfrm>
        <a:prstGeom prst="rect">
          <a:avLst/>
        </a:prstGeom>
        <a:solidFill>
          <a:schemeClr val="bg2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590550</xdr:colOff>
      <xdr:row>1</xdr:row>
      <xdr:rowOff>47625</xdr:rowOff>
    </xdr:from>
    <xdr:to>
      <xdr:col>22</xdr:col>
      <xdr:colOff>266700</xdr:colOff>
      <xdr:row>26</xdr:row>
      <xdr:rowOff>123825</xdr:rowOff>
    </xdr:to>
    <xdr:grpSp>
      <xdr:nvGrpSpPr>
        <xdr:cNvPr id="4" name="Group 261"/>
        <xdr:cNvGrpSpPr>
          <a:grpSpLocks/>
        </xdr:cNvGrpSpPr>
      </xdr:nvGrpSpPr>
      <xdr:grpSpPr bwMode="auto">
        <a:xfrm>
          <a:off x="4724400" y="238125"/>
          <a:ext cx="8534400" cy="4838700"/>
          <a:chOff x="4857750" y="238125"/>
          <a:chExt cx="8820150" cy="4838700"/>
        </a:xfrm>
      </xdr:grpSpPr>
      <xdr:sp macro="" textlink="">
        <xdr:nvSpPr>
          <xdr:cNvPr id="5" name="Isosceles Triangle 4"/>
          <xdr:cNvSpPr/>
        </xdr:nvSpPr>
        <xdr:spPr>
          <a:xfrm>
            <a:off x="4857750" y="714375"/>
            <a:ext cx="1276350" cy="81915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Reservoir</a:t>
            </a:r>
          </a:p>
        </xdr:txBody>
      </xdr:sp>
      <xdr:sp macro="" textlink="">
        <xdr:nvSpPr>
          <xdr:cNvPr id="6" name="Oval 5"/>
          <xdr:cNvSpPr/>
        </xdr:nvSpPr>
        <xdr:spPr>
          <a:xfrm>
            <a:off x="5200650" y="26574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7" name="Rounded Rectangle 6"/>
          <xdr:cNvSpPr/>
        </xdr:nvSpPr>
        <xdr:spPr>
          <a:xfrm>
            <a:off x="8305800" y="1609725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Indoor</a:t>
            </a:r>
          </a:p>
        </xdr:txBody>
      </xdr:sp>
      <xdr:sp macro="" textlink="">
        <xdr:nvSpPr>
          <xdr:cNvPr id="8" name="Rounded Rectangle 7"/>
          <xdr:cNvSpPr/>
        </xdr:nvSpPr>
        <xdr:spPr>
          <a:xfrm>
            <a:off x="9486900" y="19621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Outoor</a:t>
            </a:r>
          </a:p>
        </xdr:txBody>
      </xdr:sp>
      <xdr:sp macro="" textlink="">
        <xdr:nvSpPr>
          <xdr:cNvPr id="9" name="Isosceles Triangle 8"/>
          <xdr:cNvSpPr/>
        </xdr:nvSpPr>
        <xdr:spPr>
          <a:xfrm>
            <a:off x="10086975" y="838200"/>
            <a:ext cx="914400" cy="619125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10" name="Oval 9"/>
          <xdr:cNvSpPr/>
        </xdr:nvSpPr>
        <xdr:spPr>
          <a:xfrm>
            <a:off x="7229475" y="16287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11" name="Curved Connector 10"/>
          <xdr:cNvCxnSpPr>
            <a:stCxn id="7" idx="3"/>
            <a:endCxn id="8" idx="0"/>
          </xdr:cNvCxnSpPr>
        </xdr:nvCxnSpPr>
        <xdr:spPr>
          <a:xfrm>
            <a:off x="9220200" y="1838325"/>
            <a:ext cx="723900" cy="1238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2" name="Curved Connector 11"/>
          <xdr:cNvCxnSpPr>
            <a:stCxn id="9" idx="1"/>
            <a:endCxn id="10" idx="0"/>
          </xdr:cNvCxnSpPr>
        </xdr:nvCxnSpPr>
        <xdr:spPr>
          <a:xfrm rot="10800000" flipV="1">
            <a:off x="7353300" y="1143000"/>
            <a:ext cx="2962275" cy="4857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3" name="Curved Connector 12"/>
          <xdr:cNvCxnSpPr>
            <a:stCxn id="6" idx="7"/>
            <a:endCxn id="16" idx="2"/>
          </xdr:cNvCxnSpPr>
        </xdr:nvCxnSpPr>
        <xdr:spPr>
          <a:xfrm rot="5400000" flipH="1" flipV="1">
            <a:off x="5638800" y="2228850"/>
            <a:ext cx="238125" cy="6953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4" name="Curved Connector 13"/>
          <xdr:cNvCxnSpPr>
            <a:stCxn id="10" idx="6"/>
            <a:endCxn id="7" idx="1"/>
          </xdr:cNvCxnSpPr>
        </xdr:nvCxnSpPr>
        <xdr:spPr>
          <a:xfrm>
            <a:off x="7477125" y="1752600"/>
            <a:ext cx="828675" cy="85725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6" name="Snip Same Side Corner Rectangle 15"/>
          <xdr:cNvSpPr/>
        </xdr:nvSpPr>
        <xdr:spPr>
          <a:xfrm>
            <a:off x="6105525" y="2305050"/>
            <a:ext cx="609600" cy="304800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WTP</a:t>
            </a:r>
          </a:p>
        </xdr:txBody>
      </xdr:sp>
      <xdr:cxnSp macro="">
        <xdr:nvCxnSpPr>
          <xdr:cNvPr id="17" name="Curved Connector 16"/>
          <xdr:cNvCxnSpPr>
            <a:stCxn id="16" idx="0"/>
            <a:endCxn id="10" idx="2"/>
          </xdr:cNvCxnSpPr>
        </xdr:nvCxnSpPr>
        <xdr:spPr>
          <a:xfrm flipV="1">
            <a:off x="6715125" y="1752600"/>
            <a:ext cx="514350" cy="7048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8" name="Snip Same Side Corner Rectangle 17"/>
          <xdr:cNvSpPr/>
        </xdr:nvSpPr>
        <xdr:spPr>
          <a:xfrm>
            <a:off x="8382000" y="2533650"/>
            <a:ext cx="914400" cy="304800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WWTPu</a:t>
            </a:r>
          </a:p>
        </xdr:txBody>
      </xdr:sp>
      <xdr:cxnSp macro="">
        <xdr:nvCxnSpPr>
          <xdr:cNvPr id="19" name="Curved Connector 18"/>
          <xdr:cNvCxnSpPr>
            <a:stCxn id="7" idx="2"/>
            <a:endCxn id="18" idx="3"/>
          </xdr:cNvCxnSpPr>
        </xdr:nvCxnSpPr>
        <xdr:spPr>
          <a:xfrm rot="16200000" flipH="1">
            <a:off x="8562975" y="2257425"/>
            <a:ext cx="476250" cy="762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0" name="Curved Connector 19"/>
          <xdr:cNvCxnSpPr>
            <a:stCxn id="18" idx="0"/>
            <a:endCxn id="8" idx="2"/>
          </xdr:cNvCxnSpPr>
        </xdr:nvCxnSpPr>
        <xdr:spPr>
          <a:xfrm flipV="1">
            <a:off x="9296400" y="2409825"/>
            <a:ext cx="647700" cy="2762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1" name="Curved Connector 20"/>
          <xdr:cNvCxnSpPr>
            <a:stCxn id="18" idx="2"/>
            <a:endCxn id="10" idx="4"/>
          </xdr:cNvCxnSpPr>
        </xdr:nvCxnSpPr>
        <xdr:spPr>
          <a:xfrm rot="10800000">
            <a:off x="7353300" y="1876425"/>
            <a:ext cx="1028700" cy="8096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22" name="Rounded Rectangle 21"/>
          <xdr:cNvSpPr/>
        </xdr:nvSpPr>
        <xdr:spPr>
          <a:xfrm>
            <a:off x="11972925" y="3238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Indoor</a:t>
            </a:r>
          </a:p>
        </xdr:txBody>
      </xdr:sp>
      <xdr:sp macro="" textlink="">
        <xdr:nvSpPr>
          <xdr:cNvPr id="23" name="Rounded Rectangle 22"/>
          <xdr:cNvSpPr/>
        </xdr:nvSpPr>
        <xdr:spPr>
          <a:xfrm>
            <a:off x="12668250" y="10477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Outoor</a:t>
            </a:r>
          </a:p>
        </xdr:txBody>
      </xdr:sp>
      <xdr:sp macro="" textlink="">
        <xdr:nvSpPr>
          <xdr:cNvPr id="24" name="Snip Same Side Corner Rectangle 23"/>
          <xdr:cNvSpPr/>
        </xdr:nvSpPr>
        <xdr:spPr>
          <a:xfrm>
            <a:off x="11572875" y="1712890"/>
            <a:ext cx="914400" cy="294303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WWTPs</a:t>
            </a:r>
          </a:p>
        </xdr:txBody>
      </xdr:sp>
      <xdr:cxnSp macro="">
        <xdr:nvCxnSpPr>
          <xdr:cNvPr id="25" name="Curved Connector 24"/>
          <xdr:cNvCxnSpPr>
            <a:stCxn id="16" idx="3"/>
            <a:endCxn id="38" idx="1"/>
          </xdr:cNvCxnSpPr>
        </xdr:nvCxnSpPr>
        <xdr:spPr>
          <a:xfrm rot="5400000" flipH="1" flipV="1">
            <a:off x="8377237" y="-1062037"/>
            <a:ext cx="1400175" cy="5334000"/>
          </a:xfrm>
          <a:prstGeom prst="curvedConnector3">
            <a:avLst>
              <a:gd name="adj1" fmla="val 14335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6" name="Curved Connector 25"/>
          <xdr:cNvCxnSpPr>
            <a:stCxn id="9" idx="0"/>
            <a:endCxn id="38" idx="2"/>
          </xdr:cNvCxnSpPr>
        </xdr:nvCxnSpPr>
        <xdr:spPr>
          <a:xfrm rot="16200000" flipH="1">
            <a:off x="11049000" y="333375"/>
            <a:ext cx="152400" cy="1162050"/>
          </a:xfrm>
          <a:prstGeom prst="curvedConnector4">
            <a:avLst>
              <a:gd name="adj1" fmla="val -149999"/>
              <a:gd name="adj2" fmla="val 69672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7" name="Curved Connector 26"/>
          <xdr:cNvCxnSpPr>
            <a:stCxn id="22" idx="3"/>
            <a:endCxn id="23" idx="0"/>
          </xdr:cNvCxnSpPr>
        </xdr:nvCxnSpPr>
        <xdr:spPr>
          <a:xfrm>
            <a:off x="12887325" y="552450"/>
            <a:ext cx="238125" cy="49530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8" name="Curved Connector 27"/>
          <xdr:cNvCxnSpPr>
            <a:stCxn id="22" idx="2"/>
            <a:endCxn id="24" idx="3"/>
          </xdr:cNvCxnSpPr>
        </xdr:nvCxnSpPr>
        <xdr:spPr>
          <a:xfrm rot="5400000">
            <a:off x="11759418" y="1042182"/>
            <a:ext cx="941365" cy="4000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9" name="Curved Connector 28"/>
          <xdr:cNvCxnSpPr>
            <a:stCxn id="24" idx="2"/>
            <a:endCxn id="38" idx="4"/>
          </xdr:cNvCxnSpPr>
        </xdr:nvCxnSpPr>
        <xdr:spPr>
          <a:xfrm rot="10800000" flipH="1">
            <a:off x="11572875" y="1114425"/>
            <a:ext cx="257175" cy="745616"/>
          </a:xfrm>
          <a:prstGeom prst="curvedConnector4">
            <a:avLst>
              <a:gd name="adj1" fmla="val -79707"/>
              <a:gd name="adj2" fmla="val 59868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0" name="Curved Connector 29"/>
          <xdr:cNvCxnSpPr>
            <a:stCxn id="24" idx="0"/>
            <a:endCxn id="23" idx="2"/>
          </xdr:cNvCxnSpPr>
        </xdr:nvCxnSpPr>
        <xdr:spPr>
          <a:xfrm flipV="1">
            <a:off x="12487275" y="1495425"/>
            <a:ext cx="638175" cy="36461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1" name="Oval 30"/>
          <xdr:cNvSpPr/>
        </xdr:nvSpPr>
        <xdr:spPr>
          <a:xfrm>
            <a:off x="5467350" y="3943350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32" name="Curved Connector 31"/>
          <xdr:cNvCxnSpPr>
            <a:stCxn id="5" idx="3"/>
            <a:endCxn id="6" idx="0"/>
          </xdr:cNvCxnSpPr>
        </xdr:nvCxnSpPr>
        <xdr:spPr>
          <a:xfrm rot="5400000">
            <a:off x="4848225" y="2009775"/>
            <a:ext cx="1123950" cy="171450"/>
          </a:xfrm>
          <a:prstGeom prst="curvedConnector3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Curved Connector 32"/>
          <xdr:cNvCxnSpPr>
            <a:stCxn id="6" idx="4"/>
            <a:endCxn id="31" idx="0"/>
          </xdr:cNvCxnSpPr>
        </xdr:nvCxnSpPr>
        <xdr:spPr>
          <a:xfrm rot="16200000" flipH="1">
            <a:off x="4938712" y="3290888"/>
            <a:ext cx="1038225" cy="2667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Curved Connector 33"/>
          <xdr:cNvCxnSpPr>
            <a:stCxn id="18" idx="1"/>
            <a:endCxn id="31" idx="7"/>
          </xdr:cNvCxnSpPr>
        </xdr:nvCxnSpPr>
        <xdr:spPr>
          <a:xfrm rot="5400000">
            <a:off x="6686550" y="1828800"/>
            <a:ext cx="1143000" cy="31623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5" name="Curved Connector 34"/>
          <xdr:cNvCxnSpPr>
            <a:stCxn id="24" idx="1"/>
            <a:endCxn id="31" idx="6"/>
          </xdr:cNvCxnSpPr>
        </xdr:nvCxnSpPr>
        <xdr:spPr>
          <a:xfrm rot="5400000">
            <a:off x="7842546" y="-120354"/>
            <a:ext cx="2059983" cy="63150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6" name="Rectangle 35"/>
          <xdr:cNvSpPr/>
        </xdr:nvSpPr>
        <xdr:spPr>
          <a:xfrm>
            <a:off x="8115300" y="1533525"/>
            <a:ext cx="2362200" cy="13811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37" name="Rectangle 36"/>
          <xdr:cNvSpPr/>
        </xdr:nvSpPr>
        <xdr:spPr>
          <a:xfrm>
            <a:off x="11201400" y="238125"/>
            <a:ext cx="2476500" cy="18383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38" name="Oval 37"/>
          <xdr:cNvSpPr/>
        </xdr:nvSpPr>
        <xdr:spPr>
          <a:xfrm>
            <a:off x="11706225" y="8667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39" name="Curved Connector 38"/>
          <xdr:cNvCxnSpPr>
            <a:stCxn id="38" idx="0"/>
            <a:endCxn id="22" idx="1"/>
          </xdr:cNvCxnSpPr>
        </xdr:nvCxnSpPr>
        <xdr:spPr>
          <a:xfrm rot="5400000" flipH="1" flipV="1">
            <a:off x="11744325" y="638175"/>
            <a:ext cx="314325" cy="142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0" name="Curved Connector 39"/>
          <xdr:cNvCxnSpPr>
            <a:stCxn id="10" idx="5"/>
            <a:endCxn id="8" idx="1"/>
          </xdr:cNvCxnSpPr>
        </xdr:nvCxnSpPr>
        <xdr:spPr>
          <a:xfrm rot="16200000" flipH="1">
            <a:off x="8291513" y="985837"/>
            <a:ext cx="342900" cy="2047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1" name="Curved Connector 40"/>
          <xdr:cNvCxnSpPr>
            <a:stCxn id="38" idx="6"/>
            <a:endCxn id="23" idx="1"/>
          </xdr:cNvCxnSpPr>
        </xdr:nvCxnSpPr>
        <xdr:spPr>
          <a:xfrm>
            <a:off x="11953875" y="990600"/>
            <a:ext cx="714375" cy="2857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42" name="Rounded Rectangle 41"/>
          <xdr:cNvSpPr/>
        </xdr:nvSpPr>
        <xdr:spPr>
          <a:xfrm>
            <a:off x="9953625" y="4391025"/>
            <a:ext cx="914400" cy="447675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Ag</a:t>
            </a:r>
          </a:p>
        </xdr:txBody>
      </xdr:sp>
      <xdr:cxnSp macro="">
        <xdr:nvCxnSpPr>
          <xdr:cNvPr id="43" name="Curved Connector 42"/>
          <xdr:cNvCxnSpPr>
            <a:stCxn id="9" idx="4"/>
            <a:endCxn id="42" idx="3"/>
          </xdr:cNvCxnSpPr>
        </xdr:nvCxnSpPr>
        <xdr:spPr>
          <a:xfrm rot="5400000">
            <a:off x="9353550" y="2971800"/>
            <a:ext cx="3162300" cy="13335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4" name="Curved Connector 43"/>
          <xdr:cNvCxnSpPr>
            <a:stCxn id="6" idx="5"/>
            <a:endCxn id="42" idx="1"/>
          </xdr:cNvCxnSpPr>
        </xdr:nvCxnSpPr>
        <xdr:spPr>
          <a:xfrm rot="16200000" flipH="1">
            <a:off x="6805613" y="1471612"/>
            <a:ext cx="1752600" cy="45434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5" name="Curved Connector 44"/>
          <xdr:cNvCxnSpPr>
            <a:stCxn id="42" idx="2"/>
            <a:endCxn id="31" idx="4"/>
          </xdr:cNvCxnSpPr>
        </xdr:nvCxnSpPr>
        <xdr:spPr>
          <a:xfrm rot="5400000" flipH="1">
            <a:off x="7677150" y="2105025"/>
            <a:ext cx="647700" cy="4819650"/>
          </a:xfrm>
          <a:prstGeom prst="curvedConnector3">
            <a:avLst>
              <a:gd name="adj1" fmla="val -35294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6" name="Curved Connector 45"/>
          <xdr:cNvCxnSpPr>
            <a:stCxn id="42" idx="0"/>
            <a:endCxn id="9" idx="3"/>
          </xdr:cNvCxnSpPr>
        </xdr:nvCxnSpPr>
        <xdr:spPr>
          <a:xfrm rot="5400000" flipH="1" flipV="1">
            <a:off x="9010650" y="2857500"/>
            <a:ext cx="2933700" cy="1333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47" name="Rectangle 46"/>
          <xdr:cNvSpPr/>
        </xdr:nvSpPr>
        <xdr:spPr>
          <a:xfrm>
            <a:off x="9629775" y="4114800"/>
            <a:ext cx="1457325" cy="9620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48" name="Rounded Rectangle 47"/>
          <xdr:cNvSpPr/>
        </xdr:nvSpPr>
        <xdr:spPr>
          <a:xfrm>
            <a:off x="11077575" y="3305175"/>
            <a:ext cx="914400" cy="447675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Homes</a:t>
            </a:r>
          </a:p>
        </xdr:txBody>
      </xdr:sp>
      <xdr:cxnSp macro="">
        <xdr:nvCxnSpPr>
          <xdr:cNvPr id="49" name="Curved Connector 48"/>
          <xdr:cNvCxnSpPr>
            <a:stCxn id="6" idx="6"/>
            <a:endCxn id="48" idx="1"/>
          </xdr:cNvCxnSpPr>
        </xdr:nvCxnSpPr>
        <xdr:spPr>
          <a:xfrm>
            <a:off x="5448300" y="2781300"/>
            <a:ext cx="5629275" cy="752475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50" name="Rectangle 49"/>
          <xdr:cNvSpPr/>
        </xdr:nvSpPr>
        <xdr:spPr>
          <a:xfrm>
            <a:off x="10887075" y="3133725"/>
            <a:ext cx="1381125" cy="8858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51" name="Curved Connector 50"/>
          <xdr:cNvCxnSpPr>
            <a:stCxn id="48" idx="2"/>
            <a:endCxn id="31" idx="5"/>
          </xdr:cNvCxnSpPr>
        </xdr:nvCxnSpPr>
        <xdr:spPr>
          <a:xfrm rot="5400000">
            <a:off x="8405813" y="1023937"/>
            <a:ext cx="400050" cy="5857875"/>
          </a:xfrm>
          <a:prstGeom prst="curvedConnector3">
            <a:avLst>
              <a:gd name="adj1" fmla="val 165907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2" name="Curved Connector 51"/>
          <xdr:cNvCxnSpPr>
            <a:stCxn id="9" idx="5"/>
            <a:endCxn id="48" idx="0"/>
          </xdr:cNvCxnSpPr>
        </xdr:nvCxnSpPr>
        <xdr:spPr>
          <a:xfrm>
            <a:off x="10772775" y="1143000"/>
            <a:ext cx="762000" cy="21621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304800</xdr:colOff>
      <xdr:row>21</xdr:row>
      <xdr:rowOff>152400</xdr:rowOff>
    </xdr:from>
    <xdr:to>
      <xdr:col>21</xdr:col>
      <xdr:colOff>247650</xdr:colOff>
      <xdr:row>59</xdr:row>
      <xdr:rowOff>95250</xdr:rowOff>
    </xdr:to>
    <xdr:grpSp>
      <xdr:nvGrpSpPr>
        <xdr:cNvPr id="53" name="Group 262"/>
        <xdr:cNvGrpSpPr>
          <a:grpSpLocks/>
        </xdr:cNvGrpSpPr>
      </xdr:nvGrpSpPr>
      <xdr:grpSpPr bwMode="auto">
        <a:xfrm>
          <a:off x="4438650" y="4152900"/>
          <a:ext cx="8210550" cy="7181850"/>
          <a:chOff x="5200650" y="-2103192"/>
          <a:chExt cx="8477250" cy="7180017"/>
        </a:xfrm>
      </xdr:grpSpPr>
      <xdr:sp macro="" textlink="">
        <xdr:nvSpPr>
          <xdr:cNvPr id="54" name="Oval 53"/>
          <xdr:cNvSpPr/>
        </xdr:nvSpPr>
        <xdr:spPr>
          <a:xfrm>
            <a:off x="5200650" y="2658092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55" name="Rounded Rectangle 54"/>
          <xdr:cNvSpPr/>
        </xdr:nvSpPr>
        <xdr:spPr>
          <a:xfrm>
            <a:off x="8305800" y="1610610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Indoor</a:t>
            </a:r>
          </a:p>
        </xdr:txBody>
      </xdr:sp>
      <xdr:sp macro="" textlink="">
        <xdr:nvSpPr>
          <xdr:cNvPr id="56" name="Rounded Rectangle 55"/>
          <xdr:cNvSpPr/>
        </xdr:nvSpPr>
        <xdr:spPr>
          <a:xfrm>
            <a:off x="9486900" y="1962945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Outoor</a:t>
            </a:r>
          </a:p>
        </xdr:txBody>
      </xdr:sp>
      <xdr:sp macro="" textlink="">
        <xdr:nvSpPr>
          <xdr:cNvPr id="57" name="Isosceles Triangle 56"/>
          <xdr:cNvSpPr/>
        </xdr:nvSpPr>
        <xdr:spPr>
          <a:xfrm>
            <a:off x="10086975" y="839282"/>
            <a:ext cx="914400" cy="618967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58" name="Oval 57"/>
          <xdr:cNvSpPr/>
        </xdr:nvSpPr>
        <xdr:spPr>
          <a:xfrm>
            <a:off x="7229475" y="1629655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59" name="Curved Connector 58"/>
          <xdr:cNvCxnSpPr>
            <a:stCxn id="55" idx="3"/>
            <a:endCxn id="56" idx="0"/>
          </xdr:cNvCxnSpPr>
        </xdr:nvCxnSpPr>
        <xdr:spPr>
          <a:xfrm>
            <a:off x="9220200" y="1829629"/>
            <a:ext cx="723900" cy="13331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0" name="Curved Connector 59"/>
          <xdr:cNvCxnSpPr>
            <a:stCxn id="57" idx="1"/>
            <a:endCxn id="58" idx="0"/>
          </xdr:cNvCxnSpPr>
        </xdr:nvCxnSpPr>
        <xdr:spPr>
          <a:xfrm rot="10800000" flipV="1">
            <a:off x="7353300" y="1144004"/>
            <a:ext cx="2962275" cy="485651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1" name="Curved Connector 60"/>
          <xdr:cNvCxnSpPr>
            <a:stCxn id="54" idx="7"/>
            <a:endCxn id="64" idx="2"/>
          </xdr:cNvCxnSpPr>
        </xdr:nvCxnSpPr>
        <xdr:spPr>
          <a:xfrm rot="5400000" flipH="1" flipV="1">
            <a:off x="5638830" y="2229488"/>
            <a:ext cx="238064" cy="6953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2" name="Curved Connector 61"/>
          <xdr:cNvCxnSpPr>
            <a:stCxn id="58" idx="6"/>
            <a:endCxn id="55" idx="1"/>
          </xdr:cNvCxnSpPr>
        </xdr:nvCxnSpPr>
        <xdr:spPr>
          <a:xfrm>
            <a:off x="7477125" y="1753448"/>
            <a:ext cx="828675" cy="76181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64" name="Snip Same Side Corner Rectangle 63"/>
          <xdr:cNvSpPr/>
        </xdr:nvSpPr>
        <xdr:spPr>
          <a:xfrm>
            <a:off x="6105525" y="2305757"/>
            <a:ext cx="6096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WTP</a:t>
            </a:r>
          </a:p>
        </xdr:txBody>
      </xdr:sp>
      <xdr:cxnSp macro="">
        <xdr:nvCxnSpPr>
          <xdr:cNvPr id="65" name="Curved Connector 64"/>
          <xdr:cNvCxnSpPr>
            <a:stCxn id="64" idx="0"/>
            <a:endCxn id="58" idx="2"/>
          </xdr:cNvCxnSpPr>
        </xdr:nvCxnSpPr>
        <xdr:spPr>
          <a:xfrm flipV="1">
            <a:off x="6715125" y="1753448"/>
            <a:ext cx="514350" cy="70467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66" name="Snip Same Side Corner Rectangle 65"/>
          <xdr:cNvSpPr/>
        </xdr:nvSpPr>
        <xdr:spPr>
          <a:xfrm>
            <a:off x="8382000" y="2534299"/>
            <a:ext cx="9144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WWTPu</a:t>
            </a:r>
          </a:p>
        </xdr:txBody>
      </xdr:sp>
      <xdr:cxnSp macro="">
        <xdr:nvCxnSpPr>
          <xdr:cNvPr id="67" name="Curved Connector 66"/>
          <xdr:cNvCxnSpPr>
            <a:stCxn id="55" idx="2"/>
            <a:endCxn id="66" idx="3"/>
          </xdr:cNvCxnSpPr>
        </xdr:nvCxnSpPr>
        <xdr:spPr>
          <a:xfrm rot="16200000" flipH="1">
            <a:off x="8563036" y="2258135"/>
            <a:ext cx="476128" cy="762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8" name="Curved Connector 67"/>
          <xdr:cNvCxnSpPr>
            <a:stCxn id="66" idx="0"/>
            <a:endCxn id="56" idx="2"/>
          </xdr:cNvCxnSpPr>
        </xdr:nvCxnSpPr>
        <xdr:spPr>
          <a:xfrm flipV="1">
            <a:off x="9296400" y="2410506"/>
            <a:ext cx="647700" cy="276154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9" name="Curved Connector 68"/>
          <xdr:cNvCxnSpPr>
            <a:stCxn id="66" idx="2"/>
            <a:endCxn id="58" idx="4"/>
          </xdr:cNvCxnSpPr>
        </xdr:nvCxnSpPr>
        <xdr:spPr>
          <a:xfrm rot="10800000">
            <a:off x="7353300" y="1877242"/>
            <a:ext cx="1028700" cy="809418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70" name="Rounded Rectangle 69"/>
          <xdr:cNvSpPr/>
        </xdr:nvSpPr>
        <xdr:spPr>
          <a:xfrm>
            <a:off x="11972925" y="325063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Indoor</a:t>
            </a:r>
          </a:p>
        </xdr:txBody>
      </xdr:sp>
      <xdr:sp macro="" textlink="">
        <xdr:nvSpPr>
          <xdr:cNvPr id="71" name="Rounded Rectangle 70"/>
          <xdr:cNvSpPr/>
        </xdr:nvSpPr>
        <xdr:spPr>
          <a:xfrm>
            <a:off x="12668250" y="1048778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Outoor</a:t>
            </a:r>
          </a:p>
        </xdr:txBody>
      </xdr:sp>
      <xdr:sp macro="" textlink="">
        <xdr:nvSpPr>
          <xdr:cNvPr id="72" name="Snip Same Side Corner Rectangle 71"/>
          <xdr:cNvSpPr/>
        </xdr:nvSpPr>
        <xdr:spPr>
          <a:xfrm>
            <a:off x="11572875" y="1658223"/>
            <a:ext cx="9144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WWTPs</a:t>
            </a:r>
          </a:p>
        </xdr:txBody>
      </xdr:sp>
      <xdr:cxnSp macro="">
        <xdr:nvCxnSpPr>
          <xdr:cNvPr id="73" name="Curved Connector 72"/>
          <xdr:cNvCxnSpPr>
            <a:stCxn id="64" idx="3"/>
            <a:endCxn id="86" idx="1"/>
          </xdr:cNvCxnSpPr>
        </xdr:nvCxnSpPr>
        <xdr:spPr>
          <a:xfrm rot="5400000" flipH="1" flipV="1">
            <a:off x="8377416" y="-1061151"/>
            <a:ext cx="1399818" cy="5334000"/>
          </a:xfrm>
          <a:prstGeom prst="curvedConnector3">
            <a:avLst>
              <a:gd name="adj1" fmla="val 14335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4" name="Curved Connector 73"/>
          <xdr:cNvCxnSpPr>
            <a:stCxn id="57" idx="0"/>
            <a:endCxn id="86" idx="2"/>
          </xdr:cNvCxnSpPr>
        </xdr:nvCxnSpPr>
        <xdr:spPr>
          <a:xfrm rot="16200000" flipH="1">
            <a:off x="11049019" y="334437"/>
            <a:ext cx="152361" cy="1162050"/>
          </a:xfrm>
          <a:prstGeom prst="curvedConnector4">
            <a:avLst>
              <a:gd name="adj1" fmla="val -149999"/>
              <a:gd name="adj2" fmla="val 69672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5" name="Curved Connector 74"/>
          <xdr:cNvCxnSpPr>
            <a:stCxn id="70" idx="3"/>
            <a:endCxn id="71" idx="0"/>
          </xdr:cNvCxnSpPr>
        </xdr:nvCxnSpPr>
        <xdr:spPr>
          <a:xfrm>
            <a:off x="12887325" y="544082"/>
            <a:ext cx="238125" cy="50469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6" name="Curved Connector 75"/>
          <xdr:cNvCxnSpPr>
            <a:stCxn id="70" idx="2"/>
            <a:endCxn id="72" idx="3"/>
          </xdr:cNvCxnSpPr>
        </xdr:nvCxnSpPr>
        <xdr:spPr>
          <a:xfrm rot="5400000">
            <a:off x="11787300" y="1015399"/>
            <a:ext cx="885599" cy="400050"/>
          </a:xfrm>
          <a:prstGeom prst="curvedConnector3">
            <a:avLst>
              <a:gd name="adj1" fmla="val 41398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7" name="Curved Connector 76"/>
          <xdr:cNvCxnSpPr>
            <a:stCxn id="72" idx="2"/>
            <a:endCxn id="86" idx="4"/>
          </xdr:cNvCxnSpPr>
        </xdr:nvCxnSpPr>
        <xdr:spPr>
          <a:xfrm rot="10800000" flipH="1">
            <a:off x="11572875" y="1115436"/>
            <a:ext cx="257175" cy="695148"/>
          </a:xfrm>
          <a:prstGeom prst="curvedConnector4">
            <a:avLst>
              <a:gd name="adj1" fmla="val -88889"/>
              <a:gd name="adj2" fmla="val 60959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8" name="Curved Connector 77"/>
          <xdr:cNvCxnSpPr>
            <a:stCxn id="72" idx="0"/>
            <a:endCxn id="71" idx="2"/>
          </xdr:cNvCxnSpPr>
        </xdr:nvCxnSpPr>
        <xdr:spPr>
          <a:xfrm flipV="1">
            <a:off x="12487275" y="1496339"/>
            <a:ext cx="638175" cy="31424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79" name="Oval 78"/>
          <xdr:cNvSpPr/>
        </xdr:nvSpPr>
        <xdr:spPr>
          <a:xfrm>
            <a:off x="5467350" y="3943639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0" name="Curved Connector 79"/>
          <xdr:cNvCxnSpPr>
            <a:stCxn id="31" idx="3"/>
            <a:endCxn id="54" idx="0"/>
          </xdr:cNvCxnSpPr>
        </xdr:nvCxnSpPr>
        <xdr:spPr>
          <a:xfrm rot="5400000">
            <a:off x="3348646" y="-127363"/>
            <a:ext cx="4761284" cy="809625"/>
          </a:xfrm>
          <a:prstGeom prst="curvedConnector3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urved Connector 80"/>
          <xdr:cNvCxnSpPr>
            <a:stCxn id="54" idx="4"/>
            <a:endCxn id="79" idx="0"/>
          </xdr:cNvCxnSpPr>
        </xdr:nvCxnSpPr>
        <xdr:spPr>
          <a:xfrm rot="16200000" flipH="1">
            <a:off x="4938844" y="3291310"/>
            <a:ext cx="1037960" cy="2667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Curved Connector 81"/>
          <xdr:cNvCxnSpPr>
            <a:stCxn id="66" idx="1"/>
            <a:endCxn id="79" idx="7"/>
          </xdr:cNvCxnSpPr>
        </xdr:nvCxnSpPr>
        <xdr:spPr>
          <a:xfrm rot="5400000">
            <a:off x="6686696" y="1829225"/>
            <a:ext cx="1142708" cy="31623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3" name="Curved Connector 82"/>
          <xdr:cNvCxnSpPr>
            <a:stCxn id="72" idx="1"/>
            <a:endCxn id="79" idx="6"/>
          </xdr:cNvCxnSpPr>
        </xdr:nvCxnSpPr>
        <xdr:spPr>
          <a:xfrm rot="5400000">
            <a:off x="7820294" y="-142349"/>
            <a:ext cx="2104488" cy="63150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84" name="Rectangle 83"/>
          <xdr:cNvSpPr/>
        </xdr:nvSpPr>
        <xdr:spPr>
          <a:xfrm>
            <a:off x="8115300" y="1534429"/>
            <a:ext cx="2362200" cy="1380772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85" name="Rectangle 84"/>
          <xdr:cNvSpPr/>
        </xdr:nvSpPr>
        <xdr:spPr>
          <a:xfrm>
            <a:off x="11201400" y="239360"/>
            <a:ext cx="2476500" cy="1837856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86" name="Oval 85"/>
          <xdr:cNvSpPr/>
        </xdr:nvSpPr>
        <xdr:spPr>
          <a:xfrm>
            <a:off x="11706225" y="867850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7" name="Curved Connector 86"/>
          <xdr:cNvCxnSpPr>
            <a:stCxn id="86" idx="0"/>
            <a:endCxn id="70" idx="1"/>
          </xdr:cNvCxnSpPr>
        </xdr:nvCxnSpPr>
        <xdr:spPr>
          <a:xfrm rot="5400000" flipH="1" flipV="1">
            <a:off x="11739604" y="634528"/>
            <a:ext cx="323767" cy="142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8" name="Curved Connector 87"/>
          <xdr:cNvCxnSpPr>
            <a:stCxn id="58" idx="5"/>
            <a:endCxn id="56" idx="1"/>
          </xdr:cNvCxnSpPr>
        </xdr:nvCxnSpPr>
        <xdr:spPr>
          <a:xfrm rot="16200000" flipH="1">
            <a:off x="8291557" y="986620"/>
            <a:ext cx="342812" cy="2047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9" name="Curved Connector 88"/>
          <xdr:cNvCxnSpPr>
            <a:stCxn id="86" idx="6"/>
            <a:endCxn id="71" idx="1"/>
          </xdr:cNvCxnSpPr>
        </xdr:nvCxnSpPr>
        <xdr:spPr>
          <a:xfrm>
            <a:off x="11953875" y="991643"/>
            <a:ext cx="714375" cy="276154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0" name="Rounded Rectangle 89"/>
          <xdr:cNvSpPr/>
        </xdr:nvSpPr>
        <xdr:spPr>
          <a:xfrm>
            <a:off x="9953625" y="4391200"/>
            <a:ext cx="914400" cy="447561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Ag</a:t>
            </a:r>
          </a:p>
        </xdr:txBody>
      </xdr:sp>
      <xdr:cxnSp macro="">
        <xdr:nvCxnSpPr>
          <xdr:cNvPr id="91" name="Curved Connector 90"/>
          <xdr:cNvCxnSpPr>
            <a:stCxn id="57" idx="4"/>
            <a:endCxn id="90" idx="3"/>
          </xdr:cNvCxnSpPr>
        </xdr:nvCxnSpPr>
        <xdr:spPr>
          <a:xfrm rot="5400000">
            <a:off x="9358714" y="2967559"/>
            <a:ext cx="3151970" cy="13335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2" name="Curved Connector 91"/>
          <xdr:cNvCxnSpPr>
            <a:stCxn id="54" idx="5"/>
            <a:endCxn id="90" idx="1"/>
          </xdr:cNvCxnSpPr>
        </xdr:nvCxnSpPr>
        <xdr:spPr>
          <a:xfrm rot="16200000" flipH="1">
            <a:off x="6810597" y="1467192"/>
            <a:ext cx="1742630" cy="45434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3" name="Curved Connector 92"/>
          <xdr:cNvCxnSpPr>
            <a:stCxn id="90" idx="2"/>
            <a:endCxn id="79" idx="4"/>
          </xdr:cNvCxnSpPr>
        </xdr:nvCxnSpPr>
        <xdr:spPr>
          <a:xfrm rot="5400000" flipH="1">
            <a:off x="7677233" y="2105168"/>
            <a:ext cx="647535" cy="4819650"/>
          </a:xfrm>
          <a:prstGeom prst="curvedConnector3">
            <a:avLst>
              <a:gd name="adj1" fmla="val -35294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4" name="Curved Connector 93"/>
          <xdr:cNvCxnSpPr>
            <a:stCxn id="90" idx="0"/>
            <a:endCxn id="57" idx="3"/>
          </xdr:cNvCxnSpPr>
        </xdr:nvCxnSpPr>
        <xdr:spPr>
          <a:xfrm rot="5400000" flipH="1" flipV="1">
            <a:off x="9011024" y="2858049"/>
            <a:ext cx="2932951" cy="1333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5" name="Rectangle 94"/>
          <xdr:cNvSpPr/>
        </xdr:nvSpPr>
        <xdr:spPr>
          <a:xfrm>
            <a:off x="9629775" y="4115046"/>
            <a:ext cx="1457325" cy="96177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96" name="Rounded Rectangle 95"/>
          <xdr:cNvSpPr/>
        </xdr:nvSpPr>
        <xdr:spPr>
          <a:xfrm>
            <a:off x="11077575" y="3305627"/>
            <a:ext cx="914400" cy="447561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Homes</a:t>
            </a:r>
          </a:p>
        </xdr:txBody>
      </xdr:sp>
      <xdr:cxnSp macro="">
        <xdr:nvCxnSpPr>
          <xdr:cNvPr id="97" name="Curved Connector 96"/>
          <xdr:cNvCxnSpPr>
            <a:stCxn id="54" idx="6"/>
            <a:endCxn id="96" idx="1"/>
          </xdr:cNvCxnSpPr>
        </xdr:nvCxnSpPr>
        <xdr:spPr>
          <a:xfrm>
            <a:off x="5448300" y="2781886"/>
            <a:ext cx="5629275" cy="74276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8" name="Rectangle 97"/>
          <xdr:cNvSpPr/>
        </xdr:nvSpPr>
        <xdr:spPr>
          <a:xfrm>
            <a:off x="10887075" y="3134221"/>
            <a:ext cx="1381125" cy="88559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99" name="Curved Connector 98"/>
          <xdr:cNvCxnSpPr>
            <a:stCxn id="96" idx="2"/>
            <a:endCxn id="79" idx="5"/>
          </xdr:cNvCxnSpPr>
        </xdr:nvCxnSpPr>
        <xdr:spPr>
          <a:xfrm rot="5400000">
            <a:off x="8405864" y="1024224"/>
            <a:ext cx="399948" cy="5857875"/>
          </a:xfrm>
          <a:prstGeom prst="curvedConnector3">
            <a:avLst>
              <a:gd name="adj1" fmla="val 165907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00" name="Curved Connector 99"/>
          <xdr:cNvCxnSpPr>
            <a:stCxn id="57" idx="5"/>
            <a:endCxn id="96" idx="0"/>
          </xdr:cNvCxnSpPr>
        </xdr:nvCxnSpPr>
        <xdr:spPr>
          <a:xfrm>
            <a:off x="10772775" y="1144004"/>
            <a:ext cx="762000" cy="2161623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209550</xdr:colOff>
      <xdr:row>38</xdr:row>
      <xdr:rowOff>76200</xdr:rowOff>
    </xdr:from>
    <xdr:to>
      <xdr:col>9</xdr:col>
      <xdr:colOff>514350</xdr:colOff>
      <xdr:row>40</xdr:row>
      <xdr:rowOff>0</xdr:rowOff>
    </xdr:to>
    <xdr:sp macro="" textlink="">
      <xdr:nvSpPr>
        <xdr:cNvPr id="101" name="Snip Same Side Corner Rectangle 100"/>
        <xdr:cNvSpPr/>
      </xdr:nvSpPr>
      <xdr:spPr>
        <a:xfrm>
          <a:off x="5594350" y="6832600"/>
          <a:ext cx="977900" cy="279400"/>
        </a:xfrm>
        <a:prstGeom prst="snip2Same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Desal</a:t>
          </a:r>
        </a:p>
      </xdr:txBody>
    </xdr:sp>
    <xdr:clientData/>
  </xdr:twoCellAnchor>
  <xdr:twoCellAnchor>
    <xdr:from>
      <xdr:col>9</xdr:col>
      <xdr:colOff>514350</xdr:colOff>
      <xdr:row>39</xdr:row>
      <xdr:rowOff>38100</xdr:rowOff>
    </xdr:from>
    <xdr:to>
      <xdr:col>10</xdr:col>
      <xdr:colOff>541093</xdr:colOff>
      <xdr:row>41</xdr:row>
      <xdr:rowOff>112468</xdr:rowOff>
    </xdr:to>
    <xdr:cxnSp macro="">
      <xdr:nvCxnSpPr>
        <xdr:cNvPr id="102" name="Curved Connector 101"/>
        <xdr:cNvCxnSpPr>
          <a:stCxn id="101" idx="0"/>
          <a:endCxn id="58" idx="1"/>
        </xdr:cNvCxnSpPr>
      </xdr:nvCxnSpPr>
      <xdr:spPr>
        <a:xfrm>
          <a:off x="6572250" y="6972300"/>
          <a:ext cx="699843" cy="429968"/>
        </a:xfrm>
        <a:prstGeom prst="curvedConnector2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552450</xdr:colOff>
      <xdr:row>54</xdr:row>
      <xdr:rowOff>125657</xdr:rowOff>
    </xdr:from>
    <xdr:to>
      <xdr:col>7</xdr:col>
      <xdr:colOff>607768</xdr:colOff>
      <xdr:row>60</xdr:row>
      <xdr:rowOff>28575</xdr:rowOff>
    </xdr:to>
    <xdr:cxnSp macro="">
      <xdr:nvCxnSpPr>
        <xdr:cNvPr id="103" name="Curved Connector 102"/>
        <xdr:cNvCxnSpPr>
          <a:stCxn id="79" idx="3"/>
          <a:endCxn id="104" idx="0"/>
        </xdr:cNvCxnSpPr>
      </xdr:nvCxnSpPr>
      <xdr:spPr>
        <a:xfrm rot="5400000">
          <a:off x="3797300" y="9174407"/>
          <a:ext cx="969718" cy="2074618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60</xdr:row>
      <xdr:rowOff>28575</xdr:rowOff>
    </xdr:from>
    <xdr:to>
      <xdr:col>6</xdr:col>
      <xdr:colOff>161925</xdr:colOff>
      <xdr:row>64</xdr:row>
      <xdr:rowOff>180975</xdr:rowOff>
    </xdr:to>
    <xdr:sp macro="" textlink="">
      <xdr:nvSpPr>
        <xdr:cNvPr id="104" name="Oval 103"/>
        <xdr:cNvSpPr/>
      </xdr:nvSpPr>
      <xdr:spPr>
        <a:xfrm>
          <a:off x="2352675" y="10696575"/>
          <a:ext cx="1847850" cy="863600"/>
        </a:xfrm>
        <a:prstGeom prst="ellipse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Ocean</a:t>
          </a:r>
        </a:p>
      </xdr:txBody>
    </xdr:sp>
    <xdr:clientData/>
  </xdr:twoCellAnchor>
  <xdr:twoCellAnchor>
    <xdr:from>
      <xdr:col>3</xdr:col>
      <xdr:colOff>576088</xdr:colOff>
      <xdr:row>39</xdr:row>
      <xdr:rowOff>38100</xdr:rowOff>
    </xdr:from>
    <xdr:to>
      <xdr:col>8</xdr:col>
      <xdr:colOff>209550</xdr:colOff>
      <xdr:row>60</xdr:row>
      <xdr:rowOff>162486</xdr:rowOff>
    </xdr:to>
    <xdr:cxnSp macro="">
      <xdr:nvCxnSpPr>
        <xdr:cNvPr id="105" name="Curved Connector 104"/>
        <xdr:cNvCxnSpPr>
          <a:stCxn id="104" idx="1"/>
          <a:endCxn id="101" idx="2"/>
        </xdr:cNvCxnSpPr>
      </xdr:nvCxnSpPr>
      <xdr:spPr>
        <a:xfrm rot="5400000" flipH="1" flipV="1">
          <a:off x="2165776" y="7401912"/>
          <a:ext cx="3858186" cy="2998962"/>
        </a:xfrm>
        <a:prstGeom prst="curvedConnector2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138546</xdr:colOff>
      <xdr:row>9</xdr:row>
      <xdr:rowOff>8658</xdr:rowOff>
    </xdr:from>
    <xdr:to>
      <xdr:col>8</xdr:col>
      <xdr:colOff>545523</xdr:colOff>
      <xdr:row>10</xdr:row>
      <xdr:rowOff>8659</xdr:rowOff>
    </xdr:to>
    <xdr:sp macro="" textlink="">
      <xdr:nvSpPr>
        <xdr:cNvPr id="106" name="Rectangle 105"/>
        <xdr:cNvSpPr/>
      </xdr:nvSpPr>
      <xdr:spPr>
        <a:xfrm>
          <a:off x="5523346" y="160885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r-1</a:t>
          </a:r>
        </a:p>
      </xdr:txBody>
    </xdr:sp>
    <xdr:clientData/>
  </xdr:twoCellAnchor>
  <xdr:twoCellAnchor>
    <xdr:from>
      <xdr:col>8</xdr:col>
      <xdr:colOff>39833</xdr:colOff>
      <xdr:row>17</xdr:row>
      <xdr:rowOff>65808</xdr:rowOff>
    </xdr:from>
    <xdr:to>
      <xdr:col>8</xdr:col>
      <xdr:colOff>446810</xdr:colOff>
      <xdr:row>18</xdr:row>
      <xdr:rowOff>65809</xdr:rowOff>
    </xdr:to>
    <xdr:sp macro="" textlink="">
      <xdr:nvSpPr>
        <xdr:cNvPr id="107" name="Rectangle 106"/>
        <xdr:cNvSpPr/>
      </xdr:nvSpPr>
      <xdr:spPr>
        <a:xfrm>
          <a:off x="5424633" y="308840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r-2</a:t>
          </a:r>
        </a:p>
      </xdr:txBody>
    </xdr:sp>
    <xdr:clientData/>
  </xdr:twoCellAnchor>
  <xdr:twoCellAnchor>
    <xdr:from>
      <xdr:col>8</xdr:col>
      <xdr:colOff>112568</xdr:colOff>
      <xdr:row>25</xdr:row>
      <xdr:rowOff>25977</xdr:rowOff>
    </xdr:from>
    <xdr:to>
      <xdr:col>8</xdr:col>
      <xdr:colOff>519545</xdr:colOff>
      <xdr:row>26</xdr:row>
      <xdr:rowOff>25978</xdr:rowOff>
    </xdr:to>
    <xdr:sp macro="" textlink="">
      <xdr:nvSpPr>
        <xdr:cNvPr id="108" name="Rectangle 107"/>
        <xdr:cNvSpPr/>
      </xdr:nvSpPr>
      <xdr:spPr>
        <a:xfrm>
          <a:off x="5497368" y="4470977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r-3</a:t>
          </a:r>
        </a:p>
      </xdr:txBody>
    </xdr:sp>
    <xdr:clientData/>
  </xdr:twoCellAnchor>
  <xdr:twoCellAnchor>
    <xdr:from>
      <xdr:col>9</xdr:col>
      <xdr:colOff>8659</xdr:colOff>
      <xdr:row>11</xdr:row>
      <xdr:rowOff>155864</xdr:rowOff>
    </xdr:from>
    <xdr:to>
      <xdr:col>9</xdr:col>
      <xdr:colOff>415636</xdr:colOff>
      <xdr:row>12</xdr:row>
      <xdr:rowOff>155865</xdr:rowOff>
    </xdr:to>
    <xdr:sp macro="" textlink="">
      <xdr:nvSpPr>
        <xdr:cNvPr id="109" name="Rectangle 108"/>
        <xdr:cNvSpPr/>
      </xdr:nvSpPr>
      <xdr:spPr>
        <a:xfrm>
          <a:off x="6066559" y="2111664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u-4</a:t>
          </a:r>
        </a:p>
      </xdr:txBody>
    </xdr:sp>
    <xdr:clientData/>
  </xdr:twoCellAnchor>
  <xdr:twoCellAnchor>
    <xdr:from>
      <xdr:col>10</xdr:col>
      <xdr:colOff>294409</xdr:colOff>
      <xdr:row>6</xdr:row>
      <xdr:rowOff>8659</xdr:rowOff>
    </xdr:from>
    <xdr:to>
      <xdr:col>11</xdr:col>
      <xdr:colOff>95250</xdr:colOff>
      <xdr:row>7</xdr:row>
      <xdr:rowOff>8660</xdr:rowOff>
    </xdr:to>
    <xdr:sp macro="" textlink="">
      <xdr:nvSpPr>
        <xdr:cNvPr id="110" name="Rectangle 109"/>
        <xdr:cNvSpPr/>
      </xdr:nvSpPr>
      <xdr:spPr>
        <a:xfrm>
          <a:off x="7025409" y="1075459"/>
          <a:ext cx="473941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u-5</a:t>
          </a:r>
        </a:p>
      </xdr:txBody>
    </xdr:sp>
    <xdr:clientData/>
  </xdr:twoCellAnchor>
  <xdr:twoCellAnchor>
    <xdr:from>
      <xdr:col>11</xdr:col>
      <xdr:colOff>129886</xdr:colOff>
      <xdr:row>12</xdr:row>
      <xdr:rowOff>17318</xdr:rowOff>
    </xdr:from>
    <xdr:to>
      <xdr:col>11</xdr:col>
      <xdr:colOff>536863</xdr:colOff>
      <xdr:row>13</xdr:row>
      <xdr:rowOff>17319</xdr:rowOff>
    </xdr:to>
    <xdr:sp macro="" textlink="">
      <xdr:nvSpPr>
        <xdr:cNvPr id="111" name="Rectangle 110"/>
        <xdr:cNvSpPr/>
      </xdr:nvSpPr>
      <xdr:spPr>
        <a:xfrm>
          <a:off x="7533986" y="215091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u-6</a:t>
          </a:r>
        </a:p>
      </xdr:txBody>
    </xdr:sp>
    <xdr:clientData/>
  </xdr:twoCellAnchor>
  <xdr:twoCellAnchor>
    <xdr:from>
      <xdr:col>12</xdr:col>
      <xdr:colOff>346364</xdr:colOff>
      <xdr:row>5</xdr:row>
      <xdr:rowOff>164523</xdr:rowOff>
    </xdr:from>
    <xdr:to>
      <xdr:col>13</xdr:col>
      <xdr:colOff>147204</xdr:colOff>
      <xdr:row>6</xdr:row>
      <xdr:rowOff>164524</xdr:rowOff>
    </xdr:to>
    <xdr:sp macro="" textlink="">
      <xdr:nvSpPr>
        <xdr:cNvPr id="112" name="Rectangle 111"/>
        <xdr:cNvSpPr/>
      </xdr:nvSpPr>
      <xdr:spPr>
        <a:xfrm>
          <a:off x="8423564" y="1053523"/>
          <a:ext cx="473940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u-7</a:t>
          </a:r>
        </a:p>
      </xdr:txBody>
    </xdr:sp>
    <xdr:clientData/>
  </xdr:twoCellAnchor>
  <xdr:twoCellAnchor>
    <xdr:from>
      <xdr:col>12</xdr:col>
      <xdr:colOff>77932</xdr:colOff>
      <xdr:row>13</xdr:row>
      <xdr:rowOff>25977</xdr:rowOff>
    </xdr:from>
    <xdr:to>
      <xdr:col>12</xdr:col>
      <xdr:colOff>484909</xdr:colOff>
      <xdr:row>14</xdr:row>
      <xdr:rowOff>25978</xdr:rowOff>
    </xdr:to>
    <xdr:sp macro="" textlink="">
      <xdr:nvSpPr>
        <xdr:cNvPr id="113" name="Rectangle 112"/>
        <xdr:cNvSpPr/>
      </xdr:nvSpPr>
      <xdr:spPr>
        <a:xfrm>
          <a:off x="8155132" y="2337377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u-8</a:t>
          </a:r>
        </a:p>
      </xdr:txBody>
    </xdr:sp>
    <xdr:clientData/>
  </xdr:twoCellAnchor>
  <xdr:twoCellAnchor>
    <xdr:from>
      <xdr:col>12</xdr:col>
      <xdr:colOff>268432</xdr:colOff>
      <xdr:row>8</xdr:row>
      <xdr:rowOff>25977</xdr:rowOff>
    </xdr:from>
    <xdr:to>
      <xdr:col>13</xdr:col>
      <xdr:colOff>69272</xdr:colOff>
      <xdr:row>9</xdr:row>
      <xdr:rowOff>25978</xdr:rowOff>
    </xdr:to>
    <xdr:sp macro="" textlink="">
      <xdr:nvSpPr>
        <xdr:cNvPr id="114" name="Rectangle 113"/>
        <xdr:cNvSpPr/>
      </xdr:nvSpPr>
      <xdr:spPr>
        <a:xfrm>
          <a:off x="8345632" y="1448377"/>
          <a:ext cx="473940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u-9</a:t>
          </a:r>
        </a:p>
      </xdr:txBody>
    </xdr:sp>
    <xdr:clientData/>
  </xdr:twoCellAnchor>
  <xdr:twoCellAnchor>
    <xdr:from>
      <xdr:col>12</xdr:col>
      <xdr:colOff>277091</xdr:colOff>
      <xdr:row>10</xdr:row>
      <xdr:rowOff>147204</xdr:rowOff>
    </xdr:from>
    <xdr:to>
      <xdr:col>13</xdr:col>
      <xdr:colOff>155863</xdr:colOff>
      <xdr:row>11</xdr:row>
      <xdr:rowOff>138545</xdr:rowOff>
    </xdr:to>
    <xdr:sp macro="" textlink="">
      <xdr:nvSpPr>
        <xdr:cNvPr id="115" name="Rectangle 114"/>
        <xdr:cNvSpPr/>
      </xdr:nvSpPr>
      <xdr:spPr>
        <a:xfrm>
          <a:off x="8354291" y="1925204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u-10</a:t>
          </a:r>
        </a:p>
      </xdr:txBody>
    </xdr:sp>
    <xdr:clientData/>
  </xdr:twoCellAnchor>
  <xdr:twoCellAnchor>
    <xdr:from>
      <xdr:col>15</xdr:col>
      <xdr:colOff>502227</xdr:colOff>
      <xdr:row>13</xdr:row>
      <xdr:rowOff>121227</xdr:rowOff>
    </xdr:from>
    <xdr:to>
      <xdr:col>16</xdr:col>
      <xdr:colOff>380999</xdr:colOff>
      <xdr:row>14</xdr:row>
      <xdr:rowOff>112568</xdr:rowOff>
    </xdr:to>
    <xdr:sp macro="" textlink="">
      <xdr:nvSpPr>
        <xdr:cNvPr id="116" name="Rectangle 115"/>
        <xdr:cNvSpPr/>
      </xdr:nvSpPr>
      <xdr:spPr>
        <a:xfrm>
          <a:off x="10598727" y="2432627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u-11</a:t>
          </a:r>
        </a:p>
      </xdr:txBody>
    </xdr:sp>
    <xdr:clientData/>
  </xdr:twoCellAnchor>
  <xdr:twoCellAnchor>
    <xdr:from>
      <xdr:col>13</xdr:col>
      <xdr:colOff>432955</xdr:colOff>
      <xdr:row>11</xdr:row>
      <xdr:rowOff>147205</xdr:rowOff>
    </xdr:from>
    <xdr:to>
      <xdr:col>14</xdr:col>
      <xdr:colOff>311728</xdr:colOff>
      <xdr:row>12</xdr:row>
      <xdr:rowOff>138546</xdr:rowOff>
    </xdr:to>
    <xdr:sp macro="" textlink="">
      <xdr:nvSpPr>
        <xdr:cNvPr id="117" name="Rectangle 116"/>
        <xdr:cNvSpPr/>
      </xdr:nvSpPr>
      <xdr:spPr>
        <a:xfrm>
          <a:off x="9183255" y="210300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u-12</a:t>
          </a:r>
        </a:p>
      </xdr:txBody>
    </xdr:sp>
    <xdr:clientData/>
  </xdr:twoCellAnchor>
  <xdr:twoCellAnchor>
    <xdr:from>
      <xdr:col>15</xdr:col>
      <xdr:colOff>303069</xdr:colOff>
      <xdr:row>8</xdr:row>
      <xdr:rowOff>129886</xdr:rowOff>
    </xdr:from>
    <xdr:to>
      <xdr:col>16</xdr:col>
      <xdr:colOff>181841</xdr:colOff>
      <xdr:row>9</xdr:row>
      <xdr:rowOff>121227</xdr:rowOff>
    </xdr:to>
    <xdr:sp macro="" textlink="">
      <xdr:nvSpPr>
        <xdr:cNvPr id="118" name="Rectangle 117"/>
        <xdr:cNvSpPr/>
      </xdr:nvSpPr>
      <xdr:spPr>
        <a:xfrm>
          <a:off x="10399569" y="1552286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u-13</a:t>
          </a:r>
        </a:p>
      </xdr:txBody>
    </xdr:sp>
    <xdr:clientData/>
  </xdr:twoCellAnchor>
  <xdr:twoCellAnchor>
    <xdr:from>
      <xdr:col>11</xdr:col>
      <xdr:colOff>406977</xdr:colOff>
      <xdr:row>16</xdr:row>
      <xdr:rowOff>138545</xdr:rowOff>
    </xdr:from>
    <xdr:to>
      <xdr:col>12</xdr:col>
      <xdr:colOff>285750</xdr:colOff>
      <xdr:row>17</xdr:row>
      <xdr:rowOff>129886</xdr:rowOff>
    </xdr:to>
    <xdr:sp macro="" textlink="">
      <xdr:nvSpPr>
        <xdr:cNvPr id="120" name="Rectangle 119"/>
        <xdr:cNvSpPr/>
      </xdr:nvSpPr>
      <xdr:spPr>
        <a:xfrm>
          <a:off x="7811077" y="298334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u-15</a:t>
          </a:r>
        </a:p>
      </xdr:txBody>
    </xdr:sp>
    <xdr:clientData/>
  </xdr:twoCellAnchor>
  <xdr:twoCellAnchor>
    <xdr:from>
      <xdr:col>9</xdr:col>
      <xdr:colOff>121228</xdr:colOff>
      <xdr:row>16</xdr:row>
      <xdr:rowOff>60614</xdr:rowOff>
    </xdr:from>
    <xdr:to>
      <xdr:col>10</xdr:col>
      <xdr:colOff>0</xdr:colOff>
      <xdr:row>17</xdr:row>
      <xdr:rowOff>51955</xdr:rowOff>
    </xdr:to>
    <xdr:sp macro="" textlink="">
      <xdr:nvSpPr>
        <xdr:cNvPr id="121" name="Rectangle 120"/>
        <xdr:cNvSpPr/>
      </xdr:nvSpPr>
      <xdr:spPr>
        <a:xfrm>
          <a:off x="6179128" y="2905414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u-16</a:t>
          </a:r>
        </a:p>
      </xdr:txBody>
    </xdr:sp>
    <xdr:clientData/>
  </xdr:twoCellAnchor>
  <xdr:twoCellAnchor>
    <xdr:from>
      <xdr:col>17</xdr:col>
      <xdr:colOff>381000</xdr:colOff>
      <xdr:row>12</xdr:row>
      <xdr:rowOff>164523</xdr:rowOff>
    </xdr:from>
    <xdr:to>
      <xdr:col>18</xdr:col>
      <xdr:colOff>259772</xdr:colOff>
      <xdr:row>13</xdr:row>
      <xdr:rowOff>155864</xdr:rowOff>
    </xdr:to>
    <xdr:sp macro="" textlink="">
      <xdr:nvSpPr>
        <xdr:cNvPr id="122" name="Rectangle 121"/>
        <xdr:cNvSpPr/>
      </xdr:nvSpPr>
      <xdr:spPr>
        <a:xfrm>
          <a:off x="11823700" y="2298123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u-17</a:t>
          </a:r>
        </a:p>
      </xdr:txBody>
    </xdr:sp>
    <xdr:clientData/>
  </xdr:twoCellAnchor>
  <xdr:twoCellAnchor>
    <xdr:from>
      <xdr:col>13</xdr:col>
      <xdr:colOff>367530</xdr:colOff>
      <xdr:row>25</xdr:row>
      <xdr:rowOff>71197</xdr:rowOff>
    </xdr:from>
    <xdr:to>
      <xdr:col>14</xdr:col>
      <xdr:colOff>246303</xdr:colOff>
      <xdr:row>26</xdr:row>
      <xdr:rowOff>62539</xdr:rowOff>
    </xdr:to>
    <xdr:sp macro="" textlink="">
      <xdr:nvSpPr>
        <xdr:cNvPr id="123" name="Rectangle 122"/>
        <xdr:cNvSpPr/>
      </xdr:nvSpPr>
      <xdr:spPr>
        <a:xfrm>
          <a:off x="9172863" y="4727864"/>
          <a:ext cx="556107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u-18</a:t>
          </a:r>
        </a:p>
      </xdr:txBody>
    </xdr:sp>
    <xdr:clientData/>
  </xdr:twoCellAnchor>
  <xdr:twoCellAnchor>
    <xdr:from>
      <xdr:col>16</xdr:col>
      <xdr:colOff>233795</xdr:colOff>
      <xdr:row>15</xdr:row>
      <xdr:rowOff>112568</xdr:rowOff>
    </xdr:from>
    <xdr:to>
      <xdr:col>17</xdr:col>
      <xdr:colOff>112568</xdr:colOff>
      <xdr:row>16</xdr:row>
      <xdr:rowOff>103909</xdr:rowOff>
    </xdr:to>
    <xdr:sp macro="" textlink="">
      <xdr:nvSpPr>
        <xdr:cNvPr id="124" name="Rectangle 123"/>
        <xdr:cNvSpPr/>
      </xdr:nvSpPr>
      <xdr:spPr>
        <a:xfrm>
          <a:off x="11003395" y="2779568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u-19</a:t>
          </a:r>
        </a:p>
      </xdr:txBody>
    </xdr:sp>
    <xdr:clientData/>
  </xdr:twoCellAnchor>
  <xdr:twoCellAnchor>
    <xdr:from>
      <xdr:col>14</xdr:col>
      <xdr:colOff>280169</xdr:colOff>
      <xdr:row>16</xdr:row>
      <xdr:rowOff>155863</xdr:rowOff>
    </xdr:from>
    <xdr:to>
      <xdr:col>15</xdr:col>
      <xdr:colOff>158943</xdr:colOff>
      <xdr:row>17</xdr:row>
      <xdr:rowOff>147205</xdr:rowOff>
    </xdr:to>
    <xdr:sp macro="" textlink="">
      <xdr:nvSpPr>
        <xdr:cNvPr id="125" name="Rectangle 124"/>
        <xdr:cNvSpPr/>
      </xdr:nvSpPr>
      <xdr:spPr>
        <a:xfrm>
          <a:off x="9762836" y="3136130"/>
          <a:ext cx="556107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u-20</a:t>
          </a:r>
        </a:p>
      </xdr:txBody>
    </xdr:sp>
    <xdr:clientData/>
  </xdr:twoCellAnchor>
  <xdr:twoCellAnchor>
    <xdr:from>
      <xdr:col>18</xdr:col>
      <xdr:colOff>580158</xdr:colOff>
      <xdr:row>15</xdr:row>
      <xdr:rowOff>60614</xdr:rowOff>
    </xdr:from>
    <xdr:to>
      <xdr:col>19</xdr:col>
      <xdr:colOff>458931</xdr:colOff>
      <xdr:row>16</xdr:row>
      <xdr:rowOff>51955</xdr:rowOff>
    </xdr:to>
    <xdr:sp macro="" textlink="">
      <xdr:nvSpPr>
        <xdr:cNvPr id="126" name="Rectangle 125"/>
        <xdr:cNvSpPr/>
      </xdr:nvSpPr>
      <xdr:spPr>
        <a:xfrm>
          <a:off x="12695958" y="2727614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u-21</a:t>
          </a:r>
        </a:p>
      </xdr:txBody>
    </xdr:sp>
    <xdr:clientData/>
  </xdr:twoCellAnchor>
  <xdr:twoCellAnchor>
    <xdr:from>
      <xdr:col>14</xdr:col>
      <xdr:colOff>493568</xdr:colOff>
      <xdr:row>22</xdr:row>
      <xdr:rowOff>0</xdr:rowOff>
    </xdr:from>
    <xdr:to>
      <xdr:col>15</xdr:col>
      <xdr:colOff>372341</xdr:colOff>
      <xdr:row>22</xdr:row>
      <xdr:rowOff>181841</xdr:rowOff>
    </xdr:to>
    <xdr:sp macro="" textlink="">
      <xdr:nvSpPr>
        <xdr:cNvPr id="127" name="Rectangle 126"/>
        <xdr:cNvSpPr/>
      </xdr:nvSpPr>
      <xdr:spPr>
        <a:xfrm>
          <a:off x="9916968" y="3911600"/>
          <a:ext cx="551873" cy="1818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u-22</a:t>
          </a:r>
        </a:p>
      </xdr:txBody>
    </xdr:sp>
    <xdr:clientData/>
  </xdr:twoCellAnchor>
  <xdr:twoCellAnchor>
    <xdr:from>
      <xdr:col>16</xdr:col>
      <xdr:colOff>380999</xdr:colOff>
      <xdr:row>2</xdr:row>
      <xdr:rowOff>173182</xdr:rowOff>
    </xdr:from>
    <xdr:to>
      <xdr:col>17</xdr:col>
      <xdr:colOff>259772</xdr:colOff>
      <xdr:row>3</xdr:row>
      <xdr:rowOff>164523</xdr:rowOff>
    </xdr:to>
    <xdr:sp macro="" textlink="">
      <xdr:nvSpPr>
        <xdr:cNvPr id="128" name="Rectangle 127"/>
        <xdr:cNvSpPr/>
      </xdr:nvSpPr>
      <xdr:spPr>
        <a:xfrm>
          <a:off x="11150599" y="528782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u-23</a:t>
          </a:r>
        </a:p>
      </xdr:txBody>
    </xdr:sp>
    <xdr:clientData/>
  </xdr:twoCellAnchor>
  <xdr:twoCellAnchor>
    <xdr:from>
      <xdr:col>18</xdr:col>
      <xdr:colOff>423911</xdr:colOff>
      <xdr:row>7</xdr:row>
      <xdr:rowOff>162598</xdr:rowOff>
    </xdr:from>
    <xdr:to>
      <xdr:col>19</xdr:col>
      <xdr:colOff>302684</xdr:colOff>
      <xdr:row>8</xdr:row>
      <xdr:rowOff>153940</xdr:rowOff>
    </xdr:to>
    <xdr:sp macro="" textlink="">
      <xdr:nvSpPr>
        <xdr:cNvPr id="129" name="Rectangle 128"/>
        <xdr:cNvSpPr/>
      </xdr:nvSpPr>
      <xdr:spPr>
        <a:xfrm>
          <a:off x="12615911" y="1466465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u-24</a:t>
          </a:r>
        </a:p>
      </xdr:txBody>
    </xdr:sp>
    <xdr:clientData/>
  </xdr:twoCellAnchor>
  <xdr:twoCellAnchor>
    <xdr:from>
      <xdr:col>18</xdr:col>
      <xdr:colOff>519545</xdr:colOff>
      <xdr:row>2</xdr:row>
      <xdr:rowOff>8659</xdr:rowOff>
    </xdr:from>
    <xdr:to>
      <xdr:col>19</xdr:col>
      <xdr:colOff>398318</xdr:colOff>
      <xdr:row>3</xdr:row>
      <xdr:rowOff>0</xdr:rowOff>
    </xdr:to>
    <xdr:sp macro="" textlink="">
      <xdr:nvSpPr>
        <xdr:cNvPr id="130" name="Rectangle 129"/>
        <xdr:cNvSpPr/>
      </xdr:nvSpPr>
      <xdr:spPr>
        <a:xfrm>
          <a:off x="12635345" y="364259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u-25</a:t>
          </a:r>
        </a:p>
      </xdr:txBody>
    </xdr:sp>
    <xdr:clientData/>
  </xdr:twoCellAnchor>
  <xdr:twoCellAnchor>
    <xdr:from>
      <xdr:col>19</xdr:col>
      <xdr:colOff>329045</xdr:colOff>
      <xdr:row>4</xdr:row>
      <xdr:rowOff>112568</xdr:rowOff>
    </xdr:from>
    <xdr:to>
      <xdr:col>20</xdr:col>
      <xdr:colOff>207818</xdr:colOff>
      <xdr:row>5</xdr:row>
      <xdr:rowOff>103909</xdr:rowOff>
    </xdr:to>
    <xdr:sp macro="" textlink="">
      <xdr:nvSpPr>
        <xdr:cNvPr id="131" name="Rectangle 130"/>
        <xdr:cNvSpPr/>
      </xdr:nvSpPr>
      <xdr:spPr>
        <a:xfrm>
          <a:off x="13117945" y="823768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u-26</a:t>
          </a:r>
        </a:p>
      </xdr:txBody>
    </xdr:sp>
    <xdr:clientData/>
  </xdr:twoCellAnchor>
  <xdr:twoCellAnchor>
    <xdr:from>
      <xdr:col>19</xdr:col>
      <xdr:colOff>516851</xdr:colOff>
      <xdr:row>7</xdr:row>
      <xdr:rowOff>162214</xdr:rowOff>
    </xdr:from>
    <xdr:to>
      <xdr:col>20</xdr:col>
      <xdr:colOff>395624</xdr:colOff>
      <xdr:row>8</xdr:row>
      <xdr:rowOff>153555</xdr:rowOff>
    </xdr:to>
    <xdr:sp macro="" textlink="">
      <xdr:nvSpPr>
        <xdr:cNvPr id="132" name="Rectangle 131"/>
        <xdr:cNvSpPr/>
      </xdr:nvSpPr>
      <xdr:spPr>
        <a:xfrm>
          <a:off x="13386184" y="1466081"/>
          <a:ext cx="556107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u-3</a:t>
          </a:r>
        </a:p>
      </xdr:txBody>
    </xdr:sp>
    <xdr:clientData/>
  </xdr:twoCellAnchor>
  <xdr:twoCellAnchor>
    <xdr:from>
      <xdr:col>21</xdr:col>
      <xdr:colOff>207818</xdr:colOff>
      <xdr:row>3</xdr:row>
      <xdr:rowOff>86591</xdr:rowOff>
    </xdr:from>
    <xdr:to>
      <xdr:col>22</xdr:col>
      <xdr:colOff>86591</xdr:colOff>
      <xdr:row>4</xdr:row>
      <xdr:rowOff>77932</xdr:rowOff>
    </xdr:to>
    <xdr:sp macro="" textlink="">
      <xdr:nvSpPr>
        <xdr:cNvPr id="133" name="Rectangle 132"/>
        <xdr:cNvSpPr/>
      </xdr:nvSpPr>
      <xdr:spPr>
        <a:xfrm>
          <a:off x="14342918" y="619991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u-27</a:t>
          </a:r>
        </a:p>
      </xdr:txBody>
    </xdr:sp>
    <xdr:clientData/>
  </xdr:twoCellAnchor>
  <xdr:twoCellAnchor>
    <xdr:from>
      <xdr:col>21</xdr:col>
      <xdr:colOff>17318</xdr:colOff>
      <xdr:row>9</xdr:row>
      <xdr:rowOff>17318</xdr:rowOff>
    </xdr:from>
    <xdr:to>
      <xdr:col>21</xdr:col>
      <xdr:colOff>502227</xdr:colOff>
      <xdr:row>10</xdr:row>
      <xdr:rowOff>8659</xdr:rowOff>
    </xdr:to>
    <xdr:sp macro="" textlink="">
      <xdr:nvSpPr>
        <xdr:cNvPr id="134" name="Rectangle 133"/>
        <xdr:cNvSpPr/>
      </xdr:nvSpPr>
      <xdr:spPr>
        <a:xfrm>
          <a:off x="14152418" y="1617518"/>
          <a:ext cx="484909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</a:t>
          </a:r>
        </a:p>
      </xdr:txBody>
    </xdr:sp>
    <xdr:clientData/>
  </xdr:twoCellAnchor>
  <xdr:twoCellAnchor>
    <xdr:from>
      <xdr:col>13</xdr:col>
      <xdr:colOff>155863</xdr:colOff>
      <xdr:row>19</xdr:row>
      <xdr:rowOff>8659</xdr:rowOff>
    </xdr:from>
    <xdr:to>
      <xdr:col>14</xdr:col>
      <xdr:colOff>34636</xdr:colOff>
      <xdr:row>20</xdr:row>
      <xdr:rowOff>0</xdr:rowOff>
    </xdr:to>
    <xdr:sp macro="" textlink="">
      <xdr:nvSpPr>
        <xdr:cNvPr id="135" name="Rectangle 134"/>
        <xdr:cNvSpPr/>
      </xdr:nvSpPr>
      <xdr:spPr>
        <a:xfrm>
          <a:off x="8906163" y="3386859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</a:t>
          </a:r>
        </a:p>
      </xdr:txBody>
    </xdr:sp>
    <xdr:clientData/>
  </xdr:twoCellAnchor>
  <xdr:twoCellAnchor>
    <xdr:from>
      <xdr:col>7</xdr:col>
      <xdr:colOff>66675</xdr:colOff>
      <xdr:row>50</xdr:row>
      <xdr:rowOff>76200</xdr:rowOff>
    </xdr:from>
    <xdr:to>
      <xdr:col>7</xdr:col>
      <xdr:colOff>473652</xdr:colOff>
      <xdr:row>51</xdr:row>
      <xdr:rowOff>76201</xdr:rowOff>
    </xdr:to>
    <xdr:sp macro="" textlink="">
      <xdr:nvSpPr>
        <xdr:cNvPr id="136" name="Rectangle 135"/>
        <xdr:cNvSpPr/>
      </xdr:nvSpPr>
      <xdr:spPr>
        <a:xfrm>
          <a:off x="4778375" y="8966200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r-4</a:t>
          </a:r>
        </a:p>
      </xdr:txBody>
    </xdr:sp>
    <xdr:clientData/>
  </xdr:twoCellAnchor>
  <xdr:twoCellAnchor>
    <xdr:from>
      <xdr:col>5</xdr:col>
      <xdr:colOff>247650</xdr:colOff>
      <xdr:row>56</xdr:row>
      <xdr:rowOff>57150</xdr:rowOff>
    </xdr:from>
    <xdr:to>
      <xdr:col>6</xdr:col>
      <xdr:colOff>45027</xdr:colOff>
      <xdr:row>57</xdr:row>
      <xdr:rowOff>57151</xdr:rowOff>
    </xdr:to>
    <xdr:sp macro="" textlink="">
      <xdr:nvSpPr>
        <xdr:cNvPr id="137" name="Rectangle 136"/>
        <xdr:cNvSpPr/>
      </xdr:nvSpPr>
      <xdr:spPr>
        <a:xfrm>
          <a:off x="3613150" y="10013950"/>
          <a:ext cx="4704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r-5</a:t>
          </a:r>
        </a:p>
      </xdr:txBody>
    </xdr:sp>
    <xdr:clientData/>
  </xdr:twoCellAnchor>
  <xdr:twoCellAnchor>
    <xdr:from>
      <xdr:col>7</xdr:col>
      <xdr:colOff>590550</xdr:colOff>
      <xdr:row>44</xdr:row>
      <xdr:rowOff>171450</xdr:rowOff>
    </xdr:from>
    <xdr:to>
      <xdr:col>8</xdr:col>
      <xdr:colOff>469323</xdr:colOff>
      <xdr:row>45</xdr:row>
      <xdr:rowOff>162791</xdr:rowOff>
    </xdr:to>
    <xdr:sp macro="" textlink="">
      <xdr:nvSpPr>
        <xdr:cNvPr id="138" name="Rectangle 137"/>
        <xdr:cNvSpPr/>
      </xdr:nvSpPr>
      <xdr:spPr>
        <a:xfrm>
          <a:off x="5302250" y="7994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l-4</a:t>
          </a:r>
        </a:p>
      </xdr:txBody>
    </xdr:sp>
    <xdr:clientData/>
  </xdr:twoCellAnchor>
  <xdr:twoCellAnchor>
    <xdr:from>
      <xdr:col>11</xdr:col>
      <xdr:colOff>247650</xdr:colOff>
      <xdr:row>34</xdr:row>
      <xdr:rowOff>85725</xdr:rowOff>
    </xdr:from>
    <xdr:to>
      <xdr:col>12</xdr:col>
      <xdr:colOff>126423</xdr:colOff>
      <xdr:row>35</xdr:row>
      <xdr:rowOff>77066</xdr:rowOff>
    </xdr:to>
    <xdr:sp macro="" textlink="">
      <xdr:nvSpPr>
        <xdr:cNvPr id="139" name="Rectangle 138"/>
        <xdr:cNvSpPr/>
      </xdr:nvSpPr>
      <xdr:spPr>
        <a:xfrm>
          <a:off x="7651750" y="61309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l-5</a:t>
          </a:r>
        </a:p>
      </xdr:txBody>
    </xdr:sp>
    <xdr:clientData/>
  </xdr:twoCellAnchor>
  <xdr:twoCellAnchor>
    <xdr:from>
      <xdr:col>10</xdr:col>
      <xdr:colOff>133350</xdr:colOff>
      <xdr:row>44</xdr:row>
      <xdr:rowOff>161925</xdr:rowOff>
    </xdr:from>
    <xdr:to>
      <xdr:col>11</xdr:col>
      <xdr:colOff>12123</xdr:colOff>
      <xdr:row>45</xdr:row>
      <xdr:rowOff>153266</xdr:rowOff>
    </xdr:to>
    <xdr:sp macro="" textlink="">
      <xdr:nvSpPr>
        <xdr:cNvPr id="140" name="Rectangle 139"/>
        <xdr:cNvSpPr/>
      </xdr:nvSpPr>
      <xdr:spPr>
        <a:xfrm>
          <a:off x="6864350" y="79851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l-6</a:t>
          </a:r>
        </a:p>
      </xdr:txBody>
    </xdr:sp>
    <xdr:clientData/>
  </xdr:twoCellAnchor>
  <xdr:twoCellAnchor>
    <xdr:from>
      <xdr:col>4</xdr:col>
      <xdr:colOff>533400</xdr:colOff>
      <xdr:row>43</xdr:row>
      <xdr:rowOff>95250</xdr:rowOff>
    </xdr:from>
    <xdr:to>
      <xdr:col>5</xdr:col>
      <xdr:colOff>412173</xdr:colOff>
      <xdr:row>44</xdr:row>
      <xdr:rowOff>86591</xdr:rowOff>
    </xdr:to>
    <xdr:sp macro="" textlink="">
      <xdr:nvSpPr>
        <xdr:cNvPr id="141" name="Rectangle 140"/>
        <xdr:cNvSpPr/>
      </xdr:nvSpPr>
      <xdr:spPr>
        <a:xfrm>
          <a:off x="3225800" y="7740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l-29</a:t>
          </a:r>
        </a:p>
      </xdr:txBody>
    </xdr:sp>
    <xdr:clientData/>
  </xdr:twoCellAnchor>
  <xdr:twoCellAnchor>
    <xdr:from>
      <xdr:col>10</xdr:col>
      <xdr:colOff>276225</xdr:colOff>
      <xdr:row>39</xdr:row>
      <xdr:rowOff>66675</xdr:rowOff>
    </xdr:from>
    <xdr:to>
      <xdr:col>11</xdr:col>
      <xdr:colOff>154998</xdr:colOff>
      <xdr:row>40</xdr:row>
      <xdr:rowOff>58016</xdr:rowOff>
    </xdr:to>
    <xdr:sp macro="" textlink="">
      <xdr:nvSpPr>
        <xdr:cNvPr id="142" name="Rectangle 141"/>
        <xdr:cNvSpPr/>
      </xdr:nvSpPr>
      <xdr:spPr>
        <a:xfrm>
          <a:off x="7007225" y="70008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l-30</a:t>
          </a:r>
        </a:p>
      </xdr:txBody>
    </xdr:sp>
    <xdr:clientData/>
  </xdr:twoCellAnchor>
  <xdr:twoCellAnchor>
    <xdr:from>
      <xdr:col>12</xdr:col>
      <xdr:colOff>19050</xdr:colOff>
      <xdr:row>38</xdr:row>
      <xdr:rowOff>104775</xdr:rowOff>
    </xdr:from>
    <xdr:to>
      <xdr:col>12</xdr:col>
      <xdr:colOff>507423</xdr:colOff>
      <xdr:row>39</xdr:row>
      <xdr:rowOff>96116</xdr:rowOff>
    </xdr:to>
    <xdr:sp macro="" textlink="">
      <xdr:nvSpPr>
        <xdr:cNvPr id="143" name="Rectangle 142"/>
        <xdr:cNvSpPr/>
      </xdr:nvSpPr>
      <xdr:spPr>
        <a:xfrm>
          <a:off x="8096250" y="6861175"/>
          <a:ext cx="4883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l-7</a:t>
          </a:r>
        </a:p>
      </xdr:txBody>
    </xdr:sp>
    <xdr:clientData/>
  </xdr:twoCellAnchor>
  <xdr:twoCellAnchor>
    <xdr:from>
      <xdr:col>11</xdr:col>
      <xdr:colOff>190500</xdr:colOff>
      <xdr:row>45</xdr:row>
      <xdr:rowOff>161925</xdr:rowOff>
    </xdr:from>
    <xdr:to>
      <xdr:col>12</xdr:col>
      <xdr:colOff>69273</xdr:colOff>
      <xdr:row>46</xdr:row>
      <xdr:rowOff>153266</xdr:rowOff>
    </xdr:to>
    <xdr:sp macro="" textlink="">
      <xdr:nvSpPr>
        <xdr:cNvPr id="144" name="Rectangle 143"/>
        <xdr:cNvSpPr/>
      </xdr:nvSpPr>
      <xdr:spPr>
        <a:xfrm>
          <a:off x="7594600" y="81629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l-8</a:t>
          </a:r>
        </a:p>
      </xdr:txBody>
    </xdr:sp>
    <xdr:clientData/>
  </xdr:twoCellAnchor>
  <xdr:twoCellAnchor>
    <xdr:from>
      <xdr:col>11</xdr:col>
      <xdr:colOff>285750</xdr:colOff>
      <xdr:row>41</xdr:row>
      <xdr:rowOff>76200</xdr:rowOff>
    </xdr:from>
    <xdr:to>
      <xdr:col>12</xdr:col>
      <xdr:colOff>164523</xdr:colOff>
      <xdr:row>42</xdr:row>
      <xdr:rowOff>67541</xdr:rowOff>
    </xdr:to>
    <xdr:sp macro="" textlink="">
      <xdr:nvSpPr>
        <xdr:cNvPr id="145" name="Rectangle 144"/>
        <xdr:cNvSpPr/>
      </xdr:nvSpPr>
      <xdr:spPr>
        <a:xfrm>
          <a:off x="7689850" y="73660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l-9</a:t>
          </a:r>
        </a:p>
      </xdr:txBody>
    </xdr:sp>
    <xdr:clientData/>
  </xdr:twoCellAnchor>
  <xdr:twoCellAnchor>
    <xdr:from>
      <xdr:col>11</xdr:col>
      <xdr:colOff>304800</xdr:colOff>
      <xdr:row>43</xdr:row>
      <xdr:rowOff>57150</xdr:rowOff>
    </xdr:from>
    <xdr:to>
      <xdr:col>12</xdr:col>
      <xdr:colOff>183573</xdr:colOff>
      <xdr:row>44</xdr:row>
      <xdr:rowOff>48491</xdr:rowOff>
    </xdr:to>
    <xdr:sp macro="" textlink="">
      <xdr:nvSpPr>
        <xdr:cNvPr id="146" name="Rectangle 145"/>
        <xdr:cNvSpPr/>
      </xdr:nvSpPr>
      <xdr:spPr>
        <a:xfrm>
          <a:off x="7708900" y="77025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l-10</a:t>
          </a:r>
        </a:p>
      </xdr:txBody>
    </xdr:sp>
    <xdr:clientData/>
  </xdr:twoCellAnchor>
  <xdr:twoCellAnchor>
    <xdr:from>
      <xdr:col>14</xdr:col>
      <xdr:colOff>171450</xdr:colOff>
      <xdr:row>41</xdr:row>
      <xdr:rowOff>114300</xdr:rowOff>
    </xdr:from>
    <xdr:to>
      <xdr:col>15</xdr:col>
      <xdr:colOff>50223</xdr:colOff>
      <xdr:row>42</xdr:row>
      <xdr:rowOff>105641</xdr:rowOff>
    </xdr:to>
    <xdr:sp macro="" textlink="">
      <xdr:nvSpPr>
        <xdr:cNvPr id="147" name="Rectangle 146"/>
        <xdr:cNvSpPr/>
      </xdr:nvSpPr>
      <xdr:spPr>
        <a:xfrm>
          <a:off x="9594850" y="74041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l-13</a:t>
          </a:r>
        </a:p>
      </xdr:txBody>
    </xdr:sp>
    <xdr:clientData/>
  </xdr:twoCellAnchor>
  <xdr:twoCellAnchor>
    <xdr:from>
      <xdr:col>12</xdr:col>
      <xdr:colOff>447675</xdr:colOff>
      <xdr:row>44</xdr:row>
      <xdr:rowOff>95250</xdr:rowOff>
    </xdr:from>
    <xdr:to>
      <xdr:col>13</xdr:col>
      <xdr:colOff>326448</xdr:colOff>
      <xdr:row>45</xdr:row>
      <xdr:rowOff>86591</xdr:rowOff>
    </xdr:to>
    <xdr:sp macro="" textlink="">
      <xdr:nvSpPr>
        <xdr:cNvPr id="149" name="Rectangle 148"/>
        <xdr:cNvSpPr/>
      </xdr:nvSpPr>
      <xdr:spPr>
        <a:xfrm>
          <a:off x="8524875" y="79184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l-12</a:t>
          </a:r>
        </a:p>
      </xdr:txBody>
    </xdr:sp>
    <xdr:clientData/>
  </xdr:twoCellAnchor>
  <xdr:twoCellAnchor>
    <xdr:from>
      <xdr:col>14</xdr:col>
      <xdr:colOff>428625</xdr:colOff>
      <xdr:row>46</xdr:row>
      <xdr:rowOff>95250</xdr:rowOff>
    </xdr:from>
    <xdr:to>
      <xdr:col>15</xdr:col>
      <xdr:colOff>307398</xdr:colOff>
      <xdr:row>47</xdr:row>
      <xdr:rowOff>86591</xdr:rowOff>
    </xdr:to>
    <xdr:sp macro="" textlink="">
      <xdr:nvSpPr>
        <xdr:cNvPr id="150" name="Rectangle 149"/>
        <xdr:cNvSpPr/>
      </xdr:nvSpPr>
      <xdr:spPr>
        <a:xfrm>
          <a:off x="9852025" y="82740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l-11</a:t>
          </a:r>
        </a:p>
      </xdr:txBody>
    </xdr:sp>
    <xdr:clientData/>
  </xdr:twoCellAnchor>
  <xdr:twoCellAnchor>
    <xdr:from>
      <xdr:col>11</xdr:col>
      <xdr:colOff>152400</xdr:colOff>
      <xdr:row>49</xdr:row>
      <xdr:rowOff>95250</xdr:rowOff>
    </xdr:from>
    <xdr:to>
      <xdr:col>12</xdr:col>
      <xdr:colOff>31173</xdr:colOff>
      <xdr:row>50</xdr:row>
      <xdr:rowOff>86591</xdr:rowOff>
    </xdr:to>
    <xdr:sp macro="" textlink="">
      <xdr:nvSpPr>
        <xdr:cNvPr id="151" name="Rectangle 150"/>
        <xdr:cNvSpPr/>
      </xdr:nvSpPr>
      <xdr:spPr>
        <a:xfrm>
          <a:off x="7556500" y="88074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l-15</a:t>
          </a:r>
        </a:p>
      </xdr:txBody>
    </xdr:sp>
    <xdr:clientData/>
  </xdr:twoCellAnchor>
  <xdr:twoCellAnchor>
    <xdr:from>
      <xdr:col>8</xdr:col>
      <xdr:colOff>95250</xdr:colOff>
      <xdr:row>49</xdr:row>
      <xdr:rowOff>66675</xdr:rowOff>
    </xdr:from>
    <xdr:to>
      <xdr:col>8</xdr:col>
      <xdr:colOff>583623</xdr:colOff>
      <xdr:row>50</xdr:row>
      <xdr:rowOff>58016</xdr:rowOff>
    </xdr:to>
    <xdr:sp macro="" textlink="">
      <xdr:nvSpPr>
        <xdr:cNvPr id="152" name="Rectangle 151"/>
        <xdr:cNvSpPr/>
      </xdr:nvSpPr>
      <xdr:spPr>
        <a:xfrm>
          <a:off x="5480050" y="8778875"/>
          <a:ext cx="4883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l-16</a:t>
          </a:r>
        </a:p>
      </xdr:txBody>
    </xdr:sp>
    <xdr:clientData/>
  </xdr:twoCellAnchor>
  <xdr:twoCellAnchor>
    <xdr:from>
      <xdr:col>16</xdr:col>
      <xdr:colOff>400050</xdr:colOff>
      <xdr:row>45</xdr:row>
      <xdr:rowOff>0</xdr:rowOff>
    </xdr:from>
    <xdr:to>
      <xdr:col>17</xdr:col>
      <xdr:colOff>278823</xdr:colOff>
      <xdr:row>45</xdr:row>
      <xdr:rowOff>181841</xdr:rowOff>
    </xdr:to>
    <xdr:sp macro="" textlink="">
      <xdr:nvSpPr>
        <xdr:cNvPr id="153" name="Rectangle 152"/>
        <xdr:cNvSpPr/>
      </xdr:nvSpPr>
      <xdr:spPr>
        <a:xfrm>
          <a:off x="11169650" y="8001000"/>
          <a:ext cx="551873" cy="1818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l-17</a:t>
          </a:r>
        </a:p>
      </xdr:txBody>
    </xdr:sp>
    <xdr:clientData/>
  </xdr:twoCellAnchor>
  <xdr:twoCellAnchor>
    <xdr:from>
      <xdr:col>12</xdr:col>
      <xdr:colOff>171450</xdr:colOff>
      <xdr:row>58</xdr:row>
      <xdr:rowOff>76200</xdr:rowOff>
    </xdr:from>
    <xdr:to>
      <xdr:col>13</xdr:col>
      <xdr:colOff>50223</xdr:colOff>
      <xdr:row>59</xdr:row>
      <xdr:rowOff>67541</xdr:rowOff>
    </xdr:to>
    <xdr:sp macro="" textlink="">
      <xdr:nvSpPr>
        <xdr:cNvPr id="154" name="Rectangle 153"/>
        <xdr:cNvSpPr/>
      </xdr:nvSpPr>
      <xdr:spPr>
        <a:xfrm>
          <a:off x="8248650" y="103886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l-18</a:t>
          </a:r>
        </a:p>
      </xdr:txBody>
    </xdr:sp>
    <xdr:clientData/>
  </xdr:twoCellAnchor>
  <xdr:twoCellAnchor>
    <xdr:from>
      <xdr:col>15</xdr:col>
      <xdr:colOff>300566</xdr:colOff>
      <xdr:row>48</xdr:row>
      <xdr:rowOff>103716</xdr:rowOff>
    </xdr:from>
    <xdr:to>
      <xdr:col>16</xdr:col>
      <xdr:colOff>179339</xdr:colOff>
      <xdr:row>49</xdr:row>
      <xdr:rowOff>95057</xdr:rowOff>
    </xdr:to>
    <xdr:sp macro="" textlink="">
      <xdr:nvSpPr>
        <xdr:cNvPr id="155" name="Rectangle 154"/>
        <xdr:cNvSpPr/>
      </xdr:nvSpPr>
      <xdr:spPr>
        <a:xfrm>
          <a:off x="10460566" y="9044516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l-19</a:t>
          </a:r>
        </a:p>
      </xdr:txBody>
    </xdr:sp>
    <xdr:clientData/>
  </xdr:twoCellAnchor>
  <xdr:twoCellAnchor>
    <xdr:from>
      <xdr:col>16</xdr:col>
      <xdr:colOff>266700</xdr:colOff>
      <xdr:row>36</xdr:row>
      <xdr:rowOff>66675</xdr:rowOff>
    </xdr:from>
    <xdr:to>
      <xdr:col>17</xdr:col>
      <xdr:colOff>145473</xdr:colOff>
      <xdr:row>37</xdr:row>
      <xdr:rowOff>58016</xdr:rowOff>
    </xdr:to>
    <xdr:sp macro="" textlink="">
      <xdr:nvSpPr>
        <xdr:cNvPr id="156" name="Rectangle 155"/>
        <xdr:cNvSpPr/>
      </xdr:nvSpPr>
      <xdr:spPr>
        <a:xfrm>
          <a:off x="11036300" y="64674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l-23</a:t>
          </a:r>
        </a:p>
      </xdr:txBody>
    </xdr:sp>
    <xdr:clientData/>
  </xdr:twoCellAnchor>
  <xdr:twoCellAnchor>
    <xdr:from>
      <xdr:col>17</xdr:col>
      <xdr:colOff>485775</xdr:colOff>
      <xdr:row>34</xdr:row>
      <xdr:rowOff>114300</xdr:rowOff>
    </xdr:from>
    <xdr:to>
      <xdr:col>18</xdr:col>
      <xdr:colOff>364548</xdr:colOff>
      <xdr:row>35</xdr:row>
      <xdr:rowOff>105641</xdr:rowOff>
    </xdr:to>
    <xdr:sp macro="" textlink="">
      <xdr:nvSpPr>
        <xdr:cNvPr id="157" name="Rectangle 156"/>
        <xdr:cNvSpPr/>
      </xdr:nvSpPr>
      <xdr:spPr>
        <a:xfrm>
          <a:off x="11928475" y="61595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l-25</a:t>
          </a:r>
        </a:p>
      </xdr:txBody>
    </xdr:sp>
    <xdr:clientData/>
  </xdr:twoCellAnchor>
  <xdr:twoCellAnchor>
    <xdr:from>
      <xdr:col>17</xdr:col>
      <xdr:colOff>331259</xdr:colOff>
      <xdr:row>40</xdr:row>
      <xdr:rowOff>52916</xdr:rowOff>
    </xdr:from>
    <xdr:to>
      <xdr:col>18</xdr:col>
      <xdr:colOff>210032</xdr:colOff>
      <xdr:row>41</xdr:row>
      <xdr:rowOff>44258</xdr:rowOff>
    </xdr:to>
    <xdr:sp macro="" textlink="">
      <xdr:nvSpPr>
        <xdr:cNvPr id="158" name="Rectangle 157"/>
        <xdr:cNvSpPr/>
      </xdr:nvSpPr>
      <xdr:spPr>
        <a:xfrm>
          <a:off x="11845926" y="7503583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l-24</a:t>
          </a:r>
        </a:p>
      </xdr:txBody>
    </xdr:sp>
    <xdr:clientData/>
  </xdr:twoCellAnchor>
  <xdr:twoCellAnchor>
    <xdr:from>
      <xdr:col>18</xdr:col>
      <xdr:colOff>295275</xdr:colOff>
      <xdr:row>37</xdr:row>
      <xdr:rowOff>114300</xdr:rowOff>
    </xdr:from>
    <xdr:to>
      <xdr:col>19</xdr:col>
      <xdr:colOff>174048</xdr:colOff>
      <xdr:row>38</xdr:row>
      <xdr:rowOff>105641</xdr:rowOff>
    </xdr:to>
    <xdr:sp macro="" textlink="">
      <xdr:nvSpPr>
        <xdr:cNvPr id="159" name="Rectangle 158"/>
        <xdr:cNvSpPr/>
      </xdr:nvSpPr>
      <xdr:spPr>
        <a:xfrm>
          <a:off x="12411075" y="66929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l-26</a:t>
          </a:r>
        </a:p>
      </xdr:txBody>
    </xdr:sp>
    <xdr:clientData/>
  </xdr:twoCellAnchor>
  <xdr:twoCellAnchor>
    <xdr:from>
      <xdr:col>18</xdr:col>
      <xdr:colOff>323850</xdr:colOff>
      <xdr:row>40</xdr:row>
      <xdr:rowOff>16933</xdr:rowOff>
    </xdr:from>
    <xdr:to>
      <xdr:col>19</xdr:col>
      <xdr:colOff>202623</xdr:colOff>
      <xdr:row>41</xdr:row>
      <xdr:rowOff>8275</xdr:rowOff>
    </xdr:to>
    <xdr:sp macro="" textlink="">
      <xdr:nvSpPr>
        <xdr:cNvPr id="160" name="Rectangle 159"/>
        <xdr:cNvSpPr/>
      </xdr:nvSpPr>
      <xdr:spPr>
        <a:xfrm>
          <a:off x="12515850" y="7467600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l-3</a:t>
          </a:r>
        </a:p>
      </xdr:txBody>
    </xdr:sp>
    <xdr:clientData/>
  </xdr:twoCellAnchor>
  <xdr:twoCellAnchor>
    <xdr:from>
      <xdr:col>20</xdr:col>
      <xdr:colOff>190500</xdr:colOff>
      <xdr:row>35</xdr:row>
      <xdr:rowOff>152400</xdr:rowOff>
    </xdr:from>
    <xdr:to>
      <xdr:col>21</xdr:col>
      <xdr:colOff>69273</xdr:colOff>
      <xdr:row>36</xdr:row>
      <xdr:rowOff>143741</xdr:rowOff>
    </xdr:to>
    <xdr:sp macro="" textlink="">
      <xdr:nvSpPr>
        <xdr:cNvPr id="161" name="Rectangle 160"/>
        <xdr:cNvSpPr/>
      </xdr:nvSpPr>
      <xdr:spPr>
        <a:xfrm>
          <a:off x="13652500" y="63754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l-27</a:t>
          </a:r>
        </a:p>
      </xdr:txBody>
    </xdr:sp>
    <xdr:clientData/>
  </xdr:twoCellAnchor>
  <xdr:twoCellAnchor>
    <xdr:from>
      <xdr:col>19</xdr:col>
      <xdr:colOff>581025</xdr:colOff>
      <xdr:row>41</xdr:row>
      <xdr:rowOff>171450</xdr:rowOff>
    </xdr:from>
    <xdr:to>
      <xdr:col>20</xdr:col>
      <xdr:colOff>459798</xdr:colOff>
      <xdr:row>42</xdr:row>
      <xdr:rowOff>162791</xdr:rowOff>
    </xdr:to>
    <xdr:sp macro="" textlink="">
      <xdr:nvSpPr>
        <xdr:cNvPr id="162" name="Rectangle 161"/>
        <xdr:cNvSpPr/>
      </xdr:nvSpPr>
      <xdr:spPr>
        <a:xfrm>
          <a:off x="13369925" y="74612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</a:t>
          </a:r>
        </a:p>
      </xdr:txBody>
    </xdr:sp>
    <xdr:clientData/>
  </xdr:twoCellAnchor>
  <xdr:twoCellAnchor>
    <xdr:from>
      <xdr:col>12</xdr:col>
      <xdr:colOff>122767</xdr:colOff>
      <xdr:row>51</xdr:row>
      <xdr:rowOff>148167</xdr:rowOff>
    </xdr:from>
    <xdr:to>
      <xdr:col>12</xdr:col>
      <xdr:colOff>611140</xdr:colOff>
      <xdr:row>52</xdr:row>
      <xdr:rowOff>139507</xdr:rowOff>
    </xdr:to>
    <xdr:sp macro="" textlink="">
      <xdr:nvSpPr>
        <xdr:cNvPr id="163" name="Rectangle 162"/>
        <xdr:cNvSpPr/>
      </xdr:nvSpPr>
      <xdr:spPr>
        <a:xfrm>
          <a:off x="8250767" y="9647767"/>
          <a:ext cx="488373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</a:t>
          </a:r>
        </a:p>
      </xdr:txBody>
    </xdr:sp>
    <xdr:clientData/>
  </xdr:twoCellAnchor>
  <xdr:twoCellAnchor>
    <xdr:from>
      <xdr:col>17</xdr:col>
      <xdr:colOff>552450</xdr:colOff>
      <xdr:row>48</xdr:row>
      <xdr:rowOff>28575</xdr:rowOff>
    </xdr:from>
    <xdr:to>
      <xdr:col>18</xdr:col>
      <xdr:colOff>431223</xdr:colOff>
      <xdr:row>49</xdr:row>
      <xdr:rowOff>19916</xdr:rowOff>
    </xdr:to>
    <xdr:sp macro="" textlink="">
      <xdr:nvSpPr>
        <xdr:cNvPr id="164" name="Rectangle 163"/>
        <xdr:cNvSpPr/>
      </xdr:nvSpPr>
      <xdr:spPr>
        <a:xfrm>
          <a:off x="11995150" y="85629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l-21</a:t>
          </a:r>
        </a:p>
      </xdr:txBody>
    </xdr:sp>
    <xdr:clientData/>
  </xdr:twoCellAnchor>
  <xdr:twoCellAnchor>
    <xdr:from>
      <xdr:col>13</xdr:col>
      <xdr:colOff>352425</xdr:colOff>
      <xdr:row>49</xdr:row>
      <xdr:rowOff>171450</xdr:rowOff>
    </xdr:from>
    <xdr:to>
      <xdr:col>14</xdr:col>
      <xdr:colOff>231198</xdr:colOff>
      <xdr:row>50</xdr:row>
      <xdr:rowOff>162791</xdr:rowOff>
    </xdr:to>
    <xdr:sp macro="" textlink="">
      <xdr:nvSpPr>
        <xdr:cNvPr id="165" name="Rectangle 164"/>
        <xdr:cNvSpPr/>
      </xdr:nvSpPr>
      <xdr:spPr>
        <a:xfrm>
          <a:off x="9102725" y="8883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l-20</a:t>
          </a:r>
        </a:p>
      </xdr:txBody>
    </xdr:sp>
    <xdr:clientData/>
  </xdr:twoCellAnchor>
  <xdr:twoCellAnchor>
    <xdr:from>
      <xdr:col>13</xdr:col>
      <xdr:colOff>441325</xdr:colOff>
      <xdr:row>54</xdr:row>
      <xdr:rowOff>137584</xdr:rowOff>
    </xdr:from>
    <xdr:to>
      <xdr:col>14</xdr:col>
      <xdr:colOff>320097</xdr:colOff>
      <xdr:row>55</xdr:row>
      <xdr:rowOff>128924</xdr:rowOff>
    </xdr:to>
    <xdr:sp macro="" textlink="">
      <xdr:nvSpPr>
        <xdr:cNvPr id="166" name="Rectangle 165"/>
        <xdr:cNvSpPr/>
      </xdr:nvSpPr>
      <xdr:spPr>
        <a:xfrm>
          <a:off x="9246658" y="10195984"/>
          <a:ext cx="556106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l-22</a:t>
          </a:r>
        </a:p>
      </xdr:txBody>
    </xdr:sp>
    <xdr:clientData/>
  </xdr:twoCellAnchor>
  <xdr:twoCellAnchor>
    <xdr:from>
      <xdr:col>16</xdr:col>
      <xdr:colOff>333375</xdr:colOff>
      <xdr:row>7</xdr:row>
      <xdr:rowOff>123825</xdr:rowOff>
    </xdr:from>
    <xdr:to>
      <xdr:col>17</xdr:col>
      <xdr:colOff>38100</xdr:colOff>
      <xdr:row>11</xdr:row>
      <xdr:rowOff>90488</xdr:rowOff>
    </xdr:to>
    <xdr:cxnSp macro="">
      <xdr:nvCxnSpPr>
        <xdr:cNvPr id="167" name="Curved Connector 166"/>
        <xdr:cNvCxnSpPr>
          <a:stCxn id="8" idx="3"/>
          <a:endCxn id="9" idx="2"/>
        </xdr:cNvCxnSpPr>
      </xdr:nvCxnSpPr>
      <xdr:spPr bwMode="auto">
        <a:xfrm flipH="1" flipV="1">
          <a:off x="11102975" y="1368425"/>
          <a:ext cx="377825" cy="677863"/>
        </a:xfrm>
        <a:prstGeom prst="curvedConnector4">
          <a:avLst>
            <a:gd name="adj1" fmla="val -72727"/>
            <a:gd name="adj2" fmla="val 65359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285750</xdr:colOff>
      <xdr:row>8</xdr:row>
      <xdr:rowOff>95250</xdr:rowOff>
    </xdr:from>
    <xdr:to>
      <xdr:col>17</xdr:col>
      <xdr:colOff>164523</xdr:colOff>
      <xdr:row>9</xdr:row>
      <xdr:rowOff>86591</xdr:rowOff>
    </xdr:to>
    <xdr:sp macro="" textlink="">
      <xdr:nvSpPr>
        <xdr:cNvPr id="168" name="Rectangle 167"/>
        <xdr:cNvSpPr/>
      </xdr:nvSpPr>
      <xdr:spPr>
        <a:xfrm>
          <a:off x="11055350" y="1517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u-28</a:t>
          </a:r>
        </a:p>
      </xdr:txBody>
    </xdr:sp>
    <xdr:clientData/>
  </xdr:twoCellAnchor>
  <xdr:twoCellAnchor>
    <xdr:from>
      <xdr:col>15</xdr:col>
      <xdr:colOff>314325</xdr:colOff>
      <xdr:row>40</xdr:row>
      <xdr:rowOff>95250</xdr:rowOff>
    </xdr:from>
    <xdr:to>
      <xdr:col>16</xdr:col>
      <xdr:colOff>19050</xdr:colOff>
      <xdr:row>44</xdr:row>
      <xdr:rowOff>61913</xdr:rowOff>
    </xdr:to>
    <xdr:cxnSp macro="">
      <xdr:nvCxnSpPr>
        <xdr:cNvPr id="169" name="Curved Connector 168"/>
        <xdr:cNvCxnSpPr>
          <a:stCxn id="56" idx="3"/>
          <a:endCxn id="57" idx="2"/>
        </xdr:cNvCxnSpPr>
      </xdr:nvCxnSpPr>
      <xdr:spPr bwMode="auto">
        <a:xfrm flipH="1" flipV="1">
          <a:off x="10410825" y="7207250"/>
          <a:ext cx="377825" cy="677863"/>
        </a:xfrm>
        <a:prstGeom prst="curvedConnector4">
          <a:avLst>
            <a:gd name="adj1" fmla="val -72727"/>
            <a:gd name="adj2" fmla="val 65359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266700</xdr:colOff>
      <xdr:row>41</xdr:row>
      <xdr:rowOff>76200</xdr:rowOff>
    </xdr:from>
    <xdr:to>
      <xdr:col>16</xdr:col>
      <xdr:colOff>145473</xdr:colOff>
      <xdr:row>42</xdr:row>
      <xdr:rowOff>67541</xdr:rowOff>
    </xdr:to>
    <xdr:sp macro="" textlink="">
      <xdr:nvSpPr>
        <xdr:cNvPr id="170" name="Rectangle 169"/>
        <xdr:cNvSpPr/>
      </xdr:nvSpPr>
      <xdr:spPr>
        <a:xfrm>
          <a:off x="10363200" y="73660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l-28</a:t>
          </a:r>
        </a:p>
      </xdr:txBody>
    </xdr:sp>
    <xdr:clientData/>
  </xdr:twoCellAnchor>
  <xdr:twoCellAnchor>
    <xdr:from>
      <xdr:col>11</xdr:col>
      <xdr:colOff>558800</xdr:colOff>
      <xdr:row>8</xdr:row>
      <xdr:rowOff>84668</xdr:rowOff>
    </xdr:from>
    <xdr:to>
      <xdr:col>12</xdr:col>
      <xdr:colOff>254001</xdr:colOff>
      <xdr:row>10</xdr:row>
      <xdr:rowOff>135467</xdr:rowOff>
    </xdr:to>
    <xdr:sp macro="" textlink="">
      <xdr:nvSpPr>
        <xdr:cNvPr id="172" name="TextBox 171"/>
        <xdr:cNvSpPr txBox="1"/>
      </xdr:nvSpPr>
      <xdr:spPr>
        <a:xfrm>
          <a:off x="8009467" y="1574801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3</a:t>
          </a:r>
        </a:p>
      </xdr:txBody>
    </xdr:sp>
    <xdr:clientData/>
  </xdr:twoCellAnchor>
  <xdr:twoCellAnchor>
    <xdr:from>
      <xdr:col>8</xdr:col>
      <xdr:colOff>287866</xdr:colOff>
      <xdr:row>13</xdr:row>
      <xdr:rowOff>152399</xdr:rowOff>
    </xdr:from>
    <xdr:to>
      <xdr:col>8</xdr:col>
      <xdr:colOff>660400</xdr:colOff>
      <xdr:row>16</xdr:row>
      <xdr:rowOff>16932</xdr:rowOff>
    </xdr:to>
    <xdr:sp macro="" textlink="">
      <xdr:nvSpPr>
        <xdr:cNvPr id="173" name="TextBox 172"/>
        <xdr:cNvSpPr txBox="1"/>
      </xdr:nvSpPr>
      <xdr:spPr>
        <a:xfrm>
          <a:off x="5706533" y="2573866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1</a:t>
          </a:r>
        </a:p>
      </xdr:txBody>
    </xdr:sp>
    <xdr:clientData/>
  </xdr:twoCellAnchor>
  <xdr:twoCellAnchor>
    <xdr:from>
      <xdr:col>8</xdr:col>
      <xdr:colOff>609600</xdr:colOff>
      <xdr:row>20</xdr:row>
      <xdr:rowOff>84667</xdr:rowOff>
    </xdr:from>
    <xdr:to>
      <xdr:col>9</xdr:col>
      <xdr:colOff>304801</xdr:colOff>
      <xdr:row>22</xdr:row>
      <xdr:rowOff>135466</xdr:rowOff>
    </xdr:to>
    <xdr:sp macro="" textlink="">
      <xdr:nvSpPr>
        <xdr:cNvPr id="174" name="TextBox 173"/>
        <xdr:cNvSpPr txBox="1"/>
      </xdr:nvSpPr>
      <xdr:spPr>
        <a:xfrm>
          <a:off x="6028267" y="3810000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2</a:t>
          </a:r>
        </a:p>
      </xdr:txBody>
    </xdr:sp>
    <xdr:clientData/>
  </xdr:twoCellAnchor>
  <xdr:twoCellAnchor>
    <xdr:from>
      <xdr:col>19</xdr:col>
      <xdr:colOff>101600</xdr:colOff>
      <xdr:row>4</xdr:row>
      <xdr:rowOff>84666</xdr:rowOff>
    </xdr:from>
    <xdr:to>
      <xdr:col>19</xdr:col>
      <xdr:colOff>474134</xdr:colOff>
      <xdr:row>6</xdr:row>
      <xdr:rowOff>135466</xdr:rowOff>
    </xdr:to>
    <xdr:sp macro="" textlink="">
      <xdr:nvSpPr>
        <xdr:cNvPr id="175" name="TextBox 174"/>
        <xdr:cNvSpPr txBox="1"/>
      </xdr:nvSpPr>
      <xdr:spPr>
        <a:xfrm>
          <a:off x="12970933" y="829733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4</a:t>
          </a:r>
        </a:p>
      </xdr:txBody>
    </xdr:sp>
    <xdr:clientData/>
  </xdr:twoCellAnchor>
  <xdr:twoCellAnchor>
    <xdr:from>
      <xdr:col>10</xdr:col>
      <xdr:colOff>508000</xdr:colOff>
      <xdr:row>41</xdr:row>
      <xdr:rowOff>16935</xdr:rowOff>
    </xdr:from>
    <xdr:to>
      <xdr:col>11</xdr:col>
      <xdr:colOff>203200</xdr:colOff>
      <xdr:row>43</xdr:row>
      <xdr:rowOff>67734</xdr:rowOff>
    </xdr:to>
    <xdr:sp macro="" textlink="">
      <xdr:nvSpPr>
        <xdr:cNvPr id="176" name="TextBox 175"/>
        <xdr:cNvSpPr txBox="1"/>
      </xdr:nvSpPr>
      <xdr:spPr>
        <a:xfrm>
          <a:off x="7281333" y="7653868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7</a:t>
          </a:r>
        </a:p>
      </xdr:txBody>
    </xdr:sp>
    <xdr:clientData/>
  </xdr:twoCellAnchor>
  <xdr:twoCellAnchor>
    <xdr:from>
      <xdr:col>7</xdr:col>
      <xdr:colOff>304800</xdr:colOff>
      <xdr:row>46</xdr:row>
      <xdr:rowOff>118533</xdr:rowOff>
    </xdr:from>
    <xdr:to>
      <xdr:col>8</xdr:col>
      <xdr:colOff>0</xdr:colOff>
      <xdr:row>48</xdr:row>
      <xdr:rowOff>169333</xdr:rowOff>
    </xdr:to>
    <xdr:sp macro="" textlink="">
      <xdr:nvSpPr>
        <xdr:cNvPr id="177" name="TextBox 176"/>
        <xdr:cNvSpPr txBox="1"/>
      </xdr:nvSpPr>
      <xdr:spPr>
        <a:xfrm>
          <a:off x="5046133" y="8686800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5</a:t>
          </a:r>
        </a:p>
      </xdr:txBody>
    </xdr:sp>
    <xdr:clientData/>
  </xdr:twoCellAnchor>
  <xdr:twoCellAnchor>
    <xdr:from>
      <xdr:col>7</xdr:col>
      <xdr:colOff>609601</xdr:colOff>
      <xdr:row>53</xdr:row>
      <xdr:rowOff>67734</xdr:rowOff>
    </xdr:from>
    <xdr:to>
      <xdr:col>8</xdr:col>
      <xdr:colOff>304801</xdr:colOff>
      <xdr:row>55</xdr:row>
      <xdr:rowOff>118533</xdr:rowOff>
    </xdr:to>
    <xdr:sp macro="" textlink="">
      <xdr:nvSpPr>
        <xdr:cNvPr id="178" name="TextBox 177"/>
        <xdr:cNvSpPr txBox="1"/>
      </xdr:nvSpPr>
      <xdr:spPr>
        <a:xfrm>
          <a:off x="5350934" y="9939867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6</a:t>
          </a:r>
        </a:p>
      </xdr:txBody>
    </xdr:sp>
    <xdr:clientData/>
  </xdr:twoCellAnchor>
  <xdr:twoCellAnchor>
    <xdr:from>
      <xdr:col>18</xdr:col>
      <xdr:colOff>67734</xdr:colOff>
      <xdr:row>37</xdr:row>
      <xdr:rowOff>50800</xdr:rowOff>
    </xdr:from>
    <xdr:to>
      <xdr:col>18</xdr:col>
      <xdr:colOff>440268</xdr:colOff>
      <xdr:row>39</xdr:row>
      <xdr:rowOff>101600</xdr:rowOff>
    </xdr:to>
    <xdr:sp macro="" textlink="">
      <xdr:nvSpPr>
        <xdr:cNvPr id="179" name="TextBox 178"/>
        <xdr:cNvSpPr txBox="1"/>
      </xdr:nvSpPr>
      <xdr:spPr>
        <a:xfrm>
          <a:off x="12259734" y="6942667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8</a:t>
          </a:r>
        </a:p>
      </xdr:txBody>
    </xdr:sp>
    <xdr:clientData/>
  </xdr:twoCellAnchor>
  <xdr:twoCellAnchor>
    <xdr:from>
      <xdr:col>17</xdr:col>
      <xdr:colOff>408821</xdr:colOff>
      <xdr:row>6</xdr:row>
      <xdr:rowOff>4764</xdr:rowOff>
    </xdr:from>
    <xdr:to>
      <xdr:col>20</xdr:col>
      <xdr:colOff>472657</xdr:colOff>
      <xdr:row>6</xdr:row>
      <xdr:rowOff>128589</xdr:rowOff>
    </xdr:to>
    <xdr:cxnSp macro="">
      <xdr:nvCxnSpPr>
        <xdr:cNvPr id="180" name="Curved Connector 179"/>
        <xdr:cNvCxnSpPr>
          <a:stCxn id="23" idx="1"/>
          <a:endCxn id="9" idx="5"/>
        </xdr:cNvCxnSpPr>
      </xdr:nvCxnSpPr>
      <xdr:spPr bwMode="auto">
        <a:xfrm rot="10800000">
          <a:off x="10556121" y="1147764"/>
          <a:ext cx="1854536" cy="123825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524933</xdr:colOff>
      <xdr:row>4</xdr:row>
      <xdr:rowOff>118534</xdr:rowOff>
    </xdr:from>
    <xdr:to>
      <xdr:col>18</xdr:col>
      <xdr:colOff>403706</xdr:colOff>
      <xdr:row>5</xdr:row>
      <xdr:rowOff>109876</xdr:rowOff>
    </xdr:to>
    <xdr:sp macro="" textlink="">
      <xdr:nvSpPr>
        <xdr:cNvPr id="204" name="Rectangle 203"/>
        <xdr:cNvSpPr/>
      </xdr:nvSpPr>
      <xdr:spPr>
        <a:xfrm>
          <a:off x="12039600" y="863601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u-29</a:t>
          </a:r>
        </a:p>
      </xdr:txBody>
    </xdr:sp>
    <xdr:clientData/>
  </xdr:twoCellAnchor>
  <xdr:twoCellAnchor>
    <xdr:from>
      <xdr:col>16</xdr:col>
      <xdr:colOff>254002</xdr:colOff>
      <xdr:row>38</xdr:row>
      <xdr:rowOff>50801</xdr:rowOff>
    </xdr:from>
    <xdr:to>
      <xdr:col>19</xdr:col>
      <xdr:colOff>508005</xdr:colOff>
      <xdr:row>40</xdr:row>
      <xdr:rowOff>16937</xdr:rowOff>
    </xdr:to>
    <xdr:cxnSp macro="">
      <xdr:nvCxnSpPr>
        <xdr:cNvPr id="210" name="Curved Connector 209"/>
        <xdr:cNvCxnSpPr/>
      </xdr:nvCxnSpPr>
      <xdr:spPr bwMode="auto">
        <a:xfrm rot="10800000">
          <a:off x="11091335" y="7128934"/>
          <a:ext cx="2286003" cy="33867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609601</xdr:colOff>
      <xdr:row>38</xdr:row>
      <xdr:rowOff>1</xdr:rowOff>
    </xdr:from>
    <xdr:to>
      <xdr:col>17</xdr:col>
      <xdr:colOff>488373</xdr:colOff>
      <xdr:row>38</xdr:row>
      <xdr:rowOff>177609</xdr:rowOff>
    </xdr:to>
    <xdr:sp macro="" textlink="">
      <xdr:nvSpPr>
        <xdr:cNvPr id="211" name="Rectangle 210"/>
        <xdr:cNvSpPr/>
      </xdr:nvSpPr>
      <xdr:spPr>
        <a:xfrm>
          <a:off x="11446934" y="7078134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I-29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theme="9" tint="-0.249977111117893"/>
  </sheetPr>
  <dimension ref="I7:J12"/>
  <sheetViews>
    <sheetView showGridLines="0" workbookViewId="0">
      <selection activeCell="Q8" sqref="Q8"/>
    </sheetView>
  </sheetViews>
  <sheetFormatPr defaultColWidth="11.42578125" defaultRowHeight="15" x14ac:dyDescent="0.25"/>
  <sheetData>
    <row r="7" spans="9:10" x14ac:dyDescent="0.25">
      <c r="I7" t="s">
        <v>143</v>
      </c>
    </row>
    <row r="8" spans="9:10" x14ac:dyDescent="0.25">
      <c r="I8" t="s">
        <v>125</v>
      </c>
    </row>
    <row r="9" spans="9:10" x14ac:dyDescent="0.25">
      <c r="I9" t="s">
        <v>126</v>
      </c>
      <c r="J9">
        <v>33</v>
      </c>
    </row>
    <row r="10" spans="9:10" x14ac:dyDescent="0.25">
      <c r="I10" t="s">
        <v>142</v>
      </c>
      <c r="J10">
        <v>33</v>
      </c>
    </row>
    <row r="11" spans="9:10" x14ac:dyDescent="0.25">
      <c r="I11" t="s">
        <v>113</v>
      </c>
      <c r="J11">
        <v>33</v>
      </c>
    </row>
    <row r="12" spans="9:10" x14ac:dyDescent="0.25">
      <c r="I12" t="s">
        <v>162</v>
      </c>
      <c r="J12">
        <v>33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rgb="FF92D050"/>
  </sheetPr>
  <dimension ref="A1"/>
  <sheetViews>
    <sheetView showGridLines="0" showRowColHeaders="0" tabSelected="1" zoomScaleNormal="100" zoomScalePageLayoutView="150" workbookViewId="0">
      <selection activeCell="I45" sqref="I45"/>
    </sheetView>
  </sheetViews>
  <sheetFormatPr defaultColWidth="8.85546875" defaultRowHeight="15" x14ac:dyDescent="0.25"/>
  <sheetData/>
  <pageMargins left="0.7" right="0.7" top="0.75" bottom="0.75" header="0.3" footer="0.3"/>
  <pageSetup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environment_lower">
                <anchor moveWithCells="1">
                  <from>
                    <xdr:col>2</xdr:col>
                    <xdr:colOff>295275</xdr:colOff>
                    <xdr:row>18</xdr:row>
                    <xdr:rowOff>66675</xdr:rowOff>
                  </from>
                  <to>
                    <xdr:col>4</xdr:col>
                    <xdr:colOff>371475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rural_l">
                <anchor moveWithCells="1">
                  <from>
                    <xdr:col>5</xdr:col>
                    <xdr:colOff>142875</xdr:colOff>
                    <xdr:row>12</xdr:row>
                    <xdr:rowOff>142875</xdr:rowOff>
                  </from>
                  <to>
                    <xdr:col>7</xdr:col>
                    <xdr:colOff>219075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5" name="Button 8">
              <controlPr defaultSize="0" print="0" autoFill="0" autoPict="0" macro="[0]!suburban_l">
                <anchor moveWithCells="1">
                  <from>
                    <xdr:col>11</xdr:col>
                    <xdr:colOff>333375</xdr:colOff>
                    <xdr:row>18</xdr:row>
                    <xdr:rowOff>0</xdr:rowOff>
                  </from>
                  <to>
                    <xdr:col>13</xdr:col>
                    <xdr:colOff>295275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6" name="Button 9">
              <controlPr defaultSize="0" print="0" autoFill="0" autoPict="0" macro="[0]!urban_l">
                <anchor moveWithCells="1">
                  <from>
                    <xdr:col>12</xdr:col>
                    <xdr:colOff>0</xdr:colOff>
                    <xdr:row>24</xdr:row>
                    <xdr:rowOff>104775</xdr:rowOff>
                  </from>
                  <to>
                    <xdr:col>13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7" name="Button 10">
              <controlPr defaultSize="0" print="0" autoFill="0" autoPict="0" macro="[0]!ag_l">
                <anchor moveWithCells="1">
                  <from>
                    <xdr:col>7</xdr:col>
                    <xdr:colOff>419100</xdr:colOff>
                    <xdr:row>14</xdr:row>
                    <xdr:rowOff>38100</xdr:rowOff>
                  </from>
                  <to>
                    <xdr:col>9</xdr:col>
                    <xdr:colOff>485775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2" tint="-0.249977111117893"/>
  </sheetPr>
  <dimension ref="A1"/>
  <sheetViews>
    <sheetView showGridLines="0" workbookViewId="0">
      <selection activeCell="N36" sqref="N36"/>
    </sheetView>
  </sheetViews>
  <sheetFormatPr defaultColWidth="8.85546875" defaultRowHeight="15" x14ac:dyDescent="0.2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4"/>
  </sheetPr>
  <dimension ref="A1:AE47"/>
  <sheetViews>
    <sheetView showGridLines="0" topLeftCell="A5" workbookViewId="0">
      <selection activeCell="W33" sqref="W33:X33"/>
    </sheetView>
  </sheetViews>
  <sheetFormatPr defaultColWidth="8.85546875" defaultRowHeight="15" x14ac:dyDescent="0.25"/>
  <cols>
    <col min="1" max="1" width="4" customWidth="1"/>
    <col min="2" max="2" width="2.85546875" customWidth="1"/>
    <col min="3" max="3" width="23.140625" customWidth="1"/>
    <col min="4" max="4" width="7.28515625" customWidth="1"/>
    <col min="5" max="5" width="13.7109375" bestFit="1" customWidth="1"/>
    <col min="6" max="6" width="1.42578125" customWidth="1"/>
    <col min="7" max="7" width="10.42578125" customWidth="1"/>
    <col min="8" max="8" width="1.85546875" customWidth="1"/>
    <col min="9" max="9" width="23.42578125" bestFit="1" customWidth="1"/>
    <col min="10" max="10" width="1.42578125" customWidth="1"/>
    <col min="11" max="11" width="25.42578125" customWidth="1"/>
    <col min="12" max="12" width="8.42578125" customWidth="1"/>
    <col min="13" max="14" width="1.7109375" customWidth="1"/>
    <col min="15" max="15" width="25.140625" customWidth="1"/>
    <col min="16" max="16" width="8.85546875" customWidth="1"/>
    <col min="17" max="18" width="1.42578125" customWidth="1"/>
    <col min="19" max="19" width="18.42578125" customWidth="1"/>
    <col min="20" max="20" width="8.140625" customWidth="1"/>
    <col min="21" max="22" width="1.7109375" customWidth="1"/>
    <col min="23" max="23" width="25.42578125" customWidth="1"/>
    <col min="24" max="24" width="6.140625" customWidth="1"/>
    <col min="25" max="25" width="1.85546875" customWidth="1"/>
    <col min="26" max="26" width="1.7109375" customWidth="1"/>
    <col min="27" max="27" width="20.42578125" customWidth="1"/>
    <col min="28" max="28" width="6.140625" bestFit="1" customWidth="1"/>
    <col min="29" max="29" width="2.42578125" customWidth="1"/>
    <col min="31" max="31" width="0" hidden="1" customWidth="1"/>
  </cols>
  <sheetData>
    <row r="1" spans="1:31" hidden="1" x14ac:dyDescent="0.25">
      <c r="L1">
        <f>SUM(L6:L10)</f>
        <v>0</v>
      </c>
      <c r="P1">
        <f>SUM(P6:P10)</f>
        <v>0</v>
      </c>
      <c r="T1">
        <f>SUM(T6:T8)</f>
        <v>20</v>
      </c>
      <c r="X1">
        <f>SUM(X6:X8)</f>
        <v>100</v>
      </c>
      <c r="AB1">
        <f>SUM(AB6:AB7)</f>
        <v>20</v>
      </c>
    </row>
    <row r="2" spans="1:31" ht="15" customHeight="1" x14ac:dyDescent="0.35">
      <c r="C2" s="193"/>
    </row>
    <row r="3" spans="1:31" ht="21.75" thickBot="1" x14ac:dyDescent="0.4">
      <c r="B3" s="221" t="s">
        <v>220</v>
      </c>
      <c r="C3" s="221"/>
      <c r="D3" s="221"/>
      <c r="E3" s="221"/>
      <c r="J3" s="221" t="s">
        <v>155</v>
      </c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</row>
    <row r="4" spans="1:31" ht="18" customHeight="1" x14ac:dyDescent="0.35">
      <c r="B4" s="35"/>
      <c r="C4" s="36"/>
      <c r="D4" s="37"/>
      <c r="E4" s="37"/>
      <c r="F4" s="38"/>
      <c r="G4" s="29"/>
      <c r="H4" s="29"/>
      <c r="J4" s="35"/>
      <c r="K4" s="94" t="s">
        <v>125</v>
      </c>
      <c r="L4" s="60"/>
      <c r="M4" s="60"/>
      <c r="N4" s="61"/>
      <c r="O4" s="94" t="s">
        <v>126</v>
      </c>
      <c r="P4" s="60"/>
      <c r="Q4" s="60"/>
      <c r="R4" s="61"/>
      <c r="S4" s="94" t="s">
        <v>114</v>
      </c>
      <c r="T4" s="60"/>
      <c r="U4" s="60"/>
      <c r="V4" s="61"/>
      <c r="W4" s="94" t="s">
        <v>131</v>
      </c>
      <c r="X4" s="60"/>
      <c r="Y4" s="37"/>
      <c r="Z4" s="61"/>
      <c r="AA4" s="94" t="s">
        <v>162</v>
      </c>
      <c r="AB4" s="60"/>
      <c r="AC4" s="38"/>
    </row>
    <row r="5" spans="1:31" ht="15.75" thickBot="1" x14ac:dyDescent="0.3">
      <c r="B5" s="65"/>
      <c r="C5" s="222" t="s">
        <v>269</v>
      </c>
      <c r="D5" s="223"/>
      <c r="E5" s="130" t="s">
        <v>140</v>
      </c>
      <c r="F5" s="77"/>
      <c r="G5" s="78"/>
      <c r="H5" s="78"/>
      <c r="I5" s="78"/>
      <c r="J5" s="65"/>
      <c r="K5" s="78"/>
      <c r="L5" s="79"/>
      <c r="M5" s="78"/>
      <c r="N5" s="80"/>
      <c r="O5" s="78"/>
      <c r="P5" s="79"/>
      <c r="Q5" s="69"/>
      <c r="R5" s="72"/>
      <c r="S5" s="78"/>
      <c r="T5" s="79"/>
      <c r="U5" s="79"/>
      <c r="V5" s="72"/>
      <c r="W5" s="78"/>
      <c r="X5" s="79"/>
      <c r="Y5" s="69"/>
      <c r="Z5" s="72"/>
      <c r="AA5" s="78"/>
      <c r="AB5" s="79"/>
      <c r="AC5" s="68"/>
    </row>
    <row r="6" spans="1:31" ht="15.75" thickBot="1" x14ac:dyDescent="0.3">
      <c r="B6" s="65"/>
      <c r="C6" s="66" t="s">
        <v>127</v>
      </c>
      <c r="D6" s="67">
        <f>500*(1+E6)</f>
        <v>500</v>
      </c>
      <c r="E6" s="194">
        <v>0</v>
      </c>
      <c r="F6" s="68"/>
      <c r="G6" s="69"/>
      <c r="H6" s="69"/>
      <c r="I6" s="69"/>
      <c r="J6" s="70"/>
      <c r="K6" s="71" t="s">
        <v>239</v>
      </c>
      <c r="L6" s="195">
        <v>0</v>
      </c>
      <c r="M6" s="69"/>
      <c r="N6" s="72"/>
      <c r="O6" s="73" t="s">
        <v>239</v>
      </c>
      <c r="P6" s="195">
        <v>0</v>
      </c>
      <c r="Q6" s="69"/>
      <c r="R6" s="72"/>
      <c r="S6" s="74" t="s">
        <v>239</v>
      </c>
      <c r="T6" s="195">
        <v>5</v>
      </c>
      <c r="U6" s="75"/>
      <c r="V6" s="72"/>
      <c r="W6" s="76" t="s">
        <v>239</v>
      </c>
      <c r="X6" s="195">
        <v>50</v>
      </c>
      <c r="Y6" s="78"/>
      <c r="Z6" s="72"/>
      <c r="AA6" s="100" t="s">
        <v>239</v>
      </c>
      <c r="AB6" s="195">
        <v>5</v>
      </c>
      <c r="AC6" s="77"/>
      <c r="AE6">
        <f>SUM(L6,P6,T6,X6,AB6)</f>
        <v>60</v>
      </c>
    </row>
    <row r="7" spans="1:31" ht="15.75" thickBot="1" x14ac:dyDescent="0.3">
      <c r="A7" s="29"/>
      <c r="B7" s="65"/>
      <c r="C7" s="66" t="s">
        <v>128</v>
      </c>
      <c r="D7" s="67">
        <f>300*(1+E7)</f>
        <v>300</v>
      </c>
      <c r="E7" s="194">
        <v>0</v>
      </c>
      <c r="F7" s="68"/>
      <c r="G7" s="69"/>
      <c r="H7" s="69"/>
      <c r="I7" s="69"/>
      <c r="J7" s="70"/>
      <c r="K7" s="71" t="s">
        <v>240</v>
      </c>
      <c r="L7" s="195">
        <v>0</v>
      </c>
      <c r="M7" s="69"/>
      <c r="N7" s="72"/>
      <c r="O7" s="73" t="s">
        <v>240</v>
      </c>
      <c r="P7" s="195">
        <v>0</v>
      </c>
      <c r="Q7" s="69"/>
      <c r="R7" s="72"/>
      <c r="S7" s="74" t="s">
        <v>240</v>
      </c>
      <c r="T7" s="195">
        <v>14</v>
      </c>
      <c r="U7" s="75"/>
      <c r="V7" s="72"/>
      <c r="W7" s="76" t="s">
        <v>240</v>
      </c>
      <c r="X7" s="195">
        <v>50</v>
      </c>
      <c r="Y7" s="78"/>
      <c r="Z7" s="72"/>
      <c r="AA7" s="100" t="s">
        <v>240</v>
      </c>
      <c r="AB7" s="195">
        <v>15</v>
      </c>
      <c r="AC7" s="77"/>
      <c r="AE7">
        <f>SUM(L7,P7,T7,X7,AB7)</f>
        <v>79</v>
      </c>
    </row>
    <row r="8" spans="1:31" x14ac:dyDescent="0.25">
      <c r="B8" s="18"/>
      <c r="C8" s="224" t="s">
        <v>152</v>
      </c>
      <c r="D8" s="225"/>
      <c r="E8" s="131" t="s">
        <v>138</v>
      </c>
      <c r="F8" s="49"/>
      <c r="G8" s="39"/>
      <c r="H8" s="39"/>
      <c r="I8" s="33"/>
      <c r="J8" s="40"/>
      <c r="K8" s="44" t="s">
        <v>241</v>
      </c>
      <c r="L8" s="196">
        <v>0</v>
      </c>
      <c r="M8" s="39"/>
      <c r="N8" s="54"/>
      <c r="O8" s="45" t="s">
        <v>241</v>
      </c>
      <c r="P8" s="196">
        <v>0</v>
      </c>
      <c r="Q8" s="39"/>
      <c r="R8" s="54"/>
      <c r="S8" s="98" t="s">
        <v>243</v>
      </c>
      <c r="T8" s="199">
        <v>1</v>
      </c>
      <c r="U8" s="39"/>
      <c r="V8" s="54"/>
      <c r="W8" s="97" t="s">
        <v>242</v>
      </c>
      <c r="X8" s="200">
        <v>0</v>
      </c>
      <c r="Y8" s="29"/>
      <c r="Z8" s="54"/>
      <c r="AA8" s="32" t="s">
        <v>247</v>
      </c>
      <c r="AB8" s="198">
        <v>0</v>
      </c>
      <c r="AC8" s="30"/>
    </row>
    <row r="9" spans="1:31" x14ac:dyDescent="0.25">
      <c r="B9" s="18"/>
      <c r="C9" s="32" t="s">
        <v>162</v>
      </c>
      <c r="D9" s="47">
        <f>20*(1-AB8)</f>
        <v>20</v>
      </c>
      <c r="E9" s="48">
        <f>IF(D9=0,0,(data!F41+data!F42)/D9)</f>
        <v>1</v>
      </c>
      <c r="F9" s="30"/>
      <c r="G9" s="29"/>
      <c r="H9" s="29"/>
      <c r="I9" s="33"/>
      <c r="J9" s="40"/>
      <c r="K9" s="31" t="s">
        <v>242</v>
      </c>
      <c r="L9" s="197">
        <v>0</v>
      </c>
      <c r="M9" s="39"/>
      <c r="N9" s="54"/>
      <c r="O9" s="34" t="s">
        <v>242</v>
      </c>
      <c r="P9" s="197">
        <v>0</v>
      </c>
      <c r="Q9" s="39"/>
      <c r="R9" s="54"/>
      <c r="S9" s="32" t="s">
        <v>245</v>
      </c>
      <c r="T9" s="198">
        <v>0</v>
      </c>
      <c r="U9" s="39"/>
      <c r="V9" s="54"/>
      <c r="W9" s="46" t="s">
        <v>246</v>
      </c>
      <c r="X9" s="201">
        <v>0</v>
      </c>
      <c r="Y9" s="29"/>
      <c r="Z9" s="54"/>
      <c r="AA9" s="29"/>
      <c r="AB9" s="29"/>
      <c r="AC9" s="30"/>
    </row>
    <row r="10" spans="1:31" x14ac:dyDescent="0.25">
      <c r="B10" s="18"/>
      <c r="C10" s="32" t="s">
        <v>125</v>
      </c>
      <c r="D10" s="47">
        <f>0*(1-L11)</f>
        <v>0</v>
      </c>
      <c r="E10" s="48">
        <f>IF(D10=0,0,(data!F15+data!F19+data!F16+data!F17)/D10)</f>
        <v>0</v>
      </c>
      <c r="F10" s="49"/>
      <c r="G10" s="39"/>
      <c r="H10" s="39"/>
      <c r="I10" s="33"/>
      <c r="J10" s="40"/>
      <c r="K10" s="31" t="s">
        <v>243</v>
      </c>
      <c r="L10" s="197">
        <v>0</v>
      </c>
      <c r="M10" s="39"/>
      <c r="N10" s="54"/>
      <c r="O10" s="34" t="s">
        <v>243</v>
      </c>
      <c r="P10" s="197">
        <v>0</v>
      </c>
      <c r="Q10" s="39"/>
      <c r="R10" s="54"/>
      <c r="U10" s="39"/>
      <c r="V10" s="54"/>
      <c r="W10" s="39"/>
      <c r="X10" s="29"/>
      <c r="Y10" s="29"/>
      <c r="Z10" s="54"/>
      <c r="AA10" s="39"/>
      <c r="AB10" s="29"/>
      <c r="AC10" s="30"/>
    </row>
    <row r="11" spans="1:31" x14ac:dyDescent="0.25">
      <c r="B11" s="18"/>
      <c r="C11" s="32" t="s">
        <v>134</v>
      </c>
      <c r="D11" s="47">
        <f>100*(1-X9)</f>
        <v>100</v>
      </c>
      <c r="E11" s="48">
        <f>IF(D11=0,0,(data!F21+data!F22+data!F35)/'upper basin'!D11)</f>
        <v>1</v>
      </c>
      <c r="F11" s="30"/>
      <c r="G11" s="39"/>
      <c r="H11" s="39"/>
      <c r="J11" s="18"/>
      <c r="K11" s="32" t="s">
        <v>272</v>
      </c>
      <c r="L11" s="198">
        <v>0</v>
      </c>
      <c r="M11" s="29"/>
      <c r="N11" s="55"/>
      <c r="O11" s="32" t="s">
        <v>272</v>
      </c>
      <c r="P11" s="198">
        <v>0</v>
      </c>
      <c r="Q11" s="39"/>
      <c r="R11" s="54"/>
      <c r="S11" s="29"/>
      <c r="T11" s="29"/>
      <c r="U11" s="29"/>
      <c r="V11" s="55"/>
      <c r="Y11" s="29"/>
      <c r="Z11" s="55"/>
      <c r="AA11" s="29"/>
      <c r="AB11" s="29"/>
      <c r="AC11" s="30"/>
    </row>
    <row r="12" spans="1:31" x14ac:dyDescent="0.25">
      <c r="B12" s="18"/>
      <c r="C12" s="32" t="s">
        <v>126</v>
      </c>
      <c r="D12" s="47">
        <f>0*(1-P11)</f>
        <v>0</v>
      </c>
      <c r="E12" s="48">
        <f>IF(D12=0,0,(data!F30+data!F31+data!F8+data!F32)/'upper basin'!D12)</f>
        <v>0</v>
      </c>
      <c r="F12" s="30"/>
      <c r="G12" s="29"/>
      <c r="H12" s="29"/>
      <c r="J12" s="18"/>
      <c r="K12" s="204"/>
      <c r="L12" s="205"/>
      <c r="M12" s="29"/>
      <c r="N12" s="55"/>
      <c r="O12" s="204"/>
      <c r="P12" s="205"/>
      <c r="Q12" s="29"/>
      <c r="R12" s="55"/>
      <c r="S12" s="29"/>
      <c r="T12" s="29"/>
      <c r="U12" s="29"/>
      <c r="V12" s="55"/>
      <c r="W12" s="29"/>
      <c r="X12" s="39"/>
      <c r="Y12" s="29"/>
      <c r="Z12" s="55"/>
      <c r="AA12" s="29"/>
      <c r="AB12" s="29"/>
      <c r="AC12" s="30"/>
    </row>
    <row r="13" spans="1:31" x14ac:dyDescent="0.25">
      <c r="B13" s="18"/>
      <c r="C13" s="32" t="s">
        <v>114</v>
      </c>
      <c r="D13" s="47">
        <f>20*(1-T9)</f>
        <v>20</v>
      </c>
      <c r="E13" s="48">
        <f>IF(D13=0,0,(data!F25+data!F26+data!F38)/'upper basin'!D13)</f>
        <v>1</v>
      </c>
      <c r="F13" s="30"/>
      <c r="G13" s="29"/>
      <c r="H13" s="29"/>
      <c r="J13" s="18"/>
      <c r="K13" s="29"/>
      <c r="L13" s="29"/>
      <c r="M13" s="95"/>
      <c r="N13" s="29"/>
      <c r="O13" s="29"/>
      <c r="P13" s="29"/>
      <c r="Q13" s="95"/>
      <c r="R13" s="29"/>
      <c r="S13" s="29"/>
      <c r="T13" s="29"/>
      <c r="U13" s="95"/>
      <c r="V13" s="29"/>
      <c r="W13" s="29"/>
      <c r="X13" s="39"/>
      <c r="Y13" s="29"/>
      <c r="Z13" s="55"/>
      <c r="AA13" s="29"/>
      <c r="AB13" s="29"/>
      <c r="AC13" s="30"/>
    </row>
    <row r="14" spans="1:31" ht="15.75" thickBot="1" x14ac:dyDescent="0.3">
      <c r="B14" s="41"/>
      <c r="C14" s="42"/>
      <c r="D14" s="42"/>
      <c r="E14" s="42"/>
      <c r="F14" s="43"/>
      <c r="G14" s="29"/>
      <c r="H14" s="29"/>
      <c r="J14" s="18"/>
      <c r="K14" s="29"/>
      <c r="L14" s="29"/>
      <c r="M14" s="95"/>
      <c r="N14" s="29"/>
      <c r="O14" s="29"/>
      <c r="P14" s="29"/>
      <c r="Q14" s="95"/>
      <c r="R14" s="29"/>
      <c r="S14" s="29"/>
      <c r="T14" s="29"/>
      <c r="U14" s="95"/>
      <c r="V14" s="29"/>
      <c r="W14" s="29"/>
      <c r="X14" s="29"/>
      <c r="Y14" s="29"/>
      <c r="Z14" s="55"/>
      <c r="AA14" s="29"/>
      <c r="AB14" s="29"/>
      <c r="AC14" s="30"/>
    </row>
    <row r="15" spans="1:31" x14ac:dyDescent="0.25">
      <c r="G15" s="29"/>
      <c r="H15" s="29"/>
      <c r="J15" s="18"/>
      <c r="K15" s="29"/>
      <c r="L15" s="29"/>
      <c r="M15" s="29"/>
      <c r="N15" s="55"/>
      <c r="O15" s="29"/>
      <c r="P15" s="29"/>
      <c r="Q15" s="29"/>
      <c r="R15" s="55"/>
      <c r="S15" s="29"/>
      <c r="T15" s="29"/>
      <c r="U15" s="29"/>
      <c r="V15" s="55"/>
      <c r="W15" s="29"/>
      <c r="X15" s="29"/>
      <c r="Y15" s="29"/>
      <c r="Z15" s="55"/>
      <c r="AA15" s="29"/>
      <c r="AB15" s="29"/>
      <c r="AC15" s="99"/>
    </row>
    <row r="16" spans="1:31" x14ac:dyDescent="0.25">
      <c r="G16" s="29"/>
      <c r="H16" s="29"/>
      <c r="J16" s="18"/>
      <c r="K16" s="29"/>
      <c r="L16" s="29"/>
      <c r="M16" s="58"/>
      <c r="N16" s="59"/>
      <c r="O16" s="58"/>
      <c r="P16" s="51"/>
      <c r="Q16" s="51"/>
      <c r="R16" s="57"/>
      <c r="S16" s="29"/>
      <c r="T16" s="29"/>
      <c r="U16" s="29"/>
      <c r="V16" s="55"/>
      <c r="W16" s="29"/>
      <c r="X16" s="29"/>
      <c r="Y16" s="29"/>
      <c r="Z16" s="55"/>
      <c r="AA16" s="29"/>
      <c r="AB16" s="29"/>
      <c r="AC16" s="30"/>
    </row>
    <row r="17" spans="1:29" ht="17.100000000000001" customHeight="1" x14ac:dyDescent="0.25">
      <c r="J17" s="18"/>
      <c r="K17" s="29"/>
      <c r="L17" s="29"/>
      <c r="M17" s="29"/>
      <c r="N17" s="55"/>
      <c r="O17" s="29"/>
      <c r="P17" s="29"/>
      <c r="Q17" s="29"/>
      <c r="R17" s="55"/>
      <c r="S17" s="29"/>
      <c r="T17" s="29"/>
      <c r="U17" s="29"/>
      <c r="V17" s="55"/>
      <c r="W17" s="29"/>
      <c r="X17" s="29"/>
      <c r="Y17" s="29"/>
      <c r="Z17" s="55"/>
      <c r="AA17" s="29"/>
      <c r="AB17" s="29"/>
      <c r="AC17" s="30"/>
    </row>
    <row r="18" spans="1:29" ht="21.95" customHeight="1" thickBot="1" x14ac:dyDescent="0.4">
      <c r="B18" s="227" t="s">
        <v>268</v>
      </c>
      <c r="C18" s="227"/>
      <c r="D18" s="227"/>
      <c r="E18" s="227"/>
      <c r="F18" s="227"/>
      <c r="G18" s="227"/>
      <c r="H18" s="227"/>
      <c r="J18" s="18"/>
      <c r="K18" s="29"/>
      <c r="L18" s="29"/>
      <c r="M18" s="29"/>
      <c r="N18" s="55"/>
      <c r="O18" s="29"/>
      <c r="P18" s="29"/>
      <c r="Q18" s="29"/>
      <c r="R18" s="55"/>
      <c r="S18" s="29"/>
      <c r="T18" s="29"/>
      <c r="U18" s="29"/>
      <c r="V18" s="55"/>
      <c r="W18" s="29"/>
      <c r="X18" s="29"/>
      <c r="Y18" s="29"/>
      <c r="Z18" s="55"/>
      <c r="AA18" s="29"/>
      <c r="AB18" s="29"/>
      <c r="AC18" s="30"/>
    </row>
    <row r="19" spans="1:29" x14ac:dyDescent="0.25">
      <c r="B19" s="35"/>
      <c r="C19" s="37"/>
      <c r="D19" s="101"/>
      <c r="E19" s="101"/>
      <c r="F19" s="37"/>
      <c r="G19" s="37"/>
      <c r="H19" s="38"/>
      <c r="J19" s="18"/>
      <c r="K19" s="29"/>
      <c r="L19" s="29"/>
      <c r="M19" s="29"/>
      <c r="N19" s="55"/>
      <c r="O19" s="29"/>
      <c r="P19" s="29"/>
      <c r="Q19" s="29"/>
      <c r="R19" s="55"/>
      <c r="S19" s="29"/>
      <c r="T19" s="29"/>
      <c r="U19" s="29"/>
      <c r="V19" s="55"/>
      <c r="W19" s="29"/>
      <c r="X19" s="29"/>
      <c r="Y19" s="29"/>
      <c r="Z19" s="55"/>
      <c r="AA19" s="29"/>
      <c r="AB19" s="29"/>
      <c r="AC19" s="30"/>
    </row>
    <row r="20" spans="1:29" x14ac:dyDescent="0.25">
      <c r="B20" s="18"/>
      <c r="C20" s="29"/>
      <c r="D20" s="29"/>
      <c r="E20" s="128" t="s">
        <v>273</v>
      </c>
      <c r="F20" s="230" t="s">
        <v>274</v>
      </c>
      <c r="G20" s="230"/>
      <c r="H20" s="30"/>
      <c r="J20" s="18"/>
      <c r="K20" s="29"/>
      <c r="L20" s="29"/>
      <c r="M20" s="29"/>
      <c r="N20" s="55"/>
      <c r="O20" s="29"/>
      <c r="P20" s="29"/>
      <c r="Q20" s="29"/>
      <c r="R20" s="55"/>
      <c r="S20" s="29"/>
      <c r="T20" s="29"/>
      <c r="U20" s="29"/>
      <c r="V20" s="55"/>
      <c r="W20" s="29"/>
      <c r="X20" s="29"/>
      <c r="Y20" s="29"/>
      <c r="Z20" s="55"/>
      <c r="AA20" s="29"/>
      <c r="AB20" s="29"/>
      <c r="AC20" s="30"/>
    </row>
    <row r="21" spans="1:29" x14ac:dyDescent="0.25">
      <c r="A21" s="29"/>
      <c r="B21" s="18">
        <v>1</v>
      </c>
      <c r="C21" s="232" t="s">
        <v>212</v>
      </c>
      <c r="D21" s="232"/>
      <c r="E21" s="87">
        <f>SUM(data!H7:H43)*1000</f>
        <v>7400000</v>
      </c>
      <c r="F21" s="233">
        <f>SUM(data!H2:H83)*1000</f>
        <v>34070000</v>
      </c>
      <c r="G21" s="233"/>
      <c r="H21" s="30"/>
      <c r="J21" s="18"/>
      <c r="K21" s="29"/>
      <c r="L21" s="29"/>
      <c r="M21" s="51"/>
      <c r="N21" s="57"/>
      <c r="O21" s="51"/>
      <c r="P21" s="51"/>
      <c r="Q21" s="51"/>
      <c r="R21" s="57"/>
      <c r="S21" s="29"/>
      <c r="T21" s="29"/>
      <c r="U21" s="29"/>
      <c r="V21" s="55"/>
      <c r="W21" s="29"/>
      <c r="X21" s="29"/>
      <c r="Y21" s="29"/>
      <c r="Z21" s="55"/>
      <c r="AA21" s="29"/>
      <c r="AB21" s="29"/>
      <c r="AC21" s="30"/>
    </row>
    <row r="22" spans="1:29" x14ac:dyDescent="0.25">
      <c r="A22" s="29"/>
      <c r="B22" s="18">
        <v>2</v>
      </c>
      <c r="C22" s="232" t="s">
        <v>153</v>
      </c>
      <c r="D22" s="232"/>
      <c r="E22" s="87">
        <f>SUM(data!J7:J43)/1000</f>
        <v>9998.6034708000007</v>
      </c>
      <c r="F22" s="233">
        <f>SUM(data!J2:J80)/1000</f>
        <v>27324.705574500003</v>
      </c>
      <c r="G22" s="233"/>
      <c r="H22" s="30"/>
      <c r="J22" s="18"/>
      <c r="K22" s="29"/>
      <c r="L22" s="29"/>
      <c r="M22" s="29"/>
      <c r="N22" s="55"/>
      <c r="O22" s="29"/>
      <c r="P22" s="29"/>
      <c r="Q22" s="29"/>
      <c r="R22" s="55"/>
      <c r="S22" s="29"/>
      <c r="T22" s="29"/>
      <c r="U22" s="29"/>
      <c r="V22" s="55"/>
      <c r="W22" s="29"/>
      <c r="X22" s="29"/>
      <c r="Y22" s="29"/>
      <c r="Z22" s="114"/>
      <c r="AA22" s="29"/>
      <c r="AB22" s="29"/>
      <c r="AC22" s="30"/>
    </row>
    <row r="23" spans="1:29" x14ac:dyDescent="0.25">
      <c r="A23" s="29"/>
      <c r="B23" s="18">
        <v>3</v>
      </c>
      <c r="C23" s="232" t="s">
        <v>221</v>
      </c>
      <c r="D23" s="232"/>
      <c r="E23" s="202">
        <f>(K37+O37+S37+W37)/4</f>
        <v>1.2500000000000001E-2</v>
      </c>
      <c r="F23" s="228">
        <f>(E23+'lower basin'!E23)/2</f>
        <v>5.8072916666666662E-2</v>
      </c>
      <c r="G23" s="228"/>
      <c r="H23" s="30"/>
      <c r="J23" s="18"/>
      <c r="K23" s="29"/>
      <c r="L23" s="29"/>
      <c r="M23" s="29"/>
      <c r="N23" s="55"/>
      <c r="O23" s="29"/>
      <c r="P23" s="29"/>
      <c r="Q23" s="29"/>
      <c r="R23" s="55"/>
      <c r="S23" s="29"/>
      <c r="T23" s="29"/>
      <c r="U23" s="29"/>
      <c r="V23" s="55"/>
      <c r="W23" s="29"/>
      <c r="X23" s="29"/>
      <c r="Y23" s="29"/>
      <c r="Z23" s="55"/>
      <c r="AA23" s="29"/>
      <c r="AB23" s="29"/>
      <c r="AC23" s="30"/>
    </row>
    <row r="24" spans="1:29" x14ac:dyDescent="0.25">
      <c r="A24" s="29"/>
      <c r="B24" s="18">
        <v>4</v>
      </c>
      <c r="C24" s="235" t="s">
        <v>271</v>
      </c>
      <c r="D24" s="236"/>
      <c r="E24" s="202">
        <f>AVERAGE(E9:E13)</f>
        <v>0.6</v>
      </c>
      <c r="F24" s="237">
        <f>AVERAGE(E24,'lower basin'!E24)</f>
        <v>0.4375</v>
      </c>
      <c r="G24" s="238"/>
      <c r="H24" s="30"/>
      <c r="J24" s="18"/>
      <c r="K24" s="29"/>
      <c r="L24" s="29"/>
      <c r="M24" s="29"/>
      <c r="N24" s="55"/>
      <c r="O24" s="29"/>
      <c r="P24" s="29"/>
      <c r="Q24" s="29"/>
      <c r="R24" s="55"/>
      <c r="S24" s="29"/>
      <c r="T24" s="29"/>
      <c r="U24" s="29"/>
      <c r="V24" s="55"/>
      <c r="W24" s="29"/>
      <c r="X24" s="29"/>
      <c r="Y24" s="29"/>
      <c r="Z24" s="55"/>
      <c r="AA24" s="29"/>
      <c r="AB24" s="29"/>
      <c r="AC24" s="30"/>
    </row>
    <row r="25" spans="1:29" x14ac:dyDescent="0.25">
      <c r="A25" s="29"/>
      <c r="B25" s="18">
        <v>5</v>
      </c>
      <c r="C25" s="235" t="s">
        <v>270</v>
      </c>
      <c r="D25" s="236"/>
      <c r="E25" s="203">
        <f>data!F13+data!F42+data!F22+data!F28+data!F26-data!F33-data!F24-data!F34</f>
        <v>42.5</v>
      </c>
      <c r="F25" s="239">
        <f>E25+'lower basin'!E25</f>
        <v>74.449999999999989</v>
      </c>
      <c r="G25" s="240"/>
      <c r="H25" s="30"/>
      <c r="J25" s="18"/>
      <c r="K25" s="29"/>
      <c r="L25" s="29"/>
      <c r="M25" s="29"/>
      <c r="N25" s="55"/>
      <c r="O25" s="29"/>
      <c r="P25" s="29"/>
      <c r="Q25" s="29"/>
      <c r="R25" s="55"/>
      <c r="S25" s="29"/>
      <c r="T25" s="29"/>
      <c r="U25" s="29"/>
      <c r="V25" s="55"/>
      <c r="W25" s="29"/>
      <c r="X25" s="29"/>
      <c r="Y25" s="29"/>
      <c r="Z25" s="55"/>
      <c r="AA25" s="29"/>
      <c r="AB25" s="29"/>
      <c r="AC25" s="30"/>
    </row>
    <row r="26" spans="1:29" x14ac:dyDescent="0.25">
      <c r="A26" s="29"/>
      <c r="B26" s="18">
        <v>6</v>
      </c>
      <c r="C26" s="232" t="s">
        <v>139</v>
      </c>
      <c r="D26" s="232"/>
      <c r="E26" s="218"/>
      <c r="F26" s="231"/>
      <c r="G26" s="219"/>
      <c r="H26" s="30"/>
      <c r="J26" s="18"/>
      <c r="K26" s="29"/>
      <c r="L26" s="29"/>
      <c r="M26" s="29"/>
      <c r="N26" s="55"/>
      <c r="O26" s="29"/>
      <c r="P26" s="29"/>
      <c r="Q26" s="29"/>
      <c r="R26" s="55"/>
      <c r="S26" s="29"/>
      <c r="T26" s="29"/>
      <c r="U26" s="29"/>
      <c r="V26" s="55"/>
      <c r="W26" s="29"/>
      <c r="X26" s="29"/>
      <c r="Y26" s="29"/>
      <c r="Z26" s="55"/>
      <c r="AA26" s="29"/>
      <c r="AB26" s="29"/>
      <c r="AC26" s="30"/>
    </row>
    <row r="27" spans="1:29" ht="15.75" thickBot="1" x14ac:dyDescent="0.3">
      <c r="A27" s="29"/>
      <c r="B27" s="18"/>
      <c r="C27" s="214" t="s">
        <v>151</v>
      </c>
      <c r="D27" s="214"/>
      <c r="E27" s="133">
        <f>data!F6</f>
        <v>255.39999999999998</v>
      </c>
      <c r="F27" s="229"/>
      <c r="G27" s="229"/>
      <c r="H27" s="30"/>
      <c r="J27" s="41"/>
      <c r="K27" s="42"/>
      <c r="L27" s="42"/>
      <c r="M27" s="42"/>
      <c r="N27" s="56"/>
      <c r="O27" s="42"/>
      <c r="P27" s="42"/>
      <c r="Q27" s="42"/>
      <c r="R27" s="56"/>
      <c r="S27" s="42"/>
      <c r="T27" s="42"/>
      <c r="U27" s="42"/>
      <c r="V27" s="56"/>
      <c r="W27" s="42"/>
      <c r="X27" s="42"/>
      <c r="Y27" s="42"/>
      <c r="Z27" s="56"/>
      <c r="AA27" s="42"/>
      <c r="AB27" s="42"/>
      <c r="AC27" s="43"/>
    </row>
    <row r="28" spans="1:29" x14ac:dyDescent="0.25">
      <c r="A28" s="29"/>
      <c r="B28" s="18"/>
      <c r="C28" s="214" t="s">
        <v>154</v>
      </c>
      <c r="D28" s="214"/>
      <c r="E28" s="133">
        <f>data!K6</f>
        <v>98.781666620079548</v>
      </c>
      <c r="F28" s="229"/>
      <c r="G28" s="229"/>
      <c r="H28" s="30"/>
      <c r="K28" t="s">
        <v>226</v>
      </c>
    </row>
    <row r="29" spans="1:29" ht="15.75" thickBot="1" x14ac:dyDescent="0.3">
      <c r="A29" s="29"/>
      <c r="B29" s="41"/>
      <c r="C29" s="241" t="s">
        <v>238</v>
      </c>
      <c r="D29" s="241"/>
      <c r="E29" s="241"/>
      <c r="F29" s="241"/>
      <c r="G29" s="241"/>
      <c r="H29" s="43"/>
    </row>
    <row r="30" spans="1:29" x14ac:dyDescent="0.25">
      <c r="A30" s="29"/>
      <c r="B30" s="29"/>
      <c r="C30" s="128"/>
      <c r="D30" s="128"/>
      <c r="E30" s="139"/>
      <c r="F30" s="132"/>
      <c r="G30" s="132"/>
      <c r="H30" s="29"/>
    </row>
    <row r="31" spans="1:29" ht="21.75" thickBot="1" x14ac:dyDescent="0.3">
      <c r="B31" s="234" t="s">
        <v>267</v>
      </c>
      <c r="C31" s="234"/>
      <c r="D31" s="234"/>
      <c r="E31" s="234"/>
      <c r="F31" s="234"/>
      <c r="G31" s="29"/>
      <c r="H31" s="226" t="s">
        <v>219</v>
      </c>
      <c r="I31" s="226"/>
      <c r="J31" s="226"/>
      <c r="K31" s="226"/>
      <c r="L31" s="226"/>
      <c r="M31" s="226"/>
      <c r="N31" s="226"/>
      <c r="O31" s="226"/>
      <c r="P31" s="226"/>
      <c r="Q31" s="226"/>
      <c r="R31" s="226"/>
      <c r="S31" s="226"/>
      <c r="T31" s="226"/>
      <c r="U31" s="226"/>
      <c r="V31" s="226"/>
      <c r="W31" s="226"/>
      <c r="X31" s="226"/>
      <c r="Y31" s="226"/>
      <c r="Z31" s="226"/>
      <c r="AA31" s="226"/>
      <c r="AB31" s="226"/>
      <c r="AC31" s="226"/>
    </row>
    <row r="32" spans="1:29" x14ac:dyDescent="0.25">
      <c r="B32" s="35"/>
      <c r="C32" s="37"/>
      <c r="D32" s="37"/>
      <c r="E32" s="37"/>
      <c r="F32" s="38"/>
      <c r="G32" s="29"/>
      <c r="H32" s="35"/>
      <c r="I32" s="37"/>
      <c r="J32" s="37"/>
      <c r="K32" s="220" t="s">
        <v>125</v>
      </c>
      <c r="L32" s="220"/>
      <c r="M32" s="129"/>
      <c r="N32" s="129"/>
      <c r="O32" s="220" t="s">
        <v>126</v>
      </c>
      <c r="P32" s="220"/>
      <c r="Q32" s="129"/>
      <c r="R32" s="129"/>
      <c r="S32" s="220" t="s">
        <v>114</v>
      </c>
      <c r="T32" s="220"/>
      <c r="U32" s="129"/>
      <c r="V32" s="129"/>
      <c r="W32" s="220" t="s">
        <v>131</v>
      </c>
      <c r="X32" s="220"/>
      <c r="Y32" s="129"/>
      <c r="Z32" s="129"/>
      <c r="AA32" s="220" t="s">
        <v>162</v>
      </c>
      <c r="AB32" s="220"/>
      <c r="AC32" s="38"/>
    </row>
    <row r="33" spans="2:29" ht="15" customHeight="1" x14ac:dyDescent="0.25">
      <c r="B33" s="18"/>
      <c r="C33" s="125" t="s">
        <v>161</v>
      </c>
      <c r="D33" s="218" t="s">
        <v>136</v>
      </c>
      <c r="E33" s="219"/>
      <c r="F33" s="30"/>
      <c r="G33" s="29"/>
      <c r="H33" s="18"/>
      <c r="I33" s="50" t="s">
        <v>212</v>
      </c>
      <c r="J33" s="29"/>
      <c r="K33" s="211">
        <f>(data!H12+data!H13+data!H14+data!H15+data!H16+data!H17+data!H18+data!H19+data!H20+data!H33)*1000</f>
        <v>0</v>
      </c>
      <c r="L33" s="211"/>
      <c r="M33" s="127"/>
      <c r="N33" s="127"/>
      <c r="O33" s="211">
        <f>(data!H7+data!H8+data!H9+data!H11+data!H28+data!H29+data!H30+data!H31+data!H32)*1000</f>
        <v>0</v>
      </c>
      <c r="P33" s="211"/>
      <c r="Q33" s="127"/>
      <c r="R33" s="127"/>
      <c r="S33" s="211">
        <f>(data!H25+data!H26+data!H27+data!H36+data!H37+data!H38+data!H39+data!H40)*1000</f>
        <v>2450000</v>
      </c>
      <c r="T33" s="211"/>
      <c r="U33" s="127"/>
      <c r="V33" s="127"/>
      <c r="W33" s="211">
        <f>(data!H21+data!H22+data!H23+data!H24+data!H35)*1000</f>
        <v>4500000</v>
      </c>
      <c r="X33" s="211"/>
      <c r="Y33" s="127"/>
      <c r="Z33" s="127"/>
      <c r="AA33" s="211">
        <f>(data!H41+data!H42+data!H43)*1000</f>
        <v>450000</v>
      </c>
      <c r="AB33" s="211"/>
      <c r="AC33" s="30"/>
    </row>
    <row r="34" spans="2:29" x14ac:dyDescent="0.25">
      <c r="B34" s="18"/>
      <c r="C34" s="115" t="s">
        <v>157</v>
      </c>
      <c r="D34" s="212">
        <v>400</v>
      </c>
      <c r="E34" s="213"/>
      <c r="F34" s="30"/>
      <c r="H34" s="18"/>
      <c r="I34" s="113" t="s">
        <v>217</v>
      </c>
      <c r="J34" s="29"/>
      <c r="K34" s="210">
        <f>K33/$F$21</f>
        <v>0</v>
      </c>
      <c r="L34" s="210"/>
      <c r="M34" s="127"/>
      <c r="N34" s="127"/>
      <c r="O34" s="210">
        <f>O33/$F$21</f>
        <v>0</v>
      </c>
      <c r="P34" s="210"/>
      <c r="Q34" s="127"/>
      <c r="R34" s="127"/>
      <c r="S34" s="210">
        <f>S33/$F$21</f>
        <v>7.1910771940123269E-2</v>
      </c>
      <c r="T34" s="210"/>
      <c r="U34" s="127"/>
      <c r="V34" s="127"/>
      <c r="W34" s="210">
        <f>W33/$F$21</f>
        <v>0.13208100968594072</v>
      </c>
      <c r="X34" s="210"/>
      <c r="Y34" s="127"/>
      <c r="Z34" s="127"/>
      <c r="AA34" s="210">
        <f>AA33/$F$21</f>
        <v>1.3208100968594072E-2</v>
      </c>
      <c r="AB34" s="210"/>
      <c r="AC34" s="30"/>
    </row>
    <row r="35" spans="2:29" x14ac:dyDescent="0.25">
      <c r="B35" s="18"/>
      <c r="C35" s="115" t="s">
        <v>158</v>
      </c>
      <c r="D35" s="212">
        <v>90</v>
      </c>
      <c r="E35" s="213"/>
      <c r="F35" s="30"/>
      <c r="H35" s="18"/>
      <c r="I35" s="50" t="s">
        <v>153</v>
      </c>
      <c r="J35" s="29"/>
      <c r="K35" s="211">
        <f>(data!J12+data!J13+data!J14+data!J15+data!J16+data!J17+data!J18+data!J19+data!J20+data!J33)/1000</f>
        <v>0</v>
      </c>
      <c r="L35" s="211"/>
      <c r="M35" s="127"/>
      <c r="N35" s="127"/>
      <c r="O35" s="211">
        <f>(data!J7+data!J8+data!J9+data!J11+data!J28+data!J29+data!J30+data!J31+data!J32)/1000</f>
        <v>0</v>
      </c>
      <c r="P35" s="211"/>
      <c r="Q35" s="127"/>
      <c r="R35" s="127"/>
      <c r="S35" s="211">
        <f>(data!J62+data!J63+data!J73+data!J74+data!J75+data!J76+data!J77+data!J64)/1000</f>
        <v>0</v>
      </c>
      <c r="T35" s="211"/>
      <c r="U35" s="127"/>
      <c r="V35" s="127"/>
      <c r="W35" s="211">
        <f>(data!J58+data!J72+data!J59+data!J60+data!J61)/1000</f>
        <v>0</v>
      </c>
      <c r="X35" s="211"/>
      <c r="Y35" s="127"/>
      <c r="Z35" s="127"/>
      <c r="AA35" s="211">
        <f>(data!J78+data!J79+data!J80)/1000</f>
        <v>0</v>
      </c>
      <c r="AB35" s="211"/>
      <c r="AC35" s="30"/>
    </row>
    <row r="36" spans="2:29" x14ac:dyDescent="0.25">
      <c r="B36" s="18"/>
      <c r="C36" s="115" t="s">
        <v>129</v>
      </c>
      <c r="D36" s="212">
        <v>1500</v>
      </c>
      <c r="E36" s="213"/>
      <c r="F36" s="30"/>
      <c r="H36" s="18"/>
      <c r="I36" s="113" t="s">
        <v>218</v>
      </c>
      <c r="J36" s="29"/>
      <c r="K36" s="210">
        <f>K35/$F$22</f>
        <v>0</v>
      </c>
      <c r="L36" s="210"/>
      <c r="M36" s="128"/>
      <c r="N36" s="128"/>
      <c r="O36" s="210">
        <f>O35/$F$22</f>
        <v>0</v>
      </c>
      <c r="P36" s="210"/>
      <c r="Q36" s="128"/>
      <c r="R36" s="128"/>
      <c r="S36" s="210">
        <f>S35/$F$22</f>
        <v>0</v>
      </c>
      <c r="T36" s="210"/>
      <c r="U36" s="128"/>
      <c r="V36" s="128"/>
      <c r="W36" s="210">
        <f>W35/$F$22</f>
        <v>0</v>
      </c>
      <c r="X36" s="210"/>
      <c r="Y36" s="128"/>
      <c r="Z36" s="128"/>
      <c r="AA36" s="210">
        <f>AA35/$F$22</f>
        <v>0</v>
      </c>
      <c r="AB36" s="210"/>
      <c r="AC36" s="30"/>
    </row>
    <row r="37" spans="2:29" x14ac:dyDescent="0.25">
      <c r="B37" s="18"/>
      <c r="C37" s="115" t="s">
        <v>130</v>
      </c>
      <c r="D37" s="212">
        <v>520</v>
      </c>
      <c r="E37" s="213"/>
      <c r="F37" s="30"/>
      <c r="G37" s="29"/>
      <c r="H37" s="18"/>
      <c r="I37" s="50" t="s">
        <v>216</v>
      </c>
      <c r="J37" s="29"/>
      <c r="K37" s="216">
        <f>IF((data!F14+data!F17+data!F19+data!F12+data!F13)=0,0,(data!F14+data!F17+data!F19)/(data!F14+data!F17+data!F19+data!F12+data!F13))</f>
        <v>0</v>
      </c>
      <c r="L37" s="217"/>
      <c r="M37" s="128"/>
      <c r="N37" s="128"/>
      <c r="O37" s="215">
        <f>IF((data!F29+data!F8+data!F32+data!F11+data!F28)=0,0,(data!F29+data!F8+data!F32)/(data!F29+data!F8+data!F32+data!F11+data!F28))</f>
        <v>0</v>
      </c>
      <c r="P37" s="215"/>
      <c r="Q37" s="128"/>
      <c r="R37" s="128"/>
      <c r="S37" s="215">
        <f>IF((data!F38+data!F36+data!F37)=0,0,(data!F38)/(data!F38+data!F36+data!F37))</f>
        <v>0.05</v>
      </c>
      <c r="T37" s="215"/>
      <c r="U37" s="128"/>
      <c r="V37" s="128"/>
      <c r="W37" s="215">
        <f>IF((data!F35+data!F21+data!F22)=0,0,(data!F35/(data!F35+data!F21+data!F22)))</f>
        <v>0</v>
      </c>
      <c r="X37" s="215"/>
      <c r="Y37" s="128"/>
      <c r="Z37" s="128"/>
      <c r="AA37" s="214" t="s">
        <v>214</v>
      </c>
      <c r="AB37" s="214"/>
      <c r="AC37" s="30"/>
    </row>
    <row r="38" spans="2:29" ht="15.75" thickBot="1" x14ac:dyDescent="0.3">
      <c r="B38" s="18"/>
      <c r="C38" s="115" t="s">
        <v>159</v>
      </c>
      <c r="D38" s="212">
        <v>2000</v>
      </c>
      <c r="E38" s="213"/>
      <c r="F38" s="30"/>
      <c r="G38" s="29"/>
      <c r="H38" s="41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3"/>
    </row>
    <row r="39" spans="2:29" x14ac:dyDescent="0.25">
      <c r="B39" s="18"/>
      <c r="C39" s="115" t="s">
        <v>160</v>
      </c>
      <c r="D39" s="212">
        <v>1800</v>
      </c>
      <c r="E39" s="213"/>
      <c r="F39" s="30"/>
      <c r="G39" s="29"/>
    </row>
    <row r="40" spans="2:29" x14ac:dyDescent="0.25">
      <c r="B40" s="18"/>
      <c r="C40" s="115" t="s">
        <v>213</v>
      </c>
      <c r="D40" s="212">
        <v>50</v>
      </c>
      <c r="E40" s="213"/>
      <c r="F40" s="30"/>
      <c r="G40" s="29"/>
      <c r="H40" s="29"/>
    </row>
    <row r="41" spans="2:29" ht="15.75" thickBot="1" x14ac:dyDescent="0.3">
      <c r="B41" s="41"/>
      <c r="C41" s="42"/>
      <c r="D41" s="42"/>
      <c r="E41" s="42"/>
      <c r="F41" s="43"/>
      <c r="G41" s="29"/>
      <c r="H41" s="29"/>
    </row>
    <row r="42" spans="2:29" x14ac:dyDescent="0.25">
      <c r="G42" s="29"/>
      <c r="H42" s="29"/>
    </row>
    <row r="43" spans="2:29" x14ac:dyDescent="0.25">
      <c r="G43" s="29"/>
      <c r="H43" s="29"/>
    </row>
    <row r="44" spans="2:29" x14ac:dyDescent="0.25">
      <c r="G44" s="29"/>
      <c r="H44" s="29"/>
    </row>
    <row r="45" spans="2:29" x14ac:dyDescent="0.25">
      <c r="G45" s="29"/>
      <c r="H45" s="29"/>
    </row>
    <row r="46" spans="2:29" x14ac:dyDescent="0.25">
      <c r="G46" s="29"/>
      <c r="H46" s="29"/>
    </row>
    <row r="47" spans="2:29" x14ac:dyDescent="0.25">
      <c r="G47" s="29"/>
      <c r="H47" s="29"/>
    </row>
  </sheetData>
  <mergeCells count="63">
    <mergeCell ref="F21:G21"/>
    <mergeCell ref="C28:D28"/>
    <mergeCell ref="B31:F31"/>
    <mergeCell ref="C22:D22"/>
    <mergeCell ref="C23:D23"/>
    <mergeCell ref="C26:D26"/>
    <mergeCell ref="C27:D27"/>
    <mergeCell ref="C24:D24"/>
    <mergeCell ref="F24:G24"/>
    <mergeCell ref="C25:D25"/>
    <mergeCell ref="F25:G25"/>
    <mergeCell ref="F22:G22"/>
    <mergeCell ref="C29:G29"/>
    <mergeCell ref="B3:E3"/>
    <mergeCell ref="C5:D5"/>
    <mergeCell ref="C8:D8"/>
    <mergeCell ref="D35:E35"/>
    <mergeCell ref="O35:P35"/>
    <mergeCell ref="J3:AC3"/>
    <mergeCell ref="H31:AC31"/>
    <mergeCell ref="B18:H18"/>
    <mergeCell ref="F23:G23"/>
    <mergeCell ref="F27:G27"/>
    <mergeCell ref="F28:G28"/>
    <mergeCell ref="F20:G20"/>
    <mergeCell ref="E26:G26"/>
    <mergeCell ref="C21:D21"/>
    <mergeCell ref="AA32:AB32"/>
    <mergeCell ref="AA33:AB33"/>
    <mergeCell ref="S32:T32"/>
    <mergeCell ref="S33:T33"/>
    <mergeCell ref="S34:T34"/>
    <mergeCell ref="S35:T35"/>
    <mergeCell ref="S36:T36"/>
    <mergeCell ref="D33:E33"/>
    <mergeCell ref="D36:E36"/>
    <mergeCell ref="K35:L35"/>
    <mergeCell ref="W32:X32"/>
    <mergeCell ref="W33:X33"/>
    <mergeCell ref="W34:X34"/>
    <mergeCell ref="K34:L34"/>
    <mergeCell ref="O32:P32"/>
    <mergeCell ref="O33:P33"/>
    <mergeCell ref="O34:P34"/>
    <mergeCell ref="K32:L32"/>
    <mergeCell ref="K33:L33"/>
    <mergeCell ref="D34:E34"/>
    <mergeCell ref="W35:X35"/>
    <mergeCell ref="W36:X36"/>
    <mergeCell ref="O36:P36"/>
    <mergeCell ref="AA34:AB34"/>
    <mergeCell ref="AA35:AB35"/>
    <mergeCell ref="AA36:AB36"/>
    <mergeCell ref="D40:E40"/>
    <mergeCell ref="D37:E37"/>
    <mergeCell ref="D38:E38"/>
    <mergeCell ref="D39:E39"/>
    <mergeCell ref="K36:L36"/>
    <mergeCell ref="AA37:AB37"/>
    <mergeCell ref="S37:T37"/>
    <mergeCell ref="W37:X37"/>
    <mergeCell ref="K37:L37"/>
    <mergeCell ref="O37:P37"/>
  </mergeCells>
  <conditionalFormatting sqref="E9:E10">
    <cfRule type="cellIs" dxfId="95" priority="84" operator="equal">
      <formula>1</formula>
    </cfRule>
    <cfRule type="cellIs" dxfId="94" priority="89" operator="greaterThan">
      <formula>1.01</formula>
    </cfRule>
    <cfRule type="cellIs" dxfId="93" priority="99" operator="lessThan">
      <formula>1</formula>
    </cfRule>
  </conditionalFormatting>
  <conditionalFormatting sqref="E11">
    <cfRule type="cellIs" dxfId="92" priority="81" operator="equal">
      <formula>1</formula>
    </cfRule>
    <cfRule type="cellIs" dxfId="91" priority="87" operator="greaterThan">
      <formula>1.01</formula>
    </cfRule>
    <cfRule type="cellIs" dxfId="90" priority="97" operator="lessThan">
      <formula>1</formula>
    </cfRule>
  </conditionalFormatting>
  <conditionalFormatting sqref="E12">
    <cfRule type="cellIs" dxfId="89" priority="80" operator="equal">
      <formula>1</formula>
    </cfRule>
    <cfRule type="cellIs" dxfId="88" priority="92" operator="greaterThan">
      <formula>1.01</formula>
    </cfRule>
    <cfRule type="cellIs" dxfId="87" priority="96" operator="lessThan">
      <formula>1</formula>
    </cfRule>
  </conditionalFormatting>
  <conditionalFormatting sqref="E13">
    <cfRule type="cellIs" dxfId="86" priority="76" operator="equal">
      <formula>1</formula>
    </cfRule>
    <cfRule type="cellIs" dxfId="85" priority="85" operator="greaterThan">
      <formula>1.01</formula>
    </cfRule>
    <cfRule type="cellIs" dxfId="84" priority="94" operator="lessThan">
      <formula>1</formula>
    </cfRule>
  </conditionalFormatting>
  <conditionalFormatting sqref="L8">
    <cfRule type="cellIs" dxfId="83" priority="63" operator="lessThan">
      <formula>0</formula>
    </cfRule>
  </conditionalFormatting>
  <conditionalFormatting sqref="L9">
    <cfRule type="cellIs" dxfId="82" priority="62" operator="lessThan">
      <formula>0</formula>
    </cfRule>
  </conditionalFormatting>
  <conditionalFormatting sqref="L10">
    <cfRule type="cellIs" dxfId="81" priority="61" operator="lessThan">
      <formula>0</formula>
    </cfRule>
  </conditionalFormatting>
  <conditionalFormatting sqref="P8">
    <cfRule type="cellIs" dxfId="80" priority="58" operator="lessThan">
      <formula>0</formula>
    </cfRule>
  </conditionalFormatting>
  <conditionalFormatting sqref="P9">
    <cfRule type="cellIs" dxfId="79" priority="57" operator="lessThan">
      <formula>0</formula>
    </cfRule>
  </conditionalFormatting>
  <conditionalFormatting sqref="P10">
    <cfRule type="cellIs" dxfId="78" priority="56" operator="lessThan">
      <formula>0</formula>
    </cfRule>
  </conditionalFormatting>
  <conditionalFormatting sqref="X6:X7">
    <cfRule type="cellIs" dxfId="77" priority="146" operator="lessThan">
      <formula>0</formula>
    </cfRule>
  </conditionalFormatting>
  <conditionalFormatting sqref="L6:L7">
    <cfRule type="cellIs" dxfId="76" priority="148" operator="lessThan">
      <formula>0</formula>
    </cfRule>
  </conditionalFormatting>
  <conditionalFormatting sqref="P6:P7">
    <cfRule type="cellIs" dxfId="75" priority="150" operator="lessThan">
      <formula>0</formula>
    </cfRule>
  </conditionalFormatting>
  <conditionalFormatting sqref="T6:T7">
    <cfRule type="cellIs" dxfId="74" priority="152" operator="lessThan">
      <formula>0</formula>
    </cfRule>
  </conditionalFormatting>
  <conditionalFormatting sqref="L6">
    <cfRule type="cellIs" dxfId="73" priority="34" operator="greaterThan">
      <formula>$D$6-$P$6-$T$6-$X$6-$AB$6</formula>
    </cfRule>
  </conditionalFormatting>
  <conditionalFormatting sqref="P6">
    <cfRule type="cellIs" dxfId="72" priority="33" operator="greaterThan">
      <formula>$D$6-$L$6-$T$6-$X$6-$AB$6</formula>
    </cfRule>
  </conditionalFormatting>
  <conditionalFormatting sqref="T6">
    <cfRule type="cellIs" dxfId="71" priority="32" operator="greaterThan">
      <formula>$D$6-$L$6-$P$6-$X$6-$AB$6</formula>
    </cfRule>
  </conditionalFormatting>
  <conditionalFormatting sqref="X6">
    <cfRule type="cellIs" dxfId="70" priority="31" operator="greaterThan">
      <formula>$D$6-$L$6-$P$6-$T$6-$AB$6</formula>
    </cfRule>
  </conditionalFormatting>
  <conditionalFormatting sqref="L7">
    <cfRule type="cellIs" dxfId="69" priority="30" operator="greaterThan">
      <formula>$D$7-$P$7-$T$7-$X$7-$AB$7</formula>
    </cfRule>
  </conditionalFormatting>
  <conditionalFormatting sqref="P7">
    <cfRule type="cellIs" dxfId="68" priority="29" operator="greaterThan">
      <formula>$D$7-$L$7-$T$7-$X$7-$AB$7</formula>
    </cfRule>
  </conditionalFormatting>
  <conditionalFormatting sqref="T7">
    <cfRule type="cellIs" dxfId="67" priority="28" operator="greaterThan">
      <formula>$D$7-$L$7-$P$7-$X$7-$AB$7</formula>
    </cfRule>
  </conditionalFormatting>
  <conditionalFormatting sqref="X7">
    <cfRule type="cellIs" dxfId="66" priority="27" operator="greaterThan">
      <formula>$D$7-$L$7-$P$7-$T$7-$AB$7</formula>
    </cfRule>
  </conditionalFormatting>
  <conditionalFormatting sqref="X8">
    <cfRule type="cellIs" dxfId="65" priority="23" operator="lessThan">
      <formula>0</formula>
    </cfRule>
  </conditionalFormatting>
  <conditionalFormatting sqref="AB6">
    <cfRule type="cellIs" dxfId="64" priority="16" operator="lessThan">
      <formula>0</formula>
    </cfRule>
    <cfRule type="cellIs" dxfId="63" priority="20" operator="greaterThan">
      <formula>$D$6-$L$6-$P$6-$T$6-$X$6</formula>
    </cfRule>
  </conditionalFormatting>
  <conditionalFormatting sqref="AB7">
    <cfRule type="cellIs" dxfId="62" priority="14" operator="greaterThan">
      <formula>$D$7-$L$7-$P$7-$T$7-$X$7</formula>
    </cfRule>
    <cfRule type="cellIs" dxfId="61" priority="15" operator="lessThan">
      <formula>0</formula>
    </cfRule>
  </conditionalFormatting>
  <conditionalFormatting sqref="AB8">
    <cfRule type="cellIs" dxfId="60" priority="18" operator="lessThan">
      <formula>0</formula>
    </cfRule>
  </conditionalFormatting>
  <conditionalFormatting sqref="T8">
    <cfRule type="cellIs" dxfId="59" priority="13" operator="lessThan">
      <formula>0</formula>
    </cfRule>
  </conditionalFormatting>
  <conditionalFormatting sqref="F23:G23">
    <cfRule type="dataBar" priority="10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{AE3B7557-0F5E-43C6-AFF7-783E66AF7AD4}</x14:id>
        </ext>
      </extLst>
    </cfRule>
  </conditionalFormatting>
  <conditionalFormatting sqref="E24">
    <cfRule type="dataBar" priority="9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{109E118A-E888-4D98-941F-4608F5AD0445}</x14:id>
        </ext>
      </extLst>
    </cfRule>
  </conditionalFormatting>
  <conditionalFormatting sqref="F24:G24">
    <cfRule type="dataBar" priority="8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{570B7708-CDD9-4377-AB12-941CC580B6AA}</x14:id>
        </ext>
      </extLst>
    </cfRule>
  </conditionalFormatting>
  <conditionalFormatting sqref="E23">
    <cfRule type="dataBar" priority="7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{C922B981-C506-49C5-A9EB-8C5F99ACAD68}</x14:id>
        </ext>
      </extLst>
    </cfRule>
  </conditionalFormatting>
  <conditionalFormatting sqref="E25">
    <cfRule type="cellIs" dxfId="58" priority="4" operator="equal">
      <formula>0</formula>
    </cfRule>
    <cfRule type="dataBar" priority="6">
      <dataBar>
        <cfvo type="num" val="0"/>
        <cfvo type="num" val="$D$6"/>
        <color rgb="FFFFC000"/>
      </dataBar>
      <extLst>
        <ext xmlns:x14="http://schemas.microsoft.com/office/spreadsheetml/2009/9/main" uri="{B025F937-C7B1-47D3-B67F-A62EFF666E3E}">
          <x14:id>{67995D61-921B-4926-9E57-10A26CE06266}</x14:id>
        </ext>
      </extLst>
    </cfRule>
  </conditionalFormatting>
  <conditionalFormatting sqref="F25:G25">
    <cfRule type="cellIs" dxfId="57" priority="3" operator="equal">
      <formula>0</formula>
    </cfRule>
  </conditionalFormatting>
  <conditionalFormatting sqref="E21">
    <cfRule type="dataBar" priority="2">
      <dataBar>
        <cfvo type="num" val="10125000"/>
        <cfvo type="num" val="264750000"/>
        <color rgb="FFFFC000"/>
      </dataBar>
      <extLst>
        <ext xmlns:x14="http://schemas.microsoft.com/office/spreadsheetml/2009/9/main" uri="{B025F937-C7B1-47D3-B67F-A62EFF666E3E}">
          <x14:id>{129F24B5-E2F4-4F22-BD7B-138C6F5C4362}</x14:id>
        </ext>
      </extLst>
    </cfRule>
  </conditionalFormatting>
  <conditionalFormatting sqref="F21:G21">
    <cfRule type="dataBar" priority="1">
      <dataBar>
        <cfvo type="num" val="20250000"/>
        <cfvo type="num" val="529500000"/>
        <color rgb="FFFFCC00"/>
      </dataBar>
      <extLst>
        <ext xmlns:x14="http://schemas.microsoft.com/office/spreadsheetml/2009/9/main" uri="{B025F937-C7B1-47D3-B67F-A62EFF666E3E}">
          <x14:id>{1223887E-36EE-4D43-8542-F2C752D5462D}</x14:id>
        </ext>
      </extLst>
    </cfRule>
  </conditionalFormatting>
  <pageMargins left="0.7" right="0.7" top="0.75" bottom="0.75" header="0.3" footer="0.3"/>
  <pageSetup orientation="portrait" horizontalDpi="4294967293" verticalDpi="429496729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3B7557-0F5E-43C6-AFF7-783E66AF7A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F23:G23</xm:sqref>
        </x14:conditionalFormatting>
        <x14:conditionalFormatting xmlns:xm="http://schemas.microsoft.com/office/excel/2006/main">
          <x14:cfRule type="dataBar" id="{109E118A-E888-4D98-941F-4608F5AD04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570B7708-CDD9-4377-AB12-941CC580B6A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F24:G24</xm:sqref>
        </x14:conditionalFormatting>
        <x14:conditionalFormatting xmlns:xm="http://schemas.microsoft.com/office/excel/2006/main">
          <x14:cfRule type="dataBar" id="{C922B981-C506-49C5-A9EB-8C5F99ACAD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67995D61-921B-4926-9E57-10A26CE06266}">
            <x14:dataBar minLength="0" maxLength="100" gradient="0">
              <x14:cfvo type="num">
                <xm:f>0</xm:f>
              </x14:cfvo>
              <x14:cfvo type="num">
                <xm:f>$D$6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129F24B5-E2F4-4F22-BD7B-138C6F5C4362}">
            <x14:dataBar minLength="0" maxLength="100" gradient="0">
              <x14:cfvo type="num">
                <xm:f>10125000</xm:f>
              </x14:cfvo>
              <x14:cfvo type="num">
                <xm:f>264750000</xm:f>
              </x14:cfvo>
              <x14:negativeFill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1223887E-36EE-4D43-8542-F2C752D5462D}">
            <x14:dataBar minLength="0" maxLength="100" gradient="0">
              <x14:cfvo type="num">
                <xm:f>20250000</xm:f>
              </x14:cfvo>
              <x14:cfvo type="num">
                <xm:f>529500000</xm:f>
              </x14:cfvo>
              <x14:negativeFillColor rgb="FFFF0000"/>
              <x14:axisColor rgb="FF000000"/>
            </x14:dataBar>
          </x14:cfRule>
          <xm:sqref>F21:G21</xm:sqref>
        </x14:conditionalFormatting>
        <x14:conditionalFormatting xmlns:xm="http://schemas.microsoft.com/office/excel/2006/main">
          <x14:cfRule type="cellIs" priority="42" operator="greaterThan" id="{96DBC88E-9DDD-4A45-B7D9-BA5EEF2EB228}">
            <xm:f>data!$F$12+data!$F$13-data!$F$16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cellIs" priority="41" operator="greaterThan" id="{F4A21C43-C4CD-4E99-89C2-D4DFC1D5C928}">
            <xm:f>data!$F$18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ellIs" priority="40" operator="greaterThan" id="{AAED2599-31A1-4E41-8CCE-06374DB9629D}">
            <xm:f>data!$F$15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L10</xm:sqref>
        </x14:conditionalFormatting>
        <x14:conditionalFormatting xmlns:xm="http://schemas.microsoft.com/office/excel/2006/main">
          <x14:cfRule type="cellIs" priority="36" operator="greaterThan" id="{EFEFDE6D-319C-435C-9F26-2B76DD3132D9}">
            <xm:f>data!$F$11+data!$F$28-data!$F$31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P8</xm:sqref>
        </x14:conditionalFormatting>
        <x14:conditionalFormatting xmlns:xm="http://schemas.microsoft.com/office/excel/2006/main">
          <x14:cfRule type="cellIs" priority="35" operator="greaterThan" id="{D2FDC9A3-C872-4312-BDCD-46CAAE631E0E}">
            <xm:f>data!$F$9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ellIs" priority="37" operator="greaterThan" id="{0E0A9555-8DCB-4735-BE8B-A990E64C741A}">
            <xm:f>data!$F$30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P10</xm:sqref>
        </x14:conditionalFormatting>
        <x14:conditionalFormatting xmlns:xm="http://schemas.microsoft.com/office/excel/2006/main">
          <x14:cfRule type="cellIs" priority="22" operator="greaterThan" id="{A8BE7E57-F7FF-44FD-90EB-B526B9812425}">
            <xm:f>data!$F$18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X8</xm:sqref>
        </x14:conditionalFormatting>
        <x14:conditionalFormatting xmlns:xm="http://schemas.microsoft.com/office/excel/2006/main">
          <x14:cfRule type="cellIs" priority="17" operator="greaterThan" id="{E5BBB8BA-04BD-4E89-90FD-4E0D4DBE0759}">
            <xm:f>data!$F$9-data!$F$7-data!$F$29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AB8</xm:sqref>
        </x14:conditionalFormatting>
        <x14:conditionalFormatting xmlns:xm="http://schemas.microsoft.com/office/excel/2006/main">
          <x14:cfRule type="cellIs" priority="12" operator="greaterThan" id="{EC191EFD-39D9-4228-95C8-D5A1ACC61C38}">
            <xm:f>data!$F$37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T8</xm:sqref>
        </x14:conditionalFormatting>
        <x14:conditionalFormatting xmlns:xm="http://schemas.microsoft.com/office/excel/2006/main">
          <x14:cfRule type="dataBar" priority="5" id="{2D2A3E33-1E1F-4A8F-9C00-79CC17AE089E}">
            <x14:dataBar minLength="0" maxLength="100" gradient="0">
              <x14:cfvo type="num">
                <xm:f>0</xm:f>
              </x14:cfvo>
              <x14:cfvo type="num">
                <xm:f>$D$6+'lower basin'!$D$6</xm:f>
              </x14:cfvo>
              <x14:fillColor rgb="FFFFC000"/>
              <x14:negativeFillColor rgb="FFFF0000"/>
              <x14:axisColor rgb="FF000000"/>
            </x14:dataBar>
          </x14:cfRule>
          <xm:sqref>F25:G25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FFC000"/>
  </sheetPr>
  <dimension ref="A1:AE47"/>
  <sheetViews>
    <sheetView showGridLines="0" topLeftCell="A2" workbookViewId="0">
      <selection activeCell="L7" sqref="L7"/>
    </sheetView>
  </sheetViews>
  <sheetFormatPr defaultColWidth="8.85546875" defaultRowHeight="15" x14ac:dyDescent="0.25"/>
  <cols>
    <col min="1" max="1" width="4" customWidth="1"/>
    <col min="2" max="2" width="2.85546875" customWidth="1"/>
    <col min="3" max="3" width="23.140625" customWidth="1"/>
    <col min="4" max="4" width="7.28515625" customWidth="1"/>
    <col min="5" max="5" width="13.7109375" bestFit="1" customWidth="1"/>
    <col min="6" max="6" width="1.42578125" customWidth="1"/>
    <col min="7" max="7" width="10.42578125" customWidth="1"/>
    <col min="8" max="8" width="1.85546875" customWidth="1"/>
    <col min="9" max="9" width="23.42578125" bestFit="1" customWidth="1"/>
    <col min="10" max="10" width="1.42578125" customWidth="1"/>
    <col min="11" max="11" width="25.42578125" customWidth="1"/>
    <col min="12" max="12" width="8.42578125" customWidth="1"/>
    <col min="13" max="14" width="1.7109375" customWidth="1"/>
    <col min="15" max="15" width="25.140625" customWidth="1"/>
    <col min="16" max="16" width="8.85546875" customWidth="1"/>
    <col min="17" max="18" width="1.42578125" customWidth="1"/>
    <col min="19" max="19" width="20.140625" customWidth="1"/>
    <col min="20" max="20" width="8.140625" customWidth="1"/>
    <col min="21" max="22" width="1.7109375" customWidth="1"/>
    <col min="23" max="23" width="25.42578125" customWidth="1"/>
    <col min="24" max="24" width="6.140625" customWidth="1"/>
    <col min="25" max="25" width="1.85546875" customWidth="1"/>
    <col min="26" max="26" width="1.7109375" customWidth="1"/>
    <col min="27" max="27" width="21.42578125" bestFit="1" customWidth="1"/>
    <col min="28" max="28" width="6.140625" bestFit="1" customWidth="1"/>
    <col min="29" max="29" width="2.42578125" customWidth="1"/>
    <col min="31" max="31" width="0" hidden="1" customWidth="1"/>
  </cols>
  <sheetData>
    <row r="1" spans="1:31" ht="15" hidden="1" customHeight="1" x14ac:dyDescent="0.25">
      <c r="L1">
        <f>SUM(L6:L11)</f>
        <v>15</v>
      </c>
      <c r="P1">
        <f>SUM(P6:P11)</f>
        <v>50</v>
      </c>
      <c r="T1">
        <f>SUM(T6:T8)</f>
        <v>0</v>
      </c>
      <c r="X1">
        <f>SUM(X6:X8)</f>
        <v>0</v>
      </c>
      <c r="AB1">
        <f>SUM(AB6:AB7)</f>
        <v>0</v>
      </c>
    </row>
    <row r="2" spans="1:31" ht="15.75" customHeight="1" x14ac:dyDescent="0.3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2"/>
    </row>
    <row r="3" spans="1:31" ht="21.75" thickBot="1" x14ac:dyDescent="0.4">
      <c r="B3" s="221" t="s">
        <v>220</v>
      </c>
      <c r="C3" s="221"/>
      <c r="D3" s="221"/>
      <c r="E3" s="221"/>
      <c r="J3" s="221" t="s">
        <v>155</v>
      </c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</row>
    <row r="4" spans="1:31" ht="18" customHeight="1" x14ac:dyDescent="0.35">
      <c r="B4" s="35"/>
      <c r="C4" s="36"/>
      <c r="D4" s="37"/>
      <c r="E4" s="37"/>
      <c r="F4" s="38"/>
      <c r="G4" s="29"/>
      <c r="H4" s="29"/>
      <c r="J4" s="35"/>
      <c r="K4" s="94" t="s">
        <v>125</v>
      </c>
      <c r="L4" s="60"/>
      <c r="M4" s="60"/>
      <c r="N4" s="61"/>
      <c r="O4" s="94" t="s">
        <v>126</v>
      </c>
      <c r="P4" s="60"/>
      <c r="Q4" s="60"/>
      <c r="R4" s="61"/>
      <c r="S4" s="94" t="s">
        <v>114</v>
      </c>
      <c r="T4" s="60"/>
      <c r="U4" s="60"/>
      <c r="V4" s="61"/>
      <c r="W4" s="94" t="s">
        <v>131</v>
      </c>
      <c r="X4" s="60"/>
      <c r="Y4" s="37"/>
      <c r="Z4" s="61"/>
      <c r="AA4" s="94" t="s">
        <v>162</v>
      </c>
      <c r="AB4" s="60"/>
      <c r="AC4" s="38"/>
    </row>
    <row r="5" spans="1:31" ht="15.75" thickBot="1" x14ac:dyDescent="0.3">
      <c r="B5" s="65"/>
      <c r="C5" s="222" t="s">
        <v>269</v>
      </c>
      <c r="D5" s="223"/>
      <c r="E5" s="130" t="s">
        <v>140</v>
      </c>
      <c r="F5" s="77"/>
      <c r="G5" s="78"/>
      <c r="H5" s="78"/>
      <c r="I5" s="78"/>
      <c r="J5" s="65"/>
      <c r="K5" s="78"/>
      <c r="L5" s="79"/>
      <c r="M5" s="78"/>
      <c r="N5" s="80"/>
      <c r="O5" s="78"/>
      <c r="P5" s="79"/>
      <c r="Q5" s="69"/>
      <c r="R5" s="72"/>
      <c r="S5" s="78"/>
      <c r="T5" s="79"/>
      <c r="U5" s="79"/>
      <c r="V5" s="72"/>
      <c r="W5" s="78"/>
      <c r="X5" s="79"/>
      <c r="Y5" s="69"/>
      <c r="Z5" s="72"/>
      <c r="AA5" s="78"/>
      <c r="AB5" s="79"/>
      <c r="AC5" s="68"/>
    </row>
    <row r="6" spans="1:31" ht="15.75" thickBot="1" x14ac:dyDescent="0.3">
      <c r="B6" s="65"/>
      <c r="C6" s="66" t="s">
        <v>127</v>
      </c>
      <c r="D6" s="67">
        <f>500*(1+E6)</f>
        <v>500</v>
      </c>
      <c r="E6" s="194">
        <v>0</v>
      </c>
      <c r="F6" s="68"/>
      <c r="G6" s="69"/>
      <c r="H6" s="69"/>
      <c r="I6" s="69"/>
      <c r="J6" s="70"/>
      <c r="K6" s="71" t="s">
        <v>239</v>
      </c>
      <c r="L6" s="195">
        <v>5.5</v>
      </c>
      <c r="M6" s="69"/>
      <c r="N6" s="72"/>
      <c r="O6" s="73" t="s">
        <v>239</v>
      </c>
      <c r="P6" s="195">
        <v>30</v>
      </c>
      <c r="Q6" s="69"/>
      <c r="R6" s="72"/>
      <c r="S6" s="74" t="s">
        <v>239</v>
      </c>
      <c r="T6" s="195">
        <v>0</v>
      </c>
      <c r="U6" s="75"/>
      <c r="V6" s="72"/>
      <c r="W6" s="76" t="s">
        <v>239</v>
      </c>
      <c r="X6" s="195">
        <v>0</v>
      </c>
      <c r="Y6" s="78"/>
      <c r="Z6" s="72"/>
      <c r="AA6" s="100" t="s">
        <v>239</v>
      </c>
      <c r="AB6" s="195">
        <v>0</v>
      </c>
      <c r="AC6" s="77"/>
      <c r="AE6">
        <f>SUM(L6,P6,T6,X6,AB6)</f>
        <v>35.5</v>
      </c>
    </row>
    <row r="7" spans="1:31" ht="15.75" thickBot="1" x14ac:dyDescent="0.3">
      <c r="A7" s="29"/>
      <c r="B7" s="65"/>
      <c r="C7" s="66" t="s">
        <v>128</v>
      </c>
      <c r="D7" s="134">
        <f>data!F4*(1+E7)</f>
        <v>254.2</v>
      </c>
      <c r="E7" s="194">
        <v>0</v>
      </c>
      <c r="F7" s="68"/>
      <c r="G7" s="69"/>
      <c r="H7" s="69"/>
      <c r="I7" s="69"/>
      <c r="J7" s="70"/>
      <c r="K7" s="71" t="s">
        <v>240</v>
      </c>
      <c r="L7" s="195">
        <v>5</v>
      </c>
      <c r="M7" s="69"/>
      <c r="N7" s="72"/>
      <c r="O7" s="73" t="s">
        <v>240</v>
      </c>
      <c r="P7" s="195">
        <v>12.5</v>
      </c>
      <c r="Q7" s="69"/>
      <c r="R7" s="72"/>
      <c r="S7" s="74" t="s">
        <v>240</v>
      </c>
      <c r="T7" s="195">
        <v>0</v>
      </c>
      <c r="U7" s="75"/>
      <c r="V7" s="72"/>
      <c r="W7" s="76" t="s">
        <v>240</v>
      </c>
      <c r="X7" s="195">
        <v>0</v>
      </c>
      <c r="Y7" s="78"/>
      <c r="Z7" s="72"/>
      <c r="AA7" s="100" t="s">
        <v>240</v>
      </c>
      <c r="AB7" s="195">
        <v>0</v>
      </c>
      <c r="AC7" s="77"/>
      <c r="AE7">
        <f>SUM(L7,P7,T7,X7,AB7)</f>
        <v>17.5</v>
      </c>
    </row>
    <row r="8" spans="1:31" x14ac:dyDescent="0.25">
      <c r="B8" s="18"/>
      <c r="C8" s="224" t="s">
        <v>152</v>
      </c>
      <c r="D8" s="225"/>
      <c r="E8" s="131" t="s">
        <v>138</v>
      </c>
      <c r="F8" s="49"/>
      <c r="G8" s="39"/>
      <c r="H8" s="39"/>
      <c r="I8" s="33"/>
      <c r="J8" s="40"/>
      <c r="K8" s="44" t="s">
        <v>241</v>
      </c>
      <c r="L8" s="196">
        <v>1</v>
      </c>
      <c r="M8" s="39"/>
      <c r="N8" s="54"/>
      <c r="O8" s="45" t="s">
        <v>241</v>
      </c>
      <c r="P8" s="196">
        <v>1</v>
      </c>
      <c r="Q8" s="39"/>
      <c r="R8" s="54"/>
      <c r="S8" s="98" t="s">
        <v>243</v>
      </c>
      <c r="T8" s="199">
        <v>0</v>
      </c>
      <c r="U8" s="39"/>
      <c r="V8" s="54"/>
      <c r="W8" s="97" t="s">
        <v>242</v>
      </c>
      <c r="X8" s="200">
        <v>0</v>
      </c>
      <c r="Y8" s="29"/>
      <c r="Z8" s="54"/>
      <c r="AA8" s="32" t="s">
        <v>247</v>
      </c>
      <c r="AB8" s="198">
        <v>0</v>
      </c>
      <c r="AC8" s="30"/>
    </row>
    <row r="9" spans="1:31" x14ac:dyDescent="0.25">
      <c r="B9" s="18"/>
      <c r="C9" s="32" t="s">
        <v>162</v>
      </c>
      <c r="D9" s="47">
        <f>0*(1-AB8)</f>
        <v>0</v>
      </c>
      <c r="E9" s="48">
        <f>IF(D9=0,0,(data!F78+data!F79)/D9)</f>
        <v>0</v>
      </c>
      <c r="F9" s="30"/>
      <c r="G9" s="29"/>
      <c r="H9" s="29"/>
      <c r="I9" s="33"/>
      <c r="J9" s="40"/>
      <c r="K9" s="31" t="s">
        <v>242</v>
      </c>
      <c r="L9" s="197">
        <v>1</v>
      </c>
      <c r="M9" s="39"/>
      <c r="N9" s="54"/>
      <c r="O9" s="34" t="s">
        <v>242</v>
      </c>
      <c r="P9" s="197">
        <v>3.5</v>
      </c>
      <c r="Q9" s="39"/>
      <c r="R9" s="54"/>
      <c r="S9" s="32" t="s">
        <v>245</v>
      </c>
      <c r="T9" s="198">
        <v>0</v>
      </c>
      <c r="U9" s="39"/>
      <c r="V9" s="54"/>
      <c r="W9" s="46" t="s">
        <v>246</v>
      </c>
      <c r="X9" s="201">
        <v>0</v>
      </c>
      <c r="Y9" s="29"/>
      <c r="Z9" s="54"/>
      <c r="AA9" s="29"/>
      <c r="AB9" s="29"/>
      <c r="AC9" s="30"/>
    </row>
    <row r="10" spans="1:31" x14ac:dyDescent="0.25">
      <c r="B10" s="18"/>
      <c r="C10" s="32" t="s">
        <v>125</v>
      </c>
      <c r="D10" s="47">
        <f>40*(1-L12)</f>
        <v>40</v>
      </c>
      <c r="E10" s="48">
        <f>IF(D10=0,0,(data!F52+data!F53+data!F54+data!F56)/D10)</f>
        <v>0.375</v>
      </c>
      <c r="F10" s="49"/>
      <c r="G10" s="39"/>
      <c r="H10" s="39"/>
      <c r="I10" s="33"/>
      <c r="J10" s="40"/>
      <c r="K10" s="31" t="s">
        <v>243</v>
      </c>
      <c r="L10" s="197">
        <v>0.5</v>
      </c>
      <c r="M10" s="39"/>
      <c r="N10" s="54"/>
      <c r="O10" s="34" t="s">
        <v>243</v>
      </c>
      <c r="P10" s="197">
        <v>1</v>
      </c>
      <c r="Q10" s="39"/>
      <c r="R10" s="54"/>
      <c r="U10" s="39"/>
      <c r="V10" s="54"/>
      <c r="W10" s="39"/>
      <c r="X10" s="29"/>
      <c r="Y10" s="29"/>
      <c r="Z10" s="54"/>
      <c r="AA10" s="39"/>
      <c r="AB10" s="29"/>
      <c r="AC10" s="30"/>
    </row>
    <row r="11" spans="1:31" x14ac:dyDescent="0.25">
      <c r="B11" s="18"/>
      <c r="C11" s="32" t="s">
        <v>134</v>
      </c>
      <c r="D11" s="47">
        <f>0*(1-X9)</f>
        <v>0</v>
      </c>
      <c r="E11" s="48">
        <f>IF(D11=0,0,(data!F58+data!F59+data!F72)/'lower basin'!D11)</f>
        <v>0</v>
      </c>
      <c r="F11" s="30"/>
      <c r="G11" s="39"/>
      <c r="H11" s="39"/>
      <c r="J11" s="18"/>
      <c r="K11" s="135" t="s">
        <v>244</v>
      </c>
      <c r="L11" s="197">
        <v>2</v>
      </c>
      <c r="M11" s="29"/>
      <c r="N11" s="55"/>
      <c r="O11" s="136" t="s">
        <v>244</v>
      </c>
      <c r="P11" s="197">
        <v>2</v>
      </c>
      <c r="Q11" s="39"/>
      <c r="R11" s="54"/>
      <c r="S11" s="29"/>
      <c r="T11" s="29"/>
      <c r="U11" s="29"/>
      <c r="V11" s="55"/>
      <c r="Y11" s="29"/>
      <c r="Z11" s="55"/>
      <c r="AA11" s="29"/>
      <c r="AB11" s="29"/>
      <c r="AC11" s="30"/>
    </row>
    <row r="12" spans="1:31" x14ac:dyDescent="0.25">
      <c r="B12" s="18"/>
      <c r="C12" s="32" t="s">
        <v>126</v>
      </c>
      <c r="D12" s="47">
        <f>50*(1-P12)</f>
        <v>50</v>
      </c>
      <c r="E12" s="48">
        <f>IF(D12=0,0,(data!F67+data!F45+data!F68+data!F69)/'lower basin'!D12)</f>
        <v>1</v>
      </c>
      <c r="F12" s="30"/>
      <c r="G12" s="29"/>
      <c r="H12" s="29"/>
      <c r="J12" s="18"/>
      <c r="K12" s="32" t="s">
        <v>272</v>
      </c>
      <c r="L12" s="198">
        <v>0</v>
      </c>
      <c r="M12" s="29"/>
      <c r="N12" s="55"/>
      <c r="O12" s="32" t="s">
        <v>272</v>
      </c>
      <c r="P12" s="198">
        <v>0</v>
      </c>
      <c r="Q12" s="29"/>
      <c r="R12" s="55"/>
      <c r="S12" s="29"/>
      <c r="T12" s="29"/>
      <c r="U12" s="29"/>
      <c r="V12" s="55"/>
      <c r="W12" s="29"/>
      <c r="X12" s="39"/>
      <c r="Y12" s="29"/>
      <c r="Z12" s="55"/>
      <c r="AA12" s="29"/>
      <c r="AB12" s="29"/>
      <c r="AC12" s="30"/>
    </row>
    <row r="13" spans="1:31" x14ac:dyDescent="0.25">
      <c r="B13" s="18"/>
      <c r="C13" s="32" t="s">
        <v>114</v>
      </c>
      <c r="D13" s="47">
        <f>0*(1-T9)</f>
        <v>0</v>
      </c>
      <c r="E13" s="48">
        <f>IF(D13=0,0,(data!F73+data!F74+data!F75)/'lower basin'!D13)</f>
        <v>0</v>
      </c>
      <c r="F13" s="30"/>
      <c r="G13" s="29"/>
      <c r="H13" s="29"/>
      <c r="J13" s="18"/>
      <c r="K13" s="204"/>
      <c r="L13" s="205"/>
      <c r="M13" s="95"/>
      <c r="N13" s="29"/>
      <c r="O13" s="204"/>
      <c r="P13" s="205"/>
      <c r="Q13" s="95"/>
      <c r="R13" s="29"/>
      <c r="S13" s="29"/>
      <c r="T13" s="29"/>
      <c r="U13" s="95"/>
      <c r="V13" s="29"/>
      <c r="W13" s="29"/>
      <c r="X13" s="39"/>
      <c r="Y13" s="29"/>
      <c r="Z13" s="55"/>
      <c r="AA13" s="29"/>
      <c r="AB13" s="29"/>
      <c r="AC13" s="30"/>
    </row>
    <row r="14" spans="1:31" ht="15.75" thickBot="1" x14ac:dyDescent="0.3">
      <c r="B14" s="41"/>
      <c r="C14" s="42"/>
      <c r="D14" s="42"/>
      <c r="E14" s="42"/>
      <c r="F14" s="43"/>
      <c r="G14" s="29"/>
      <c r="H14" s="29"/>
      <c r="J14" s="18"/>
      <c r="K14" s="29"/>
      <c r="L14" s="29"/>
      <c r="M14" s="95"/>
      <c r="N14" s="29"/>
      <c r="O14" s="29"/>
      <c r="P14" s="29"/>
      <c r="Q14" s="95"/>
      <c r="R14" s="29"/>
      <c r="S14" s="29"/>
      <c r="T14" s="29"/>
      <c r="U14" s="95"/>
      <c r="V14" s="29"/>
      <c r="W14" s="29"/>
      <c r="X14" s="29"/>
      <c r="Y14" s="29"/>
      <c r="Z14" s="55"/>
      <c r="AA14" s="29"/>
      <c r="AB14" s="29"/>
      <c r="AC14" s="30"/>
    </row>
    <row r="15" spans="1:31" x14ac:dyDescent="0.25">
      <c r="G15" s="29"/>
      <c r="H15" s="29"/>
      <c r="J15" s="18"/>
      <c r="K15" s="29"/>
      <c r="L15" s="29"/>
      <c r="M15" s="29"/>
      <c r="N15" s="55"/>
      <c r="O15" s="29"/>
      <c r="P15" s="29"/>
      <c r="Q15" s="29"/>
      <c r="R15" s="55"/>
      <c r="S15" s="29"/>
      <c r="T15" s="29"/>
      <c r="U15" s="29"/>
      <c r="V15" s="55"/>
      <c r="W15" s="29"/>
      <c r="X15" s="29"/>
      <c r="Y15" s="29"/>
      <c r="Z15" s="55"/>
      <c r="AA15" s="29"/>
      <c r="AB15" s="29"/>
      <c r="AC15" s="99"/>
    </row>
    <row r="16" spans="1:31" x14ac:dyDescent="0.25">
      <c r="G16" s="29"/>
      <c r="H16" s="29"/>
      <c r="J16" s="18"/>
      <c r="K16" s="29"/>
      <c r="L16" s="29"/>
      <c r="M16" s="58"/>
      <c r="N16" s="59"/>
      <c r="O16" s="58"/>
      <c r="P16" s="51"/>
      <c r="Q16" s="51"/>
      <c r="R16" s="57"/>
      <c r="S16" s="29"/>
      <c r="T16" s="29"/>
      <c r="U16" s="29"/>
      <c r="V16" s="55"/>
      <c r="W16" s="29"/>
      <c r="X16" s="29"/>
      <c r="Y16" s="29"/>
      <c r="Z16" s="55"/>
      <c r="AA16" s="29"/>
      <c r="AB16" s="29"/>
      <c r="AC16" s="30"/>
    </row>
    <row r="17" spans="1:29" ht="17.100000000000001" customHeight="1" x14ac:dyDescent="0.25">
      <c r="J17" s="18"/>
      <c r="K17" s="29"/>
      <c r="L17" s="29"/>
      <c r="M17" s="29"/>
      <c r="N17" s="55"/>
      <c r="O17" s="29"/>
      <c r="P17" s="29"/>
      <c r="Q17" s="29"/>
      <c r="R17" s="55"/>
      <c r="S17" s="29"/>
      <c r="T17" s="29"/>
      <c r="U17" s="29"/>
      <c r="V17" s="55"/>
      <c r="W17" s="29"/>
      <c r="X17" s="29"/>
      <c r="Y17" s="29"/>
      <c r="Z17" s="55"/>
      <c r="AA17" s="29"/>
      <c r="AB17" s="29"/>
      <c r="AC17" s="30"/>
    </row>
    <row r="18" spans="1:29" ht="21.95" customHeight="1" thickBot="1" x14ac:dyDescent="0.4">
      <c r="B18" s="227" t="s">
        <v>268</v>
      </c>
      <c r="C18" s="227"/>
      <c r="D18" s="227"/>
      <c r="E18" s="227"/>
      <c r="F18" s="227"/>
      <c r="G18" s="227"/>
      <c r="H18" s="227"/>
      <c r="J18" s="18"/>
      <c r="K18" s="29"/>
      <c r="L18" s="29"/>
      <c r="M18" s="29"/>
      <c r="N18" s="55"/>
      <c r="O18" s="29"/>
      <c r="P18" s="29"/>
      <c r="Q18" s="29"/>
      <c r="R18" s="55"/>
      <c r="S18" s="29"/>
      <c r="T18" s="29"/>
      <c r="U18" s="29"/>
      <c r="V18" s="55"/>
      <c r="W18" s="29"/>
      <c r="X18" s="29"/>
      <c r="Y18" s="29"/>
      <c r="Z18" s="55"/>
      <c r="AA18" s="29"/>
      <c r="AB18" s="29"/>
      <c r="AC18" s="30"/>
    </row>
    <row r="19" spans="1:29" x14ac:dyDescent="0.25">
      <c r="B19" s="35"/>
      <c r="C19" s="37"/>
      <c r="D19" s="101"/>
      <c r="E19" s="101"/>
      <c r="F19" s="37"/>
      <c r="G19" s="37"/>
      <c r="H19" s="38"/>
      <c r="J19" s="18"/>
      <c r="K19" s="29"/>
      <c r="L19" s="29"/>
      <c r="M19" s="29"/>
      <c r="N19" s="55"/>
      <c r="O19" s="29"/>
      <c r="P19" s="29"/>
      <c r="Q19" s="29"/>
      <c r="R19" s="55"/>
      <c r="S19" s="29"/>
      <c r="T19" s="29"/>
      <c r="U19" s="29"/>
      <c r="V19" s="55"/>
      <c r="W19" s="29"/>
      <c r="X19" s="29"/>
      <c r="Y19" s="29"/>
      <c r="Z19" s="55"/>
      <c r="AA19" s="29"/>
      <c r="AB19" s="29"/>
      <c r="AC19" s="30"/>
    </row>
    <row r="20" spans="1:29" x14ac:dyDescent="0.25">
      <c r="B20" s="18"/>
      <c r="C20" s="29"/>
      <c r="D20" s="29"/>
      <c r="E20" s="128" t="s">
        <v>71</v>
      </c>
      <c r="F20" s="230" t="s">
        <v>274</v>
      </c>
      <c r="G20" s="230"/>
      <c r="H20" s="30"/>
      <c r="J20" s="18"/>
      <c r="K20" s="29"/>
      <c r="L20" s="29"/>
      <c r="M20" s="29"/>
      <c r="N20" s="55"/>
      <c r="O20" s="29"/>
      <c r="P20" s="29"/>
      <c r="Q20" s="29"/>
      <c r="R20" s="55"/>
      <c r="S20" s="29"/>
      <c r="T20" s="29"/>
      <c r="U20" s="29"/>
      <c r="V20" s="55"/>
      <c r="W20" s="29"/>
      <c r="X20" s="29"/>
      <c r="Y20" s="29"/>
      <c r="Z20" s="55"/>
      <c r="AA20" s="29"/>
      <c r="AB20" s="29"/>
      <c r="AC20" s="30"/>
    </row>
    <row r="21" spans="1:29" x14ac:dyDescent="0.25">
      <c r="A21" s="29"/>
      <c r="B21" s="18">
        <v>1</v>
      </c>
      <c r="C21" s="232" t="s">
        <v>212</v>
      </c>
      <c r="D21" s="232"/>
      <c r="E21" s="87">
        <f>SUM(data!H44:H83)*1000</f>
        <v>26670000</v>
      </c>
      <c r="F21" s="233">
        <f>SUM(data!H2:H83)*1000</f>
        <v>34070000</v>
      </c>
      <c r="G21" s="233"/>
      <c r="H21" s="30"/>
      <c r="J21" s="18"/>
      <c r="K21" s="29"/>
      <c r="L21" s="29"/>
      <c r="M21" s="51"/>
      <c r="N21" s="57"/>
      <c r="O21" s="51"/>
      <c r="P21" s="51"/>
      <c r="Q21" s="51"/>
      <c r="R21" s="57"/>
      <c r="S21" s="29"/>
      <c r="T21" s="29"/>
      <c r="U21" s="29"/>
      <c r="V21" s="55"/>
      <c r="W21" s="29"/>
      <c r="X21" s="29"/>
      <c r="Y21" s="29"/>
      <c r="Z21" s="55"/>
      <c r="AA21" s="29"/>
      <c r="AB21" s="29"/>
      <c r="AC21" s="30"/>
    </row>
    <row r="22" spans="1:29" x14ac:dyDescent="0.25">
      <c r="A22" s="29"/>
      <c r="B22" s="18">
        <v>2</v>
      </c>
      <c r="C22" s="232" t="s">
        <v>153</v>
      </c>
      <c r="D22" s="232"/>
      <c r="E22" s="87">
        <f>SUM(data!J44:J80)/1000</f>
        <v>17326.102103699999</v>
      </c>
      <c r="F22" s="233">
        <f>SUM(data!J2:J80)/1000</f>
        <v>27324.705574500003</v>
      </c>
      <c r="G22" s="233"/>
      <c r="H22" s="30"/>
      <c r="J22" s="18"/>
      <c r="K22" s="29"/>
      <c r="L22" s="29"/>
      <c r="M22" s="29"/>
      <c r="N22" s="55"/>
      <c r="O22" s="29"/>
      <c r="P22" s="29"/>
      <c r="Q22" s="29"/>
      <c r="R22" s="55"/>
      <c r="S22" s="29"/>
      <c r="T22" s="29"/>
      <c r="U22" s="29"/>
      <c r="V22" s="55"/>
      <c r="W22" s="29"/>
      <c r="X22" s="29"/>
      <c r="Y22" s="29"/>
      <c r="Z22" s="114"/>
      <c r="AA22" s="29"/>
      <c r="AB22" s="29"/>
      <c r="AC22" s="30"/>
    </row>
    <row r="23" spans="1:29" x14ac:dyDescent="0.25">
      <c r="A23" s="29"/>
      <c r="B23" s="18">
        <v>3</v>
      </c>
      <c r="C23" s="232" t="s">
        <v>221</v>
      </c>
      <c r="D23" s="232"/>
      <c r="E23" s="202">
        <f>(K37+O37+S37+W37)/4</f>
        <v>0.10364583333333333</v>
      </c>
      <c r="F23" s="228">
        <f>(E23+'upper basin'!E23)/2</f>
        <v>5.8072916666666662E-2</v>
      </c>
      <c r="G23" s="228"/>
      <c r="H23" s="30"/>
      <c r="J23" s="18"/>
      <c r="K23" s="29"/>
      <c r="L23" s="29"/>
      <c r="M23" s="29"/>
      <c r="N23" s="55"/>
      <c r="O23" s="29"/>
      <c r="P23" s="29"/>
      <c r="Q23" s="29"/>
      <c r="R23" s="55"/>
      <c r="S23" s="29"/>
      <c r="T23" s="29"/>
      <c r="U23" s="29"/>
      <c r="V23" s="55"/>
      <c r="W23" s="29"/>
      <c r="X23" s="29"/>
      <c r="Y23" s="29"/>
      <c r="Z23" s="55"/>
      <c r="AA23" s="29"/>
      <c r="AB23" s="29"/>
      <c r="AC23" s="30"/>
    </row>
    <row r="24" spans="1:29" x14ac:dyDescent="0.25">
      <c r="A24" s="29"/>
      <c r="B24" s="18">
        <v>4</v>
      </c>
      <c r="C24" s="235" t="s">
        <v>271</v>
      </c>
      <c r="D24" s="236"/>
      <c r="E24" s="202">
        <f>AVERAGE(E9:E13)</f>
        <v>0.27500000000000002</v>
      </c>
      <c r="F24" s="237">
        <f>AVERAGE(E24,'upper basin'!E24)</f>
        <v>0.4375</v>
      </c>
      <c r="G24" s="238"/>
      <c r="H24" s="30"/>
      <c r="J24" s="18"/>
      <c r="K24" s="29"/>
      <c r="L24" s="29"/>
      <c r="M24" s="29"/>
      <c r="N24" s="55"/>
      <c r="O24" s="29"/>
      <c r="P24" s="29"/>
      <c r="Q24" s="29"/>
      <c r="R24" s="55"/>
      <c r="S24" s="29"/>
      <c r="T24" s="29"/>
      <c r="U24" s="29"/>
      <c r="V24" s="55"/>
      <c r="W24" s="29"/>
      <c r="X24" s="29"/>
      <c r="Y24" s="29"/>
      <c r="Z24" s="55"/>
      <c r="AA24" s="29"/>
      <c r="AB24" s="29"/>
      <c r="AC24" s="30"/>
    </row>
    <row r="25" spans="1:29" x14ac:dyDescent="0.25">
      <c r="A25" s="29"/>
      <c r="B25" s="18">
        <v>5</v>
      </c>
      <c r="C25" s="235" t="s">
        <v>270</v>
      </c>
      <c r="D25" s="236"/>
      <c r="E25" s="203">
        <f>data!F50+data!F79+data!F59+data!F65+data!F63-data!F70-data!F61-data!F71</f>
        <v>31.949999999999996</v>
      </c>
      <c r="F25" s="239">
        <f>E25+'upper basin'!E25</f>
        <v>74.449999999999989</v>
      </c>
      <c r="G25" s="240"/>
      <c r="H25" s="30"/>
      <c r="J25" s="18"/>
      <c r="K25" s="29"/>
      <c r="L25" s="29"/>
      <c r="M25" s="29"/>
      <c r="N25" s="55"/>
      <c r="O25" s="29"/>
      <c r="P25" s="29"/>
      <c r="Q25" s="29"/>
      <c r="R25" s="55"/>
      <c r="S25" s="29"/>
      <c r="T25" s="29"/>
      <c r="U25" s="29"/>
      <c r="V25" s="55"/>
      <c r="W25" s="29"/>
      <c r="X25" s="29"/>
      <c r="Y25" s="29"/>
      <c r="Z25" s="55"/>
      <c r="AA25" s="29"/>
      <c r="AB25" s="29"/>
      <c r="AC25" s="30"/>
    </row>
    <row r="26" spans="1:29" x14ac:dyDescent="0.25">
      <c r="A26" s="29"/>
      <c r="B26" s="18">
        <v>6</v>
      </c>
      <c r="C26" s="232" t="s">
        <v>139</v>
      </c>
      <c r="D26" s="232"/>
      <c r="E26" s="126"/>
      <c r="F26" s="229"/>
      <c r="G26" s="229"/>
      <c r="H26" s="30"/>
      <c r="J26" s="18"/>
      <c r="K26" s="29"/>
      <c r="L26" s="29"/>
      <c r="M26" s="29"/>
      <c r="N26" s="55"/>
      <c r="O26" s="29"/>
      <c r="P26" s="29"/>
      <c r="Q26" s="29"/>
      <c r="R26" s="55"/>
      <c r="S26" s="29"/>
      <c r="T26" s="29"/>
      <c r="U26" s="29"/>
      <c r="V26" s="55"/>
      <c r="W26" s="29"/>
      <c r="X26" s="29"/>
      <c r="Y26" s="29"/>
      <c r="Z26" s="55"/>
      <c r="AA26" s="29"/>
      <c r="AB26" s="29"/>
      <c r="AC26" s="30"/>
    </row>
    <row r="27" spans="1:29" ht="15.75" thickBot="1" x14ac:dyDescent="0.3">
      <c r="A27" s="29"/>
      <c r="B27" s="18"/>
      <c r="C27" s="214" t="s">
        <v>151</v>
      </c>
      <c r="D27" s="214"/>
      <c r="E27" s="133">
        <f>data!F6</f>
        <v>255.39999999999998</v>
      </c>
      <c r="F27" s="229"/>
      <c r="G27" s="229"/>
      <c r="H27" s="30"/>
      <c r="J27" s="41"/>
      <c r="K27" s="42"/>
      <c r="L27" s="42"/>
      <c r="M27" s="42"/>
      <c r="N27" s="56"/>
      <c r="O27" s="42"/>
      <c r="P27" s="42"/>
      <c r="Q27" s="42"/>
      <c r="R27" s="56"/>
      <c r="S27" s="42"/>
      <c r="T27" s="42"/>
      <c r="U27" s="42"/>
      <c r="V27" s="56"/>
      <c r="W27" s="42"/>
      <c r="X27" s="42"/>
      <c r="Y27" s="42"/>
      <c r="Z27" s="56"/>
      <c r="AA27" s="42"/>
      <c r="AB27" s="42"/>
      <c r="AC27" s="43"/>
    </row>
    <row r="28" spans="1:29" x14ac:dyDescent="0.25">
      <c r="A28" s="29"/>
      <c r="B28" s="18"/>
      <c r="C28" s="214" t="s">
        <v>154</v>
      </c>
      <c r="D28" s="214"/>
      <c r="E28" s="133">
        <f>data!K6</f>
        <v>98.781666620079548</v>
      </c>
      <c r="F28" s="229"/>
      <c r="G28" s="229"/>
      <c r="H28" s="30"/>
      <c r="K28" t="s">
        <v>226</v>
      </c>
    </row>
    <row r="29" spans="1:29" ht="15.75" thickBot="1" x14ac:dyDescent="0.3">
      <c r="A29" s="29"/>
      <c r="B29" s="41"/>
      <c r="C29" s="241" t="s">
        <v>238</v>
      </c>
      <c r="D29" s="241"/>
      <c r="E29" s="241"/>
      <c r="F29" s="241"/>
      <c r="G29" s="241"/>
      <c r="H29" s="43"/>
    </row>
    <row r="30" spans="1:29" x14ac:dyDescent="0.25">
      <c r="A30" s="29"/>
      <c r="B30" s="29"/>
      <c r="C30" s="138"/>
      <c r="D30" s="138"/>
      <c r="E30" s="138"/>
      <c r="F30" s="138"/>
      <c r="G30" s="138"/>
      <c r="H30" s="29"/>
    </row>
    <row r="31" spans="1:29" ht="21.75" thickBot="1" x14ac:dyDescent="0.3">
      <c r="B31" s="234" t="s">
        <v>267</v>
      </c>
      <c r="C31" s="234"/>
      <c r="D31" s="234"/>
      <c r="E31" s="234"/>
      <c r="F31" s="234"/>
      <c r="G31" s="29"/>
      <c r="H31" s="226" t="s">
        <v>219</v>
      </c>
      <c r="I31" s="226"/>
      <c r="J31" s="226"/>
      <c r="K31" s="226"/>
      <c r="L31" s="226"/>
      <c r="M31" s="226"/>
      <c r="N31" s="226"/>
      <c r="O31" s="226"/>
      <c r="P31" s="226"/>
      <c r="Q31" s="226"/>
      <c r="R31" s="226"/>
      <c r="S31" s="226"/>
      <c r="T31" s="226"/>
      <c r="U31" s="226"/>
      <c r="V31" s="226"/>
      <c r="W31" s="226"/>
      <c r="X31" s="226"/>
      <c r="Y31" s="226"/>
      <c r="Z31" s="226"/>
      <c r="AA31" s="226"/>
      <c r="AB31" s="226"/>
      <c r="AC31" s="226"/>
    </row>
    <row r="32" spans="1:29" x14ac:dyDescent="0.25">
      <c r="B32" s="35"/>
      <c r="C32" s="37"/>
      <c r="D32" s="37"/>
      <c r="E32" s="37"/>
      <c r="F32" s="38"/>
      <c r="G32" s="29"/>
      <c r="H32" s="35"/>
      <c r="I32" s="37"/>
      <c r="J32" s="37"/>
      <c r="K32" s="220" t="s">
        <v>125</v>
      </c>
      <c r="L32" s="220"/>
      <c r="M32" s="129"/>
      <c r="N32" s="129"/>
      <c r="O32" s="220" t="s">
        <v>126</v>
      </c>
      <c r="P32" s="220"/>
      <c r="Q32" s="129"/>
      <c r="R32" s="129"/>
      <c r="S32" s="220" t="s">
        <v>114</v>
      </c>
      <c r="T32" s="220"/>
      <c r="U32" s="129"/>
      <c r="V32" s="129"/>
      <c r="W32" s="220" t="s">
        <v>131</v>
      </c>
      <c r="X32" s="220"/>
      <c r="Y32" s="129"/>
      <c r="Z32" s="129"/>
      <c r="AA32" s="220" t="s">
        <v>162</v>
      </c>
      <c r="AB32" s="220"/>
      <c r="AC32" s="38"/>
    </row>
    <row r="33" spans="2:30" ht="15" customHeight="1" x14ac:dyDescent="0.25">
      <c r="B33" s="18"/>
      <c r="C33" s="125" t="s">
        <v>161</v>
      </c>
      <c r="D33" s="218" t="s">
        <v>136</v>
      </c>
      <c r="E33" s="219"/>
      <c r="F33" s="30"/>
      <c r="G33" s="29"/>
      <c r="H33" s="18"/>
      <c r="I33" s="50" t="s">
        <v>212</v>
      </c>
      <c r="J33" s="29"/>
      <c r="K33" s="211">
        <f>(data!H49+data!H50+data!H51+data!H52+data!H53+data!H54+data!H55+data!H56+data!H57+data!H70+data!H82)*1000</f>
        <v>9296250</v>
      </c>
      <c r="L33" s="211"/>
      <c r="M33" s="127"/>
      <c r="N33" s="127"/>
      <c r="O33" s="211">
        <f>(data!H44+data!H45+data!H46+data!H48+data!H65+data!H66+data!H67+data!H68+data!H71+data!H83)*1000</f>
        <v>15373750</v>
      </c>
      <c r="P33" s="211"/>
      <c r="Q33" s="127"/>
      <c r="R33" s="127"/>
      <c r="S33" s="211">
        <f>(data!H62+data!H63+data!H64+data!H73+data!H74+data!H75+data!H76+data!H77)*1000</f>
        <v>0</v>
      </c>
      <c r="T33" s="211"/>
      <c r="U33" s="127"/>
      <c r="V33" s="127"/>
      <c r="W33" s="211">
        <f>(data!H58+data!H59+data!H60+data!H61+data!H72)*1000</f>
        <v>0</v>
      </c>
      <c r="X33" s="211"/>
      <c r="Y33" s="127"/>
      <c r="Z33" s="127"/>
      <c r="AA33" s="211">
        <f>(data!H78+data!H79+data!H80)*1000</f>
        <v>0</v>
      </c>
      <c r="AB33" s="211"/>
      <c r="AC33" s="30"/>
    </row>
    <row r="34" spans="2:30" x14ac:dyDescent="0.25">
      <c r="B34" s="18"/>
      <c r="C34" s="115" t="s">
        <v>157</v>
      </c>
      <c r="D34" s="212">
        <v>400</v>
      </c>
      <c r="E34" s="213"/>
      <c r="F34" s="30"/>
      <c r="H34" s="18"/>
      <c r="I34" s="113" t="s">
        <v>217</v>
      </c>
      <c r="J34" s="29"/>
      <c r="K34" s="210">
        <f>K33/$F$21</f>
        <v>0.27285735250953919</v>
      </c>
      <c r="L34" s="210"/>
      <c r="M34" s="127"/>
      <c r="N34" s="127"/>
      <c r="O34" s="210">
        <f>O33/$F$21</f>
        <v>0.45124009392427356</v>
      </c>
      <c r="P34" s="210"/>
      <c r="Q34" s="127"/>
      <c r="R34" s="127"/>
      <c r="S34" s="210">
        <f>S33/$F$21</f>
        <v>0</v>
      </c>
      <c r="T34" s="210"/>
      <c r="U34" s="127"/>
      <c r="V34" s="127"/>
      <c r="W34" s="210">
        <f>W33/$F$21</f>
        <v>0</v>
      </c>
      <c r="X34" s="210"/>
      <c r="Y34" s="127"/>
      <c r="Z34" s="127"/>
      <c r="AA34" s="210">
        <f>AA33/$F$21</f>
        <v>0</v>
      </c>
      <c r="AB34" s="210"/>
      <c r="AC34" s="30"/>
    </row>
    <row r="35" spans="2:30" x14ac:dyDescent="0.25">
      <c r="B35" s="18"/>
      <c r="C35" s="115" t="s">
        <v>158</v>
      </c>
      <c r="D35" s="212">
        <v>90</v>
      </c>
      <c r="E35" s="213"/>
      <c r="F35" s="30"/>
      <c r="H35" s="18"/>
      <c r="I35" s="50" t="s">
        <v>153</v>
      </c>
      <c r="J35" s="29"/>
      <c r="K35" s="211">
        <f>(data!J82+data!J49+data!J50+data!J51+data!J52+data!J53+data!J54+data!J55+data!J56+data!J57+data!J70)/1000</f>
        <v>9046.9722621000001</v>
      </c>
      <c r="L35" s="211"/>
      <c r="M35" s="127"/>
      <c r="N35" s="127"/>
      <c r="O35" s="211">
        <f>(data!J11+data!J28+data!J29+data!J30+data!J31+data!J32+data!J8+data!J9+data!J7+data!J34)/1000</f>
        <v>0</v>
      </c>
      <c r="P35" s="211"/>
      <c r="Q35" s="127"/>
      <c r="R35" s="127"/>
      <c r="S35" s="211">
        <f>(data!J62+data!J63+data!J64+data!J73+data!J74+data!J75+data!J76+data!J77)/1000</f>
        <v>0</v>
      </c>
      <c r="T35" s="211"/>
      <c r="U35" s="127"/>
      <c r="V35" s="127"/>
      <c r="W35" s="211">
        <f>(data!J58+data!J59+data!J60+data!J61+data!J72)/1000</f>
        <v>0</v>
      </c>
      <c r="X35" s="211"/>
      <c r="Y35" s="127"/>
      <c r="Z35" s="127"/>
      <c r="AA35" s="211">
        <f>(data!J78+data!J79+data!J80)/1000</f>
        <v>0</v>
      </c>
      <c r="AB35" s="211"/>
      <c r="AC35" s="30"/>
    </row>
    <row r="36" spans="2:30" x14ac:dyDescent="0.25">
      <c r="B36" s="18"/>
      <c r="C36" s="115" t="s">
        <v>129</v>
      </c>
      <c r="D36" s="212">
        <v>1500</v>
      </c>
      <c r="E36" s="213"/>
      <c r="F36" s="30"/>
      <c r="H36" s="18"/>
      <c r="I36" s="113" t="s">
        <v>218</v>
      </c>
      <c r="J36" s="29"/>
      <c r="K36" s="210">
        <f>K35/$F$22</f>
        <v>0.33109129895045702</v>
      </c>
      <c r="L36" s="210"/>
      <c r="M36" s="128"/>
      <c r="N36" s="128"/>
      <c r="O36" s="210">
        <f>O35/$F$22</f>
        <v>0</v>
      </c>
      <c r="P36" s="210"/>
      <c r="Q36" s="128"/>
      <c r="R36" s="128"/>
      <c r="S36" s="210">
        <f>S35/$F$22</f>
        <v>0</v>
      </c>
      <c r="T36" s="210"/>
      <c r="U36" s="128"/>
      <c r="V36" s="128"/>
      <c r="W36" s="210">
        <f>W35/$F$22</f>
        <v>0</v>
      </c>
      <c r="X36" s="210"/>
      <c r="Y36" s="128"/>
      <c r="Z36" s="128"/>
      <c r="AA36" s="210">
        <f>AA35/$F$22</f>
        <v>0</v>
      </c>
      <c r="AB36" s="210"/>
      <c r="AC36" s="30"/>
    </row>
    <row r="37" spans="2:30" x14ac:dyDescent="0.25">
      <c r="B37" s="18"/>
      <c r="C37" s="115" t="s">
        <v>130</v>
      </c>
      <c r="D37" s="212">
        <v>520</v>
      </c>
      <c r="E37" s="213"/>
      <c r="F37" s="30"/>
      <c r="G37" s="29"/>
      <c r="H37" s="18"/>
      <c r="I37" s="50" t="s">
        <v>216</v>
      </c>
      <c r="J37" s="29"/>
      <c r="K37" s="215">
        <f>IF((data!F51+data!F54+data!F56+data!F49+data!F50+data!F82)=0,0,((data!F51+data!F54+data!F56+data!F82)/(data!F51+data!F54+data!F56+data!F49+data!F50+data!F82)))</f>
        <v>0.3</v>
      </c>
      <c r="L37" s="215"/>
      <c r="M37" s="128"/>
      <c r="N37" s="128"/>
      <c r="O37" s="215">
        <f>IF((data!F66+data!F45+data!F69+data!F48+data!F65)=0,0,(data!F66+data!F45+data!F69)/(data!F66+data!F45+data!F69+data!F48+data!F65))</f>
        <v>0.11458333333333333</v>
      </c>
      <c r="P37" s="215"/>
      <c r="Q37" s="128"/>
      <c r="R37" s="128"/>
      <c r="S37" s="215">
        <f>IF((data!F75+data!F73+data!F74)=0,0,(data!F75)/(data!F75+data!F73+data!F74))</f>
        <v>0</v>
      </c>
      <c r="T37" s="215"/>
      <c r="U37" s="128"/>
      <c r="V37" s="128"/>
      <c r="W37" s="215">
        <f>IF((data!F72+data!F59+data!F58)=0,0,(data!F72)/(data!F72+data!F59+data!F58))</f>
        <v>0</v>
      </c>
      <c r="X37" s="215"/>
      <c r="Y37" s="128"/>
      <c r="Z37" s="128"/>
      <c r="AA37" s="214" t="s">
        <v>214</v>
      </c>
      <c r="AB37" s="214"/>
      <c r="AC37" s="30"/>
    </row>
    <row r="38" spans="2:30" ht="15.75" thickBot="1" x14ac:dyDescent="0.3">
      <c r="B38" s="18"/>
      <c r="C38" s="115" t="s">
        <v>159</v>
      </c>
      <c r="D38" s="212">
        <v>2000</v>
      </c>
      <c r="E38" s="213"/>
      <c r="F38" s="30"/>
      <c r="G38" s="29"/>
      <c r="H38" s="41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3"/>
    </row>
    <row r="39" spans="2:30" x14ac:dyDescent="0.25">
      <c r="B39" s="18"/>
      <c r="C39" s="115" t="s">
        <v>160</v>
      </c>
      <c r="D39" s="212">
        <v>1800</v>
      </c>
      <c r="E39" s="213"/>
      <c r="F39" s="30"/>
      <c r="G39" s="29"/>
    </row>
    <row r="40" spans="2:30" x14ac:dyDescent="0.25">
      <c r="B40" s="18"/>
      <c r="C40" s="115" t="s">
        <v>213</v>
      </c>
      <c r="D40" s="212">
        <v>50</v>
      </c>
      <c r="E40" s="213"/>
      <c r="F40" s="30"/>
      <c r="G40" s="29"/>
      <c r="H40" s="29"/>
    </row>
    <row r="41" spans="2:30" ht="15.75" thickBot="1" x14ac:dyDescent="0.3">
      <c r="B41" s="41"/>
      <c r="C41" s="42"/>
      <c r="D41" s="42"/>
      <c r="E41" s="42"/>
      <c r="F41" s="43"/>
      <c r="G41" s="29"/>
      <c r="H41" s="29"/>
    </row>
    <row r="42" spans="2:30" ht="21" x14ac:dyDescent="0.25">
      <c r="G42" s="29"/>
      <c r="H42" s="29"/>
      <c r="I42" s="226"/>
      <c r="J42" s="226"/>
      <c r="K42" s="226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</row>
    <row r="43" spans="2:30" x14ac:dyDescent="0.25">
      <c r="G43" s="29"/>
      <c r="H43" s="29"/>
    </row>
    <row r="44" spans="2:30" x14ac:dyDescent="0.25">
      <c r="G44" s="29"/>
      <c r="H44" s="29"/>
    </row>
    <row r="45" spans="2:30" x14ac:dyDescent="0.25">
      <c r="G45" s="29"/>
      <c r="H45" s="29"/>
    </row>
    <row r="46" spans="2:30" x14ac:dyDescent="0.25">
      <c r="G46" s="29"/>
      <c r="H46" s="29"/>
    </row>
    <row r="47" spans="2:30" x14ac:dyDescent="0.25">
      <c r="G47" s="29"/>
      <c r="H47" s="29"/>
    </row>
  </sheetData>
  <mergeCells count="64">
    <mergeCell ref="I42:K42"/>
    <mergeCell ref="D37:E37"/>
    <mergeCell ref="D33:E33"/>
    <mergeCell ref="F20:G20"/>
    <mergeCell ref="C29:G29"/>
    <mergeCell ref="B31:F31"/>
    <mergeCell ref="D34:E34"/>
    <mergeCell ref="D35:E35"/>
    <mergeCell ref="C21:D21"/>
    <mergeCell ref="F21:G21"/>
    <mergeCell ref="C22:D22"/>
    <mergeCell ref="F22:G22"/>
    <mergeCell ref="C23:D23"/>
    <mergeCell ref="F23:G23"/>
    <mergeCell ref="C26:D26"/>
    <mergeCell ref="F26:G26"/>
    <mergeCell ref="C27:D27"/>
    <mergeCell ref="B3:E3"/>
    <mergeCell ref="J3:AC3"/>
    <mergeCell ref="C5:D5"/>
    <mergeCell ref="C8:D8"/>
    <mergeCell ref="B18:H18"/>
    <mergeCell ref="F27:G27"/>
    <mergeCell ref="C24:D24"/>
    <mergeCell ref="F24:G24"/>
    <mergeCell ref="C25:D25"/>
    <mergeCell ref="F25:G25"/>
    <mergeCell ref="C28:D28"/>
    <mergeCell ref="F28:G28"/>
    <mergeCell ref="H31:AC31"/>
    <mergeCell ref="K32:L32"/>
    <mergeCell ref="O32:P32"/>
    <mergeCell ref="S32:T32"/>
    <mergeCell ref="W32:X32"/>
    <mergeCell ref="AA32:AB32"/>
    <mergeCell ref="K33:L33"/>
    <mergeCell ref="O33:P33"/>
    <mergeCell ref="S33:T33"/>
    <mergeCell ref="W33:X33"/>
    <mergeCell ref="AA33:AB33"/>
    <mergeCell ref="AA34:AB34"/>
    <mergeCell ref="K35:L35"/>
    <mergeCell ref="O35:P35"/>
    <mergeCell ref="S35:T35"/>
    <mergeCell ref="W35:X35"/>
    <mergeCell ref="AA35:AB35"/>
    <mergeCell ref="K34:L34"/>
    <mergeCell ref="O34:P34"/>
    <mergeCell ref="S34:T34"/>
    <mergeCell ref="W34:X34"/>
    <mergeCell ref="S37:T37"/>
    <mergeCell ref="W37:X37"/>
    <mergeCell ref="AA37:AB37"/>
    <mergeCell ref="D36:E36"/>
    <mergeCell ref="K36:L36"/>
    <mergeCell ref="O36:P36"/>
    <mergeCell ref="S36:T36"/>
    <mergeCell ref="W36:X36"/>
    <mergeCell ref="AA36:AB36"/>
    <mergeCell ref="D39:E39"/>
    <mergeCell ref="D40:E40"/>
    <mergeCell ref="D38:E38"/>
    <mergeCell ref="K37:L37"/>
    <mergeCell ref="O37:P37"/>
  </mergeCells>
  <conditionalFormatting sqref="E9:E10">
    <cfRule type="cellIs" dxfId="47" priority="59" operator="equal">
      <formula>1</formula>
    </cfRule>
    <cfRule type="cellIs" dxfId="46" priority="63" operator="greaterThan">
      <formula>1.01</formula>
    </cfRule>
    <cfRule type="cellIs" dxfId="45" priority="70" operator="lessThan">
      <formula>1</formula>
    </cfRule>
  </conditionalFormatting>
  <conditionalFormatting sqref="E11">
    <cfRule type="cellIs" dxfId="44" priority="57" operator="equal">
      <formula>1</formula>
    </cfRule>
    <cfRule type="cellIs" dxfId="43" priority="61" operator="greaterThan">
      <formula>1.01</formula>
    </cfRule>
    <cfRule type="cellIs" dxfId="42" priority="68" operator="lessThan">
      <formula>1</formula>
    </cfRule>
  </conditionalFormatting>
  <conditionalFormatting sqref="E12">
    <cfRule type="cellIs" dxfId="41" priority="56" operator="equal">
      <formula>1</formula>
    </cfRule>
    <cfRule type="cellIs" dxfId="40" priority="64" operator="greaterThan">
      <formula>1.01</formula>
    </cfRule>
    <cfRule type="cellIs" dxfId="39" priority="67" operator="lessThan">
      <formula>1</formula>
    </cfRule>
  </conditionalFormatting>
  <conditionalFormatting sqref="E13">
    <cfRule type="cellIs" dxfId="38" priority="53" operator="equal">
      <formula>1</formula>
    </cfRule>
    <cfRule type="cellIs" dxfId="37" priority="60" operator="greaterThan">
      <formula>1.01</formula>
    </cfRule>
    <cfRule type="cellIs" dxfId="36" priority="65" operator="lessThan">
      <formula>1</formula>
    </cfRule>
  </conditionalFormatting>
  <conditionalFormatting sqref="L8">
    <cfRule type="cellIs" dxfId="35" priority="52" operator="lessThan">
      <formula>0</formula>
    </cfRule>
  </conditionalFormatting>
  <conditionalFormatting sqref="L9">
    <cfRule type="cellIs" dxfId="34" priority="51" operator="lessThan">
      <formula>0</formula>
    </cfRule>
  </conditionalFormatting>
  <conditionalFormatting sqref="L10">
    <cfRule type="cellIs" dxfId="33" priority="50" operator="lessThan">
      <formula>0</formula>
    </cfRule>
  </conditionalFormatting>
  <conditionalFormatting sqref="P8">
    <cfRule type="cellIs" dxfId="32" priority="49" operator="lessThan">
      <formula>0</formula>
    </cfRule>
  </conditionalFormatting>
  <conditionalFormatting sqref="P9">
    <cfRule type="cellIs" dxfId="31" priority="48" operator="lessThan">
      <formula>0</formula>
    </cfRule>
  </conditionalFormatting>
  <conditionalFormatting sqref="P10">
    <cfRule type="cellIs" dxfId="30" priority="47" operator="lessThan">
      <formula>0</formula>
    </cfRule>
  </conditionalFormatting>
  <conditionalFormatting sqref="X6:X7">
    <cfRule type="cellIs" dxfId="29" priority="71" operator="lessThan">
      <formula>0</formula>
    </cfRule>
  </conditionalFormatting>
  <conditionalFormatting sqref="L6:L7">
    <cfRule type="cellIs" dxfId="28" priority="72" operator="lessThan">
      <formula>0</formula>
    </cfRule>
  </conditionalFormatting>
  <conditionalFormatting sqref="P6:P7">
    <cfRule type="cellIs" dxfId="27" priority="73" operator="lessThan">
      <formula>0</formula>
    </cfRule>
  </conditionalFormatting>
  <conditionalFormatting sqref="T6:T7">
    <cfRule type="cellIs" dxfId="26" priority="74" operator="lessThan">
      <formula>0</formula>
    </cfRule>
  </conditionalFormatting>
  <conditionalFormatting sqref="L6">
    <cfRule type="cellIs" dxfId="25" priority="40" operator="greaterThan">
      <formula>$D$6-$P$6-$T$6-$X$6-$AB$6</formula>
    </cfRule>
  </conditionalFormatting>
  <conditionalFormatting sqref="P6">
    <cfRule type="cellIs" dxfId="24" priority="39" operator="greaterThan">
      <formula>$D$6-$L$6-$T$6-$X$6-$AB$6</formula>
    </cfRule>
  </conditionalFormatting>
  <conditionalFormatting sqref="T6">
    <cfRule type="cellIs" dxfId="23" priority="38" operator="greaterThan">
      <formula>$D$6-$L$6-$P$6-$X$6-$AB$6</formula>
    </cfRule>
  </conditionalFormatting>
  <conditionalFormatting sqref="X6">
    <cfRule type="cellIs" dxfId="22" priority="37" operator="greaterThan">
      <formula>$D$6-$L$6-$P$6-$T$6-$AB$6</formula>
    </cfRule>
  </conditionalFormatting>
  <conditionalFormatting sqref="L7">
    <cfRule type="cellIs" dxfId="21" priority="36" operator="greaterThan">
      <formula>$D$7-$P$7-$T$7-$X$7-$AB$7</formula>
    </cfRule>
  </conditionalFormatting>
  <conditionalFormatting sqref="P7">
    <cfRule type="cellIs" dxfId="20" priority="35" operator="greaterThan">
      <formula>$D$7-$L$7-$T$7-$X$7-$AB$7</formula>
    </cfRule>
  </conditionalFormatting>
  <conditionalFormatting sqref="T7">
    <cfRule type="cellIs" dxfId="19" priority="34" operator="greaterThan">
      <formula>$D$7-$L$7-$P$7-$X$7-$AB$7</formula>
    </cfRule>
  </conditionalFormatting>
  <conditionalFormatting sqref="X7">
    <cfRule type="cellIs" dxfId="18" priority="33" operator="greaterThan">
      <formula>$D$7-$L$7-$P$7-$T$7-$AB$7</formula>
    </cfRule>
  </conditionalFormatting>
  <conditionalFormatting sqref="X8">
    <cfRule type="cellIs" dxfId="17" priority="32" operator="lessThan">
      <formula>0</formula>
    </cfRule>
  </conditionalFormatting>
  <conditionalFormatting sqref="AB6">
    <cfRule type="cellIs" dxfId="16" priority="27" operator="lessThan">
      <formula>0</formula>
    </cfRule>
    <cfRule type="cellIs" dxfId="15" priority="30" operator="greaterThan">
      <formula>$D$6-$L$6-$P$6-$T$6-$X$6</formula>
    </cfRule>
  </conditionalFormatting>
  <conditionalFormatting sqref="AB7">
    <cfRule type="cellIs" dxfId="14" priority="25" operator="greaterThan">
      <formula>$D$7-$L$7-$P$7-$T$7-$X$7</formula>
    </cfRule>
    <cfRule type="cellIs" dxfId="13" priority="26" operator="lessThan">
      <formula>0</formula>
    </cfRule>
  </conditionalFormatting>
  <conditionalFormatting sqref="L11">
    <cfRule type="cellIs" dxfId="12" priority="24" operator="lessThan">
      <formula>0</formula>
    </cfRule>
  </conditionalFormatting>
  <conditionalFormatting sqref="P11">
    <cfRule type="cellIs" dxfId="11" priority="22" operator="lessThan">
      <formula>0</formula>
    </cfRule>
  </conditionalFormatting>
  <conditionalFormatting sqref="T8">
    <cfRule type="cellIs" dxfId="10" priority="20" operator="lessThan">
      <formula>0</formula>
    </cfRule>
  </conditionalFormatting>
  <conditionalFormatting sqref="E23">
    <cfRule type="dataBar" priority="10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{967690EE-F2A4-4F6C-9FFB-730ABD1C2EAD}</x14:id>
        </ext>
      </extLst>
    </cfRule>
  </conditionalFormatting>
  <conditionalFormatting sqref="F23:G23">
    <cfRule type="dataBar" priority="9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{62A959DB-00A0-4CC7-BF82-466D00E6FDA7}</x14:id>
        </ext>
      </extLst>
    </cfRule>
  </conditionalFormatting>
  <conditionalFormatting sqref="E24">
    <cfRule type="dataBar" priority="8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{C809777A-790E-4701-8BF6-DB59BC2D2B89}</x14:id>
        </ext>
      </extLst>
    </cfRule>
  </conditionalFormatting>
  <conditionalFormatting sqref="F24:G24">
    <cfRule type="dataBar" priority="7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{1224DBEA-1590-4BC0-9DDD-9A20C62FCE6C}</x14:id>
        </ext>
      </extLst>
    </cfRule>
  </conditionalFormatting>
  <conditionalFormatting sqref="E25">
    <cfRule type="cellIs" dxfId="9" priority="4" operator="equal">
      <formula>0</formula>
    </cfRule>
    <cfRule type="dataBar" priority="6">
      <dataBar>
        <cfvo type="num" val="0"/>
        <cfvo type="num" val="$D$6"/>
        <color rgb="FFFFC000"/>
      </dataBar>
      <extLst>
        <ext xmlns:x14="http://schemas.microsoft.com/office/spreadsheetml/2009/9/main" uri="{B025F937-C7B1-47D3-B67F-A62EFF666E3E}">
          <x14:id>{8310A40E-BDB1-4791-A964-09412B7683EB}</x14:id>
        </ext>
      </extLst>
    </cfRule>
  </conditionalFormatting>
  <conditionalFormatting sqref="F25:G25">
    <cfRule type="cellIs" dxfId="8" priority="3" operator="equal">
      <formula>0</formula>
    </cfRule>
  </conditionalFormatting>
  <conditionalFormatting sqref="E21">
    <cfRule type="dataBar" priority="2">
      <dataBar>
        <cfvo type="num" val="10125000"/>
        <cfvo type="num" val="264750000"/>
        <color rgb="FFFFCC00"/>
      </dataBar>
      <extLst>
        <ext xmlns:x14="http://schemas.microsoft.com/office/spreadsheetml/2009/9/main" uri="{B025F937-C7B1-47D3-B67F-A62EFF666E3E}">
          <x14:id>{77886D4E-C57F-42EF-880E-3E9B9D956644}</x14:id>
        </ext>
      </extLst>
    </cfRule>
  </conditionalFormatting>
  <conditionalFormatting sqref="F21:G21">
    <cfRule type="dataBar" priority="1">
      <dataBar>
        <cfvo type="num" val="20250000"/>
        <cfvo type="num" val="529500000"/>
        <color rgb="FFFFCC00"/>
      </dataBar>
      <extLst>
        <ext xmlns:x14="http://schemas.microsoft.com/office/spreadsheetml/2009/9/main" uri="{B025F937-C7B1-47D3-B67F-A62EFF666E3E}">
          <x14:id>{6FEAA68F-7203-4F0F-B8E9-3522F1636344}</x14:id>
        </ext>
      </extLst>
    </cfRule>
  </conditionalFormatting>
  <pageMargins left="0.7" right="0.7" top="0.75" bottom="0.75" header="0.3" footer="0.3"/>
  <pageSetup orientation="portrait" horizontalDpi="4294967293" verticalDpi="429496729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67690EE-F2A4-4F6C-9FFB-730ABD1C2E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62A959DB-00A0-4CC7-BF82-466D00E6FD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F23:G23</xm:sqref>
        </x14:conditionalFormatting>
        <x14:conditionalFormatting xmlns:xm="http://schemas.microsoft.com/office/excel/2006/main">
          <x14:cfRule type="dataBar" id="{C809777A-790E-4701-8BF6-DB59BC2D2B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1224DBEA-1590-4BC0-9DDD-9A20C62FCE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F24:G24</xm:sqref>
        </x14:conditionalFormatting>
        <x14:conditionalFormatting xmlns:xm="http://schemas.microsoft.com/office/excel/2006/main">
          <x14:cfRule type="dataBar" id="{8310A40E-BDB1-4791-A964-09412B7683EB}">
            <x14:dataBar minLength="0" maxLength="100" gradient="0">
              <x14:cfvo type="num">
                <xm:f>0</xm:f>
              </x14:cfvo>
              <x14:cfvo type="num">
                <xm:f>$D$6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77886D4E-C57F-42EF-880E-3E9B9D956644}">
            <x14:dataBar minLength="0" maxLength="100" gradient="0" direction="leftToRight">
              <x14:cfvo type="num">
                <xm:f>10125000</xm:f>
              </x14:cfvo>
              <x14:cfvo type="num">
                <xm:f>264750000</xm:f>
              </x14:cfvo>
              <x14:negativeFill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6FEAA68F-7203-4F0F-B8E9-3522F1636344}">
            <x14:dataBar minLength="0" maxLength="100" gradient="0">
              <x14:cfvo type="num">
                <xm:f>20250000</xm:f>
              </x14:cfvo>
              <x14:cfvo type="num">
                <xm:f>529500000</xm:f>
              </x14:cfvo>
              <x14:negativeFillColor rgb="FFFF0000"/>
              <x14:axisColor rgb="FF000000"/>
            </x14:dataBar>
          </x14:cfRule>
          <xm:sqref>F21:G21</xm:sqref>
        </x14:conditionalFormatting>
        <x14:conditionalFormatting xmlns:xm="http://schemas.microsoft.com/office/excel/2006/main">
          <x14:cfRule type="cellIs" priority="17" operator="greaterThan" id="{5074B70D-E3AC-4885-8249-8D762E47F14B}">
            <xm:f>data!$F$55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ellIs" priority="16" operator="greaterThan" id="{425FDF60-7568-4624-920C-7E5E4C1C3C3D}">
            <xm:f>data!$F$52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L10</xm:sqref>
        </x14:conditionalFormatting>
        <x14:conditionalFormatting xmlns:xm="http://schemas.microsoft.com/office/excel/2006/main">
          <x14:cfRule type="cellIs" priority="14" operator="greaterThan" id="{47DEC609-9003-4463-8183-B734A1D67373}">
            <xm:f>data!$F$46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ellIs" priority="13" operator="greaterThan" id="{BFD429B9-2DF0-4490-A665-90D0C29F3D9B}">
            <xm:f>data!$F$67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P10</xm:sqref>
        </x14:conditionalFormatting>
        <x14:conditionalFormatting xmlns:xm="http://schemas.microsoft.com/office/excel/2006/main">
          <x14:cfRule type="cellIs" priority="11" operator="greaterThan" id="{64BAD36B-535D-48E4-B9B4-3229549DE0F1}">
            <xm:f>data!$F$55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X8</xm:sqref>
        </x14:conditionalFormatting>
        <x14:conditionalFormatting xmlns:xm="http://schemas.microsoft.com/office/excel/2006/main">
          <x14:cfRule type="cellIs" priority="12" operator="greaterThan" id="{64A608CB-17F5-4843-8701-73DBA4AB1A6A}">
            <xm:f>data!$F$74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T8</xm:sqref>
        </x14:conditionalFormatting>
        <x14:conditionalFormatting xmlns:xm="http://schemas.microsoft.com/office/excel/2006/main">
          <x14:cfRule type="cellIs" priority="154" operator="greaterThan" id="{5BC4A6EE-2381-40B9-9593-BA8FDFAE177F}">
            <xm:f>data!$F$82+data!$F$49+data!$F$50-data!$F$53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dataBar" priority="5" id="{7BD980A8-B922-4E55-A960-5280071BA458}">
            <x14:dataBar minLength="0" maxLength="100" gradient="0">
              <x14:cfvo type="num">
                <xm:f>0</xm:f>
              </x14:cfvo>
              <x14:cfvo type="num">
                <xm:f>$D$6+'upper basin'!$D$6</xm:f>
              </x14:cfvo>
              <x14:fillColor rgb="FFFFC000"/>
              <x14:negativeFillColor rgb="FFFF0000"/>
              <x14:axisColor rgb="FF000000"/>
            </x14:dataBar>
          </x14:cfRule>
          <xm:sqref>F25:G25</xm:sqref>
        </x14:conditionalFormatting>
        <x14:conditionalFormatting xmlns:xm="http://schemas.microsoft.com/office/excel/2006/main">
          <x14:cfRule type="cellIs" priority="155" operator="greaterThan" id="{48BEF381-0D0F-4258-AE29-9D7CB6BEFF90}">
            <xm:f>data!$F$48+data!$F$65+data!$F$83-data!$F$68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P8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G20:N74"/>
  <sheetViews>
    <sheetView showGridLines="0" topLeftCell="A28" zoomScale="75" zoomScaleNormal="75" zoomScalePageLayoutView="75" workbookViewId="0">
      <selection activeCell="AF50" sqref="AF50"/>
    </sheetView>
  </sheetViews>
  <sheetFormatPr defaultColWidth="8.85546875" defaultRowHeight="15" x14ac:dyDescent="0.25"/>
  <sheetData>
    <row r="20" spans="13:14" x14ac:dyDescent="0.25">
      <c r="N20" s="3"/>
    </row>
    <row r="25" spans="13:14" x14ac:dyDescent="0.25">
      <c r="M25" s="3"/>
    </row>
    <row r="69" spans="7:8" x14ac:dyDescent="0.25">
      <c r="H69" s="3"/>
    </row>
    <row r="74" spans="7:8" x14ac:dyDescent="0.25">
      <c r="G74" s="3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7030A0"/>
  </sheetPr>
  <dimension ref="A1:AQ107"/>
  <sheetViews>
    <sheetView topLeftCell="Q1" zoomScale="80" zoomScaleNormal="80" zoomScalePageLayoutView="80" workbookViewId="0">
      <pane ySplit="1" topLeftCell="A26" activePane="bottomLeft" state="frozen"/>
      <selection pane="bottomLeft" activeCell="W37" sqref="W37"/>
    </sheetView>
  </sheetViews>
  <sheetFormatPr defaultColWidth="8.85546875" defaultRowHeight="14.25" x14ac:dyDescent="0.2"/>
  <cols>
    <col min="1" max="1" width="4.42578125" style="1" bestFit="1" customWidth="1"/>
    <col min="2" max="2" width="43.7109375" style="2" bestFit="1" customWidth="1"/>
    <col min="3" max="3" width="6" style="2" bestFit="1" customWidth="1"/>
    <col min="4" max="4" width="12.28515625" style="2" bestFit="1" customWidth="1"/>
    <col min="5" max="5" width="11.85546875" style="2" customWidth="1"/>
    <col min="6" max="6" width="9.85546875" style="2" customWidth="1"/>
    <col min="7" max="7" width="11.42578125" style="2" bestFit="1" customWidth="1"/>
    <col min="8" max="8" width="12.42578125" style="2" bestFit="1" customWidth="1"/>
    <col min="9" max="9" width="14.28515625" style="2" bestFit="1" customWidth="1"/>
    <col min="10" max="10" width="15.28515625" style="2" bestFit="1" customWidth="1"/>
    <col min="11" max="11" width="10.28515625" style="28" customWidth="1"/>
    <col min="12" max="12" width="8.85546875" style="1" customWidth="1"/>
    <col min="13" max="13" width="35.140625" style="1" customWidth="1"/>
    <col min="14" max="14" width="16.140625" style="1" customWidth="1"/>
    <col min="15" max="15" width="10" style="1" bestFit="1" customWidth="1"/>
    <col min="16" max="16" width="8.85546875" style="1"/>
    <col min="17" max="17" width="13.140625" style="1" customWidth="1"/>
    <col min="18" max="18" width="11.140625" style="1" customWidth="1"/>
    <col min="19" max="21" width="8.85546875" style="1"/>
    <col min="22" max="22" width="11" style="1" customWidth="1"/>
    <col min="23" max="23" width="12.42578125" style="1" bestFit="1" customWidth="1"/>
    <col min="24" max="16384" width="8.85546875" style="1"/>
  </cols>
  <sheetData>
    <row r="1" spans="1:43" ht="36" customHeight="1" thickBot="1" x14ac:dyDescent="0.25">
      <c r="A1" s="6"/>
      <c r="B1" s="15" t="s">
        <v>3</v>
      </c>
      <c r="C1" s="16" t="s">
        <v>1</v>
      </c>
      <c r="D1" s="16" t="s">
        <v>0</v>
      </c>
      <c r="E1" s="27" t="s">
        <v>132</v>
      </c>
      <c r="F1" s="27" t="s">
        <v>2</v>
      </c>
      <c r="G1" s="27" t="s">
        <v>136</v>
      </c>
      <c r="H1" s="27" t="s">
        <v>137</v>
      </c>
      <c r="I1" s="27" t="s">
        <v>156</v>
      </c>
      <c r="J1" s="27" t="s">
        <v>148</v>
      </c>
      <c r="K1" s="111" t="s">
        <v>141</v>
      </c>
    </row>
    <row r="2" spans="1:43" ht="15" thickBot="1" x14ac:dyDescent="0.25">
      <c r="A2" s="245" t="s">
        <v>69</v>
      </c>
      <c r="B2" s="10" t="s">
        <v>63</v>
      </c>
      <c r="C2" s="11" t="s">
        <v>8</v>
      </c>
      <c r="D2" s="11">
        <v>1</v>
      </c>
      <c r="E2" s="19">
        <f>'upper basin'!D7</f>
        <v>300</v>
      </c>
      <c r="F2" s="26">
        <f t="shared" ref="F2:F8" si="0">D2*E2</f>
        <v>300</v>
      </c>
      <c r="G2" s="26">
        <v>0</v>
      </c>
      <c r="H2" s="26">
        <f t="shared" ref="H2:H33" si="1">F2*G2</f>
        <v>0</v>
      </c>
      <c r="I2" s="88"/>
      <c r="J2" s="82">
        <f t="shared" ref="J2:J33" si="2">F2*I2*1233.4818*1000</f>
        <v>0</v>
      </c>
      <c r="K2" s="108">
        <v>52</v>
      </c>
      <c r="M2" s="242" t="s">
        <v>215</v>
      </c>
      <c r="N2" s="242"/>
      <c r="O2" s="242"/>
      <c r="P2" s="242"/>
      <c r="Q2" s="242"/>
      <c r="R2" s="242"/>
      <c r="S2" s="242"/>
      <c r="T2" s="242"/>
      <c r="U2" s="242"/>
      <c r="V2" s="242"/>
      <c r="W2" s="242"/>
      <c r="X2" s="242"/>
      <c r="Y2" s="242"/>
      <c r="Z2" s="242"/>
      <c r="AC2" s="242" t="s">
        <v>223</v>
      </c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137"/>
    </row>
    <row r="3" spans="1:43" x14ac:dyDescent="0.2">
      <c r="A3" s="246"/>
      <c r="B3" s="12" t="s">
        <v>64</v>
      </c>
      <c r="C3" s="4" t="s">
        <v>9</v>
      </c>
      <c r="D3" s="4">
        <v>1</v>
      </c>
      <c r="E3" s="20">
        <f>F2-F10-F25-F21-F41</f>
        <v>221</v>
      </c>
      <c r="F3" s="20">
        <f>D3*E3</f>
        <v>221</v>
      </c>
      <c r="G3" s="20">
        <v>0</v>
      </c>
      <c r="H3" s="20">
        <f t="shared" si="1"/>
        <v>0</v>
      </c>
      <c r="I3" s="89"/>
      <c r="J3" s="83">
        <f t="shared" si="2"/>
        <v>0</v>
      </c>
      <c r="K3" s="109">
        <f>K2</f>
        <v>52</v>
      </c>
      <c r="M3" s="116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8"/>
      <c r="AC3" s="116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8"/>
    </row>
    <row r="4" spans="1:43" ht="15" x14ac:dyDescent="0.25">
      <c r="A4" s="246"/>
      <c r="B4" s="12" t="s">
        <v>65</v>
      </c>
      <c r="C4" s="4" t="s">
        <v>10</v>
      </c>
      <c r="D4" s="4">
        <v>1</v>
      </c>
      <c r="E4" s="20">
        <f>F3+F20+F7+F27+F23+F43</f>
        <v>254.2</v>
      </c>
      <c r="F4" s="20">
        <f>D4*E4</f>
        <v>254.2</v>
      </c>
      <c r="G4" s="20">
        <v>0</v>
      </c>
      <c r="H4" s="20">
        <f t="shared" si="1"/>
        <v>0</v>
      </c>
      <c r="I4" s="89"/>
      <c r="J4" s="83">
        <f t="shared" si="2"/>
        <v>0</v>
      </c>
      <c r="K4" s="109">
        <f>(K3*F3+K7*F7+K20*F20+K23*F23+K27*F27+K43*F43)/F4</f>
        <v>55.233788148577581</v>
      </c>
      <c r="M4" s="119" t="s">
        <v>125</v>
      </c>
      <c r="O4" s="1" t="s">
        <v>229</v>
      </c>
      <c r="P4" s="93" t="s">
        <v>126</v>
      </c>
      <c r="Q4" s="93"/>
      <c r="R4" s="93"/>
      <c r="S4" s="93" t="s">
        <v>114</v>
      </c>
      <c r="T4" s="93"/>
      <c r="U4" s="93"/>
      <c r="V4" s="93" t="s">
        <v>131</v>
      </c>
      <c r="Y4" s="93" t="s">
        <v>162</v>
      </c>
      <c r="AA4" s="120"/>
      <c r="AC4" s="119" t="s">
        <v>125</v>
      </c>
      <c r="AE4" s="1" t="s">
        <v>229</v>
      </c>
      <c r="AF4" s="93" t="s">
        <v>126</v>
      </c>
      <c r="AG4" s="93"/>
      <c r="AH4" s="1" t="s">
        <v>229</v>
      </c>
      <c r="AI4" s="93" t="s">
        <v>114</v>
      </c>
      <c r="AJ4" s="93"/>
      <c r="AK4" s="93" t="s">
        <v>229</v>
      </c>
      <c r="AL4" s="93" t="s">
        <v>131</v>
      </c>
      <c r="AN4" s="1" t="s">
        <v>229</v>
      </c>
      <c r="AO4" s="93" t="s">
        <v>162</v>
      </c>
      <c r="AQ4" s="120" t="s">
        <v>229</v>
      </c>
    </row>
    <row r="5" spans="1:43" x14ac:dyDescent="0.2">
      <c r="A5" s="246"/>
      <c r="B5" s="12" t="s">
        <v>66</v>
      </c>
      <c r="C5" s="4" t="s">
        <v>11</v>
      </c>
      <c r="D5" s="4">
        <v>1</v>
      </c>
      <c r="E5" s="20">
        <f>F4-F47-F62-F58-F78</f>
        <v>236.7</v>
      </c>
      <c r="F5" s="20">
        <f t="shared" si="0"/>
        <v>236.7</v>
      </c>
      <c r="G5" s="20">
        <v>0</v>
      </c>
      <c r="H5" s="20">
        <f t="shared" si="1"/>
        <v>0</v>
      </c>
      <c r="I5" s="89"/>
      <c r="J5" s="83">
        <f t="shared" si="2"/>
        <v>0</v>
      </c>
      <c r="K5" s="109">
        <f>K4</f>
        <v>55.233788148577581</v>
      </c>
      <c r="M5" s="121" t="str">
        <f>'upper basin'!K6</f>
        <v>Groundwater (GW)</v>
      </c>
      <c r="N5" s="1">
        <f>'upper basin'!L6</f>
        <v>0</v>
      </c>
      <c r="O5" s="1" t="s">
        <v>112</v>
      </c>
      <c r="P5" s="1" t="str">
        <f>'upper basin'!O6</f>
        <v>Groundwater (GW)</v>
      </c>
      <c r="Q5" s="1">
        <f>'upper basin'!P6</f>
        <v>0</v>
      </c>
      <c r="R5" s="1" t="s">
        <v>112</v>
      </c>
      <c r="S5" s="1" t="str">
        <f>'upper basin'!S6</f>
        <v>Groundwater (GW)</v>
      </c>
      <c r="T5" s="1">
        <f>'upper basin'!T6</f>
        <v>5</v>
      </c>
      <c r="U5" s="1" t="s">
        <v>112</v>
      </c>
      <c r="V5" s="1" t="str">
        <f>'upper basin'!W6</f>
        <v>Groundwater (GW)</v>
      </c>
      <c r="W5" s="1">
        <f>'upper basin'!X6</f>
        <v>50</v>
      </c>
      <c r="X5" s="1" t="s">
        <v>112</v>
      </c>
      <c r="Y5" s="1" t="str">
        <f>'upper basin'!AA6</f>
        <v>Groundwater (GW)</v>
      </c>
      <c r="Z5" s="1">
        <f>'upper basin'!AB6</f>
        <v>5</v>
      </c>
      <c r="AA5" s="120" t="s">
        <v>112</v>
      </c>
      <c r="AC5" s="121" t="str">
        <f>'lower basin'!K6</f>
        <v>Groundwater (GW)</v>
      </c>
      <c r="AD5" s="1">
        <f>'lower basin'!L6</f>
        <v>5.5</v>
      </c>
      <c r="AE5" s="1" t="s">
        <v>112</v>
      </c>
      <c r="AF5" s="1" t="str">
        <f>'lower basin'!O6</f>
        <v>Groundwater (GW)</v>
      </c>
      <c r="AG5" s="1">
        <f>'lower basin'!P6</f>
        <v>30</v>
      </c>
      <c r="AH5" s="1" t="s">
        <v>112</v>
      </c>
      <c r="AI5" s="1" t="str">
        <f>'lower basin'!S6</f>
        <v>Groundwater (GW)</v>
      </c>
      <c r="AJ5" s="1">
        <f>'lower basin'!T6</f>
        <v>0</v>
      </c>
      <c r="AK5" s="1" t="s">
        <v>112</v>
      </c>
      <c r="AL5" s="1" t="str">
        <f>'lower basin'!W6</f>
        <v>Groundwater (GW)</v>
      </c>
      <c r="AM5" s="1">
        <f>'lower basin'!X6</f>
        <v>0</v>
      </c>
      <c r="AN5" s="1" t="s">
        <v>112</v>
      </c>
      <c r="AO5" s="1" t="str">
        <f>'lower basin'!AA6</f>
        <v>Groundwater (GW)</v>
      </c>
      <c r="AP5" s="1">
        <f>'lower basin'!AB6</f>
        <v>0</v>
      </c>
      <c r="AQ5" s="120" t="s">
        <v>112</v>
      </c>
    </row>
    <row r="6" spans="1:43" ht="15" thickBot="1" x14ac:dyDescent="0.25">
      <c r="A6" s="247"/>
      <c r="B6" s="13" t="s">
        <v>67</v>
      </c>
      <c r="C6" s="14" t="s">
        <v>12</v>
      </c>
      <c r="D6" s="14">
        <v>1</v>
      </c>
      <c r="E6" s="21">
        <f>F5+F57+F44+F64+F60+F80</f>
        <v>255.39999999999998</v>
      </c>
      <c r="F6" s="21">
        <f t="shared" si="0"/>
        <v>255.39999999999998</v>
      </c>
      <c r="G6" s="21">
        <v>0</v>
      </c>
      <c r="H6" s="21">
        <f t="shared" si="1"/>
        <v>0</v>
      </c>
      <c r="I6" s="90"/>
      <c r="J6" s="84">
        <f t="shared" si="2"/>
        <v>0</v>
      </c>
      <c r="K6" s="110">
        <f>(K5*F5+K44*F44+K57*F57+K60*F60+K64*F64-K80*F80)/F6</f>
        <v>98.781666620079548</v>
      </c>
      <c r="M6" s="121" t="str">
        <f>'upper basin'!K7</f>
        <v>Surface Water (SW)</v>
      </c>
      <c r="N6" s="1">
        <f>'upper basin'!L7</f>
        <v>0</v>
      </c>
      <c r="O6" s="1" t="s">
        <v>230</v>
      </c>
      <c r="P6" s="1" t="str">
        <f>'upper basin'!O7</f>
        <v>Surface Water (SW)</v>
      </c>
      <c r="Q6" s="1">
        <f>'upper basin'!P7</f>
        <v>0</v>
      </c>
      <c r="R6" s="1" t="s">
        <v>230</v>
      </c>
      <c r="S6" s="1" t="str">
        <f>'upper basin'!S7</f>
        <v>Surface Water (SW)</v>
      </c>
      <c r="T6" s="1">
        <f>'upper basin'!T7</f>
        <v>14</v>
      </c>
      <c r="U6" s="1" t="s">
        <v>230</v>
      </c>
      <c r="V6" s="1" t="str">
        <f>'upper basin'!W7</f>
        <v>Surface Water (SW)</v>
      </c>
      <c r="W6" s="1">
        <f>'upper basin'!X7</f>
        <v>50</v>
      </c>
      <c r="X6" s="1" t="s">
        <v>230</v>
      </c>
      <c r="Y6" s="1" t="str">
        <f>'upper basin'!AA7</f>
        <v>Surface Water (SW)</v>
      </c>
      <c r="Z6" s="1">
        <f>'upper basin'!AB7</f>
        <v>15</v>
      </c>
      <c r="AA6" s="120" t="s">
        <v>230</v>
      </c>
      <c r="AC6" s="121" t="str">
        <f>'lower basin'!K7</f>
        <v>Surface Water (SW)</v>
      </c>
      <c r="AD6" s="1">
        <f>'lower basin'!L7</f>
        <v>5</v>
      </c>
      <c r="AE6" s="1" t="s">
        <v>230</v>
      </c>
      <c r="AF6" s="1" t="str">
        <f>'lower basin'!O7</f>
        <v>Surface Water (SW)</v>
      </c>
      <c r="AG6" s="1">
        <f>'lower basin'!P7</f>
        <v>12.5</v>
      </c>
      <c r="AH6" s="1" t="s">
        <v>230</v>
      </c>
      <c r="AI6" s="1" t="str">
        <f>'lower basin'!S7</f>
        <v>Surface Water (SW)</v>
      </c>
      <c r="AJ6" s="1">
        <f>'lower basin'!T7</f>
        <v>0</v>
      </c>
      <c r="AK6" s="1" t="s">
        <v>230</v>
      </c>
      <c r="AL6" s="1" t="str">
        <f>'lower basin'!W7</f>
        <v>Surface Water (SW)</v>
      </c>
      <c r="AM6" s="1">
        <f>'lower basin'!X7</f>
        <v>0</v>
      </c>
      <c r="AN6" s="1" t="s">
        <v>230</v>
      </c>
      <c r="AO6" s="1" t="str">
        <f>'lower basin'!AA7</f>
        <v>Surface Water (SW)</v>
      </c>
      <c r="AP6" s="1">
        <f>'lower basin'!AB7</f>
        <v>0</v>
      </c>
      <c r="AQ6" s="120" t="s">
        <v>230</v>
      </c>
    </row>
    <row r="7" spans="1:43" ht="12.95" customHeight="1" x14ac:dyDescent="0.2">
      <c r="A7" s="250" t="s">
        <v>70</v>
      </c>
      <c r="B7" s="7" t="s">
        <v>74</v>
      </c>
      <c r="C7" s="8" t="s">
        <v>4</v>
      </c>
      <c r="D7" s="8">
        <v>1</v>
      </c>
      <c r="E7" s="22">
        <f>F9-F29-F8</f>
        <v>0</v>
      </c>
      <c r="F7" s="22">
        <f t="shared" si="0"/>
        <v>0</v>
      </c>
      <c r="G7" s="22">
        <f>'upper basin'!$D$40</f>
        <v>50</v>
      </c>
      <c r="H7" s="22">
        <f t="shared" si="1"/>
        <v>0</v>
      </c>
      <c r="I7" s="91"/>
      <c r="J7" s="85">
        <f t="shared" si="2"/>
        <v>0</v>
      </c>
      <c r="K7" s="166">
        <f>$N$23</f>
        <v>650</v>
      </c>
      <c r="M7" s="121" t="str">
        <f>'upper basin'!K8</f>
        <v>Direct Potable Reuse (DPR)</v>
      </c>
      <c r="N7" s="1">
        <f>'upper basin'!L8</f>
        <v>0</v>
      </c>
      <c r="O7" s="1" t="s">
        <v>231</v>
      </c>
      <c r="P7" s="1" t="str">
        <f>'upper basin'!O8</f>
        <v>Direct Potable Reuse (DPR)</v>
      </c>
      <c r="Q7" s="1">
        <f>'upper basin'!P8</f>
        <v>0</v>
      </c>
      <c r="R7" s="1" t="s">
        <v>231</v>
      </c>
      <c r="S7" s="1" t="str">
        <f>'upper basin'!S8</f>
        <v>Grey Water (GreyW)</v>
      </c>
      <c r="T7" s="1">
        <f>'upper basin'!T8</f>
        <v>1</v>
      </c>
      <c r="U7" s="1" t="s">
        <v>233</v>
      </c>
      <c r="V7" s="1" t="str">
        <f>'upper basin'!W8</f>
        <v>Indirect Potable Reuse (IPR)</v>
      </c>
      <c r="W7" s="1">
        <f>'upper basin'!X8</f>
        <v>0</v>
      </c>
      <c r="X7" s="1" t="s">
        <v>232</v>
      </c>
      <c r="Y7" s="1" t="str">
        <f>'upper basin'!AA8</f>
        <v>On-site Reuse (OR)</v>
      </c>
      <c r="Z7" s="1">
        <f>SUM(Z5:Z6)*'upper basin'!AB8</f>
        <v>0</v>
      </c>
      <c r="AA7" s="120" t="s">
        <v>237</v>
      </c>
      <c r="AC7" s="121" t="str">
        <f>'lower basin'!K8</f>
        <v>Direct Potable Reuse (DPR)</v>
      </c>
      <c r="AD7" s="1">
        <f>'lower basin'!L8</f>
        <v>1</v>
      </c>
      <c r="AE7" s="1" t="s">
        <v>231</v>
      </c>
      <c r="AF7" s="1" t="str">
        <f>'lower basin'!O8</f>
        <v>Direct Potable Reuse (DPR)</v>
      </c>
      <c r="AG7" s="1">
        <f>'lower basin'!P8</f>
        <v>1</v>
      </c>
      <c r="AH7" s="1" t="s">
        <v>231</v>
      </c>
      <c r="AI7" s="1" t="str">
        <f>'lower basin'!S8</f>
        <v>Grey Water (GreyW)</v>
      </c>
      <c r="AJ7" s="1">
        <f>'lower basin'!T8</f>
        <v>0</v>
      </c>
      <c r="AK7" s="1" t="s">
        <v>233</v>
      </c>
      <c r="AL7" s="1" t="str">
        <f>'lower basin'!W8</f>
        <v>Indirect Potable Reuse (IPR)</v>
      </c>
      <c r="AM7" s="1">
        <f>'lower basin'!X8</f>
        <v>0</v>
      </c>
      <c r="AN7" s="1" t="s">
        <v>232</v>
      </c>
      <c r="AO7" s="1" t="str">
        <f>'lower basin'!AA8</f>
        <v>On-site Reuse (OR)</v>
      </c>
      <c r="AP7" s="1">
        <f>SUM(AP5:AP6)*'lower basin'!AB8</f>
        <v>0</v>
      </c>
      <c r="AQ7" s="120" t="s">
        <v>237</v>
      </c>
    </row>
    <row r="8" spans="1:43" ht="14.1" customHeight="1" x14ac:dyDescent="0.2">
      <c r="A8" s="251"/>
      <c r="B8" s="9" t="s">
        <v>72</v>
      </c>
      <c r="C8" s="5" t="s">
        <v>5</v>
      </c>
      <c r="D8" s="5">
        <v>1</v>
      </c>
      <c r="E8" s="23">
        <f>'upper basin'!$P$9</f>
        <v>0</v>
      </c>
      <c r="F8" s="24">
        <f t="shared" si="0"/>
        <v>0</v>
      </c>
      <c r="G8" s="24">
        <f>'upper basin'!$D$37</f>
        <v>520</v>
      </c>
      <c r="H8" s="24">
        <f t="shared" si="1"/>
        <v>0</v>
      </c>
      <c r="I8" s="92">
        <v>0.66100000000000003</v>
      </c>
      <c r="J8" s="86">
        <f t="shared" si="2"/>
        <v>0</v>
      </c>
      <c r="K8" s="167">
        <f>$N$23</f>
        <v>650</v>
      </c>
      <c r="M8" s="121" t="str">
        <f>'upper basin'!K9</f>
        <v>Indirect Potable Reuse (IPR)</v>
      </c>
      <c r="N8" s="1">
        <f>'upper basin'!L9</f>
        <v>0</v>
      </c>
      <c r="O8" s="1" t="s">
        <v>232</v>
      </c>
      <c r="P8" s="1" t="str">
        <f>'upper basin'!O9</f>
        <v>Indirect Potable Reuse (IPR)</v>
      </c>
      <c r="Q8" s="1">
        <f>'upper basin'!P9</f>
        <v>0</v>
      </c>
      <c r="R8" s="1" t="s">
        <v>232</v>
      </c>
      <c r="S8" s="1" t="str">
        <f>'upper basin'!S9</f>
        <v xml:space="preserve">Conservation (C) </v>
      </c>
      <c r="T8" s="1">
        <f>SUM(T5:T7)*'upper basin'!T9</f>
        <v>0</v>
      </c>
      <c r="U8" s="1" t="s">
        <v>235</v>
      </c>
      <c r="V8" s="1" t="str">
        <f>'upper basin'!W9</f>
        <v>Irrigation Efficiency (IE)</v>
      </c>
      <c r="W8" s="1">
        <f>SUM(W5:W7)*'upper basin'!X9</f>
        <v>0</v>
      </c>
      <c r="X8" s="1" t="s">
        <v>236</v>
      </c>
      <c r="AA8" s="120"/>
      <c r="AC8" s="121" t="str">
        <f>'lower basin'!K9</f>
        <v>Indirect Potable Reuse (IPR)</v>
      </c>
      <c r="AD8" s="1">
        <f>'lower basin'!L9</f>
        <v>1</v>
      </c>
      <c r="AE8" s="1" t="s">
        <v>232</v>
      </c>
      <c r="AF8" s="1" t="str">
        <f>'lower basin'!O9</f>
        <v>Indirect Potable Reuse (IPR)</v>
      </c>
      <c r="AG8" s="1">
        <f>'lower basin'!P9</f>
        <v>3.5</v>
      </c>
      <c r="AH8" s="1" t="s">
        <v>232</v>
      </c>
      <c r="AI8" s="1" t="str">
        <f>'lower basin'!S9</f>
        <v xml:space="preserve">Conservation (C) </v>
      </c>
      <c r="AJ8" s="1">
        <f>SUM(AJ5:AJ7)*'lower basin'!T9</f>
        <v>0</v>
      </c>
      <c r="AK8" s="1" t="s">
        <v>235</v>
      </c>
      <c r="AL8" s="1" t="str">
        <f>'lower basin'!W9</f>
        <v>Irrigation Efficiency (IE)</v>
      </c>
      <c r="AM8" s="1">
        <f>SUM(AM5:AM7)*'lower basin'!X9</f>
        <v>0</v>
      </c>
      <c r="AN8" s="1" t="s">
        <v>236</v>
      </c>
      <c r="AQ8" s="120"/>
    </row>
    <row r="9" spans="1:43" ht="14.1" customHeight="1" x14ac:dyDescent="0.2">
      <c r="A9" s="251"/>
      <c r="B9" s="9" t="s">
        <v>73</v>
      </c>
      <c r="C9" s="5" t="s">
        <v>6</v>
      </c>
      <c r="D9" s="5">
        <v>0.9</v>
      </c>
      <c r="E9" s="24">
        <f>F30-F32</f>
        <v>0</v>
      </c>
      <c r="F9" s="24">
        <f t="shared" ref="F9:F45" si="3">D9*E9</f>
        <v>0</v>
      </c>
      <c r="G9" s="24">
        <v>0</v>
      </c>
      <c r="H9" s="24">
        <f t="shared" si="1"/>
        <v>0</v>
      </c>
      <c r="I9" s="92"/>
      <c r="J9" s="86">
        <f t="shared" si="2"/>
        <v>0</v>
      </c>
      <c r="K9" s="102" t="e">
        <f>K30+K30*$N$28</f>
        <v>#DIV/0!</v>
      </c>
      <c r="M9" s="121" t="str">
        <f>'upper basin'!K10</f>
        <v>Grey Water (GreyW)</v>
      </c>
      <c r="N9" s="1">
        <f>'upper basin'!L10</f>
        <v>0</v>
      </c>
      <c r="O9" s="1" t="s">
        <v>233</v>
      </c>
      <c r="P9" s="1" t="str">
        <f>'upper basin'!O10</f>
        <v>Grey Water (GreyW)</v>
      </c>
      <c r="Q9" s="1">
        <f>'upper basin'!P10</f>
        <v>0</v>
      </c>
      <c r="R9" s="1" t="s">
        <v>233</v>
      </c>
      <c r="AA9" s="120"/>
      <c r="AC9" s="121" t="str">
        <f>'lower basin'!K10</f>
        <v>Grey Water (GreyW)</v>
      </c>
      <c r="AD9" s="1">
        <f>'lower basin'!L10</f>
        <v>0.5</v>
      </c>
      <c r="AE9" s="1" t="s">
        <v>233</v>
      </c>
      <c r="AF9" s="1" t="str">
        <f>'lower basin'!O10</f>
        <v>Grey Water (GreyW)</v>
      </c>
      <c r="AG9" s="1">
        <f>'lower basin'!P10</f>
        <v>1</v>
      </c>
      <c r="AH9" s="1" t="s">
        <v>233</v>
      </c>
      <c r="AQ9" s="120"/>
    </row>
    <row r="10" spans="1:43" ht="14.1" customHeight="1" x14ac:dyDescent="0.2">
      <c r="A10" s="251"/>
      <c r="B10" s="9" t="s">
        <v>75</v>
      </c>
      <c r="C10" s="5" t="s">
        <v>7</v>
      </c>
      <c r="D10" s="5">
        <v>1</v>
      </c>
      <c r="E10" s="24">
        <f>F12+F11</f>
        <v>0</v>
      </c>
      <c r="F10" s="24">
        <f t="shared" si="3"/>
        <v>0</v>
      </c>
      <c r="G10" s="24">
        <v>0</v>
      </c>
      <c r="H10" s="24">
        <f t="shared" si="1"/>
        <v>0</v>
      </c>
      <c r="I10" s="92"/>
      <c r="J10" s="86">
        <f t="shared" si="2"/>
        <v>0</v>
      </c>
      <c r="K10" s="102">
        <f>$K$2</f>
        <v>52</v>
      </c>
      <c r="M10" s="121" t="str">
        <f>'upper basin'!K11</f>
        <v>Conservation (C)</v>
      </c>
      <c r="N10" s="1">
        <f>SUM(N5:N9)*'upper basin'!L11</f>
        <v>0</v>
      </c>
      <c r="O10" s="1" t="s">
        <v>235</v>
      </c>
      <c r="P10" s="1" t="str">
        <f>'upper basin'!O11</f>
        <v>Conservation (C)</v>
      </c>
      <c r="Q10" s="1">
        <f>SUM(Q5:Q9)*'upper basin'!P11</f>
        <v>0</v>
      </c>
      <c r="R10" s="1" t="s">
        <v>235</v>
      </c>
      <c r="AA10" s="120"/>
      <c r="AC10" s="121" t="str">
        <f>'lower basin'!K11</f>
        <v>Desalination (D)</v>
      </c>
      <c r="AD10" s="1">
        <f>'lower basin'!L11</f>
        <v>2</v>
      </c>
      <c r="AE10" s="1" t="s">
        <v>234</v>
      </c>
      <c r="AF10" s="1" t="str">
        <f>'lower basin'!O11</f>
        <v>Desalination (D)</v>
      </c>
      <c r="AG10" s="1">
        <f>'lower basin'!P11</f>
        <v>2</v>
      </c>
      <c r="AH10" s="1" t="s">
        <v>234</v>
      </c>
      <c r="AQ10" s="120"/>
    </row>
    <row r="11" spans="1:43" ht="14.1" customHeight="1" thickBot="1" x14ac:dyDescent="0.25">
      <c r="A11" s="251"/>
      <c r="B11" s="9" t="s">
        <v>77</v>
      </c>
      <c r="C11" s="5" t="s">
        <v>13</v>
      </c>
      <c r="D11" s="5">
        <v>1</v>
      </c>
      <c r="E11" s="23">
        <f>'upper basin'!$P$7</f>
        <v>0</v>
      </c>
      <c r="F11" s="24">
        <f t="shared" si="3"/>
        <v>0</v>
      </c>
      <c r="G11" s="24">
        <f>'upper basin'!$D$34</f>
        <v>400</v>
      </c>
      <c r="H11" s="24">
        <f t="shared" si="1"/>
        <v>0</v>
      </c>
      <c r="I11" s="92">
        <v>7.9000000000000001E-2</v>
      </c>
      <c r="J11" s="86">
        <f t="shared" si="2"/>
        <v>0</v>
      </c>
      <c r="K11" s="167">
        <f>$N$24</f>
        <v>400</v>
      </c>
      <c r="M11" s="122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4"/>
      <c r="AC11" s="121" t="str">
        <f>'lower basin'!K12</f>
        <v>Conservation (C)</v>
      </c>
      <c r="AD11" s="1">
        <f>SUM(AD5:AD10)*'lower basin'!L12</f>
        <v>0</v>
      </c>
      <c r="AE11" s="1" t="s">
        <v>235</v>
      </c>
      <c r="AF11" s="1" t="str">
        <f>'lower basin'!O12</f>
        <v>Conservation (C)</v>
      </c>
      <c r="AG11" s="1">
        <f>SUM(AG5:AG10)*'lower basin'!P12</f>
        <v>0</v>
      </c>
      <c r="AH11" s="1" t="s">
        <v>235</v>
      </c>
      <c r="AQ11" s="120"/>
    </row>
    <row r="12" spans="1:43" ht="14.1" customHeight="1" thickBot="1" x14ac:dyDescent="0.25">
      <c r="A12" s="251"/>
      <c r="B12" s="9" t="s">
        <v>76</v>
      </c>
      <c r="C12" s="5" t="s">
        <v>14</v>
      </c>
      <c r="D12" s="5">
        <v>1</v>
      </c>
      <c r="E12" s="23">
        <f>'upper basin'!$L$7</f>
        <v>0</v>
      </c>
      <c r="F12" s="24">
        <f>D12*E12</f>
        <v>0</v>
      </c>
      <c r="G12" s="24">
        <f>'upper basin'!$D$34</f>
        <v>400</v>
      </c>
      <c r="H12" s="24">
        <f t="shared" si="1"/>
        <v>0</v>
      </c>
      <c r="I12" s="92">
        <v>7.9000000000000001E-2</v>
      </c>
      <c r="J12" s="86">
        <f t="shared" si="2"/>
        <v>0</v>
      </c>
      <c r="K12" s="167">
        <f>$N$24</f>
        <v>400</v>
      </c>
      <c r="AC12" s="122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4"/>
    </row>
    <row r="13" spans="1:43" ht="14.1" customHeight="1" x14ac:dyDescent="0.2">
      <c r="A13" s="251"/>
      <c r="B13" s="9" t="s">
        <v>78</v>
      </c>
      <c r="C13" s="5" t="s">
        <v>15</v>
      </c>
      <c r="D13" s="5">
        <v>1</v>
      </c>
      <c r="E13" s="23">
        <f>'upper basin'!$L$6</f>
        <v>0</v>
      </c>
      <c r="F13" s="24">
        <f>D13*E13</f>
        <v>0</v>
      </c>
      <c r="G13" s="24">
        <f>'upper basin'!$D$35</f>
        <v>90</v>
      </c>
      <c r="H13" s="24">
        <f t="shared" si="1"/>
        <v>0</v>
      </c>
      <c r="I13" s="92">
        <v>0.185</v>
      </c>
      <c r="J13" s="86">
        <f t="shared" si="2"/>
        <v>0</v>
      </c>
      <c r="K13" s="167">
        <f>$N$26</f>
        <v>100</v>
      </c>
    </row>
    <row r="14" spans="1:43" ht="14.1" customHeight="1" x14ac:dyDescent="0.2">
      <c r="A14" s="251"/>
      <c r="B14" s="9" t="s">
        <v>79</v>
      </c>
      <c r="C14" s="5" t="s">
        <v>16</v>
      </c>
      <c r="D14" s="5">
        <v>1</v>
      </c>
      <c r="E14" s="23">
        <f>'upper basin'!$L$8</f>
        <v>0</v>
      </c>
      <c r="F14" s="24">
        <f t="shared" si="3"/>
        <v>0</v>
      </c>
      <c r="G14" s="24">
        <f>'upper basin'!$D$36</f>
        <v>1500</v>
      </c>
      <c r="H14" s="24">
        <f t="shared" si="1"/>
        <v>0</v>
      </c>
      <c r="I14" s="92">
        <v>0.66100000000000003</v>
      </c>
      <c r="J14" s="86">
        <f t="shared" si="2"/>
        <v>0</v>
      </c>
      <c r="K14" s="167">
        <f>$N$23</f>
        <v>650</v>
      </c>
    </row>
    <row r="15" spans="1:43" ht="14.1" customHeight="1" x14ac:dyDescent="0.25">
      <c r="A15" s="251"/>
      <c r="B15" s="9" t="s">
        <v>80</v>
      </c>
      <c r="C15" s="5" t="s">
        <v>17</v>
      </c>
      <c r="D15" s="5">
        <v>1</v>
      </c>
      <c r="E15" s="140">
        <f>0.5*(F12+F14+F13)</f>
        <v>0</v>
      </c>
      <c r="F15" s="24">
        <f t="shared" si="3"/>
        <v>0</v>
      </c>
      <c r="G15" s="24">
        <v>0</v>
      </c>
      <c r="H15" s="24">
        <f t="shared" si="1"/>
        <v>0</v>
      </c>
      <c r="I15" s="92"/>
      <c r="J15" s="86">
        <f t="shared" si="2"/>
        <v>0</v>
      </c>
      <c r="K15" s="102" t="e">
        <f>(K12*F12+K13*F13+K14*F14)/(F12+F13+F14)</f>
        <v>#DIV/0!</v>
      </c>
      <c r="M15" s="93" t="s">
        <v>149</v>
      </c>
    </row>
    <row r="16" spans="1:43" ht="14.1" customHeight="1" x14ac:dyDescent="0.2">
      <c r="A16" s="251"/>
      <c r="B16" s="9" t="s">
        <v>81</v>
      </c>
      <c r="C16" s="5" t="s">
        <v>18</v>
      </c>
      <c r="D16" s="5">
        <v>1</v>
      </c>
      <c r="E16" s="140">
        <f>0.5*(F12+F14+F13)</f>
        <v>0</v>
      </c>
      <c r="F16" s="24">
        <f>D16*E16</f>
        <v>0</v>
      </c>
      <c r="G16" s="24">
        <v>0</v>
      </c>
      <c r="H16" s="24">
        <f t="shared" si="1"/>
        <v>0</v>
      </c>
      <c r="I16" s="92"/>
      <c r="J16" s="86">
        <f t="shared" si="2"/>
        <v>0</v>
      </c>
      <c r="K16" s="102" t="e">
        <f>(K12*E12+K13*E13+K14*E14)/(E12+E13+E14)</f>
        <v>#DIV/0!</v>
      </c>
      <c r="M16" s="1" t="s">
        <v>150</v>
      </c>
    </row>
    <row r="17" spans="1:14" ht="14.1" customHeight="1" x14ac:dyDescent="0.25">
      <c r="A17" s="251"/>
      <c r="B17" s="9" t="s">
        <v>82</v>
      </c>
      <c r="C17" s="5" t="s">
        <v>19</v>
      </c>
      <c r="D17" s="5">
        <v>1</v>
      </c>
      <c r="E17" s="23">
        <f>'upper basin'!$L$9</f>
        <v>0</v>
      </c>
      <c r="F17" s="24">
        <f t="shared" si="3"/>
        <v>0</v>
      </c>
      <c r="G17" s="24">
        <f>'upper basin'!$D$37</f>
        <v>520</v>
      </c>
      <c r="H17" s="24">
        <f t="shared" si="1"/>
        <v>0</v>
      </c>
      <c r="I17" s="92">
        <v>0.66100000000000003</v>
      </c>
      <c r="J17" s="86">
        <f t="shared" si="2"/>
        <v>0</v>
      </c>
      <c r="K17" s="167">
        <f>$N$23</f>
        <v>650</v>
      </c>
      <c r="M17" s="93" t="s">
        <v>224</v>
      </c>
    </row>
    <row r="18" spans="1:14" ht="14.1" customHeight="1" x14ac:dyDescent="0.2">
      <c r="A18" s="251"/>
      <c r="B18" s="9" t="s">
        <v>83</v>
      </c>
      <c r="C18" s="5" t="s">
        <v>20</v>
      </c>
      <c r="D18" s="5">
        <v>0.9</v>
      </c>
      <c r="E18" s="24">
        <f>F15-F19</f>
        <v>0</v>
      </c>
      <c r="F18" s="24">
        <f t="shared" si="3"/>
        <v>0</v>
      </c>
      <c r="G18" s="24">
        <v>0</v>
      </c>
      <c r="H18" s="24">
        <f t="shared" si="1"/>
        <v>0</v>
      </c>
      <c r="I18" s="92"/>
      <c r="J18" s="86">
        <f t="shared" si="2"/>
        <v>0</v>
      </c>
      <c r="K18" s="102" t="e">
        <f>K15+K15*$N$28</f>
        <v>#DIV/0!</v>
      </c>
      <c r="M18" s="1" t="s">
        <v>225</v>
      </c>
      <c r="N18" s="1" t="s">
        <v>214</v>
      </c>
    </row>
    <row r="19" spans="1:14" ht="14.1" customHeight="1" x14ac:dyDescent="0.25">
      <c r="A19" s="251"/>
      <c r="B19" s="9" t="s">
        <v>84</v>
      </c>
      <c r="C19" s="5" t="s">
        <v>21</v>
      </c>
      <c r="D19" s="5">
        <v>1</v>
      </c>
      <c r="E19" s="23">
        <f>'upper basin'!$L$10</f>
        <v>0</v>
      </c>
      <c r="F19" s="24">
        <f t="shared" si="3"/>
        <v>0</v>
      </c>
      <c r="G19" s="24">
        <f>'upper basin'!$D$38</f>
        <v>2000</v>
      </c>
      <c r="H19" s="24">
        <f t="shared" si="1"/>
        <v>0</v>
      </c>
      <c r="I19" s="92">
        <v>1.2</v>
      </c>
      <c r="J19" s="86">
        <f t="shared" si="2"/>
        <v>0</v>
      </c>
      <c r="K19" s="102" t="e">
        <f>K15+K15*$N$28</f>
        <v>#DIV/0!</v>
      </c>
      <c r="M19" s="93" t="s">
        <v>248</v>
      </c>
    </row>
    <row r="20" spans="1:14" ht="14.1" customHeight="1" x14ac:dyDescent="0.2">
      <c r="A20" s="251"/>
      <c r="B20" s="9" t="s">
        <v>85</v>
      </c>
      <c r="C20" s="5" t="s">
        <v>22</v>
      </c>
      <c r="D20" s="5">
        <v>1</v>
      </c>
      <c r="E20" s="24">
        <f>F18-F17-F14-F35</f>
        <v>0</v>
      </c>
      <c r="F20" s="24">
        <f t="shared" si="3"/>
        <v>0</v>
      </c>
      <c r="G20" s="24">
        <f>'upper basin'!$D$40</f>
        <v>50</v>
      </c>
      <c r="H20" s="24">
        <f>F20*G20</f>
        <v>0</v>
      </c>
      <c r="I20" s="92"/>
      <c r="J20" s="86">
        <f t="shared" si="2"/>
        <v>0</v>
      </c>
      <c r="K20" s="167">
        <f>$N$23</f>
        <v>650</v>
      </c>
      <c r="M20" s="1" t="s">
        <v>249</v>
      </c>
      <c r="N20" s="1" t="s">
        <v>214</v>
      </c>
    </row>
    <row r="21" spans="1:14" ht="14.1" customHeight="1" x14ac:dyDescent="0.2">
      <c r="A21" s="251"/>
      <c r="B21" s="9" t="s">
        <v>133</v>
      </c>
      <c r="C21" s="5" t="s">
        <v>23</v>
      </c>
      <c r="D21" s="5">
        <v>1</v>
      </c>
      <c r="E21" s="23">
        <f>'upper basin'!$X$7</f>
        <v>50</v>
      </c>
      <c r="F21" s="24">
        <f>D21*E21</f>
        <v>50</v>
      </c>
      <c r="G21" s="24">
        <v>0</v>
      </c>
      <c r="H21" s="24">
        <f t="shared" si="1"/>
        <v>0</v>
      </c>
      <c r="I21" s="92">
        <v>7.9000000000000001E-2</v>
      </c>
      <c r="J21" s="86">
        <f t="shared" si="2"/>
        <v>4872253.1100000003</v>
      </c>
      <c r="K21" s="102">
        <f>$K$2</f>
        <v>52</v>
      </c>
    </row>
    <row r="22" spans="1:14" ht="14.1" customHeight="1" x14ac:dyDescent="0.2">
      <c r="A22" s="251"/>
      <c r="B22" s="9" t="s">
        <v>86</v>
      </c>
      <c r="C22" s="5" t="s">
        <v>24</v>
      </c>
      <c r="D22" s="5">
        <v>1</v>
      </c>
      <c r="E22" s="23">
        <f>'upper basin'!$X$6</f>
        <v>50</v>
      </c>
      <c r="F22" s="24">
        <f t="shared" si="3"/>
        <v>50</v>
      </c>
      <c r="G22" s="24">
        <f>'upper basin'!$D$35</f>
        <v>90</v>
      </c>
      <c r="H22" s="24">
        <f t="shared" si="1"/>
        <v>4500</v>
      </c>
      <c r="I22" s="92"/>
      <c r="J22" s="86">
        <f t="shared" si="2"/>
        <v>0</v>
      </c>
      <c r="K22" s="167">
        <f>$N$26</f>
        <v>100</v>
      </c>
      <c r="M22" s="248" t="s">
        <v>266</v>
      </c>
      <c r="N22" s="249"/>
    </row>
    <row r="23" spans="1:14" ht="14.1" customHeight="1" x14ac:dyDescent="0.2">
      <c r="A23" s="251"/>
      <c r="B23" s="9" t="s">
        <v>87</v>
      </c>
      <c r="C23" s="5" t="s">
        <v>25</v>
      </c>
      <c r="D23" s="5">
        <v>0.35</v>
      </c>
      <c r="E23" s="24">
        <f>0.5*(F21+F22+F35)</f>
        <v>50</v>
      </c>
      <c r="F23" s="24">
        <f t="shared" si="3"/>
        <v>17.5</v>
      </c>
      <c r="G23" s="24">
        <v>0</v>
      </c>
      <c r="H23" s="24">
        <f t="shared" si="1"/>
        <v>0</v>
      </c>
      <c r="I23" s="92"/>
      <c r="J23" s="86">
        <f t="shared" si="2"/>
        <v>0</v>
      </c>
      <c r="K23" s="102">
        <f>(K21*F21+K22*F22)/(F21+F22)+(K21*F21+K22*F22)/(F21+F22)*$N$29</f>
        <v>83.6</v>
      </c>
      <c r="M23" s="62" t="s">
        <v>144</v>
      </c>
      <c r="N23" s="62">
        <v>650</v>
      </c>
    </row>
    <row r="24" spans="1:14" ht="14.1" customHeight="1" x14ac:dyDescent="0.2">
      <c r="A24" s="251"/>
      <c r="B24" s="9" t="s">
        <v>88</v>
      </c>
      <c r="C24" s="5" t="s">
        <v>26</v>
      </c>
      <c r="D24" s="5">
        <v>0.35</v>
      </c>
      <c r="E24" s="24">
        <f>0.5*(F21+F22+F35)</f>
        <v>50</v>
      </c>
      <c r="F24" s="24">
        <f t="shared" si="3"/>
        <v>17.5</v>
      </c>
      <c r="G24" s="24">
        <v>0</v>
      </c>
      <c r="H24" s="24">
        <f t="shared" si="1"/>
        <v>0</v>
      </c>
      <c r="I24" s="92"/>
      <c r="J24" s="86">
        <f t="shared" si="2"/>
        <v>0</v>
      </c>
      <c r="K24" s="102">
        <f>(K21*F21+K22*F22)/(F21+F22)+(K21*F21+K22*F22)/(F21+F22)*$N$29</f>
        <v>83.6</v>
      </c>
      <c r="M24" s="62" t="s">
        <v>104</v>
      </c>
      <c r="N24" s="62">
        <v>400</v>
      </c>
    </row>
    <row r="25" spans="1:14" ht="14.1" customHeight="1" x14ac:dyDescent="0.2">
      <c r="A25" s="251"/>
      <c r="B25" s="9" t="s">
        <v>89</v>
      </c>
      <c r="C25" s="5" t="s">
        <v>27</v>
      </c>
      <c r="D25" s="5">
        <v>1</v>
      </c>
      <c r="E25" s="23">
        <f>'upper basin'!$T$7</f>
        <v>14</v>
      </c>
      <c r="F25" s="24">
        <f t="shared" si="3"/>
        <v>14</v>
      </c>
      <c r="G25" s="24">
        <v>0</v>
      </c>
      <c r="H25" s="24">
        <f t="shared" si="1"/>
        <v>0</v>
      </c>
      <c r="I25" s="92">
        <v>7.9000000000000001E-2</v>
      </c>
      <c r="J25" s="86">
        <f t="shared" si="2"/>
        <v>1364230.8708000001</v>
      </c>
      <c r="K25" s="102">
        <f>$K$2</f>
        <v>52</v>
      </c>
      <c r="M25" s="62" t="s">
        <v>262</v>
      </c>
      <c r="N25" s="62">
        <v>700</v>
      </c>
    </row>
    <row r="26" spans="1:14" ht="14.1" customHeight="1" x14ac:dyDescent="0.2">
      <c r="A26" s="251"/>
      <c r="B26" s="9" t="s">
        <v>90</v>
      </c>
      <c r="C26" s="5" t="s">
        <v>28</v>
      </c>
      <c r="D26" s="5">
        <v>1</v>
      </c>
      <c r="E26" s="23">
        <f>'upper basin'!$T$6</f>
        <v>5</v>
      </c>
      <c r="F26" s="24">
        <f t="shared" si="3"/>
        <v>5</v>
      </c>
      <c r="G26" s="24">
        <f>'upper basin'!$D$35</f>
        <v>90</v>
      </c>
      <c r="H26" s="24">
        <f t="shared" si="1"/>
        <v>450</v>
      </c>
      <c r="I26" s="92">
        <v>0.185</v>
      </c>
      <c r="J26" s="86">
        <f t="shared" si="2"/>
        <v>1140970.665</v>
      </c>
      <c r="K26" s="167">
        <f>$N$26</f>
        <v>100</v>
      </c>
      <c r="M26" s="62" t="s">
        <v>127</v>
      </c>
      <c r="N26" s="62">
        <v>100</v>
      </c>
    </row>
    <row r="27" spans="1:14" ht="14.1" customHeight="1" x14ac:dyDescent="0.2">
      <c r="A27" s="251"/>
      <c r="B27" s="9" t="s">
        <v>91</v>
      </c>
      <c r="C27" s="5" t="s">
        <v>29</v>
      </c>
      <c r="D27" s="5">
        <v>1</v>
      </c>
      <c r="E27" s="24">
        <f>F39+F40</f>
        <v>8.7000000000000011</v>
      </c>
      <c r="F27" s="24">
        <f t="shared" si="3"/>
        <v>8.7000000000000011</v>
      </c>
      <c r="G27" s="24">
        <v>0</v>
      </c>
      <c r="H27" s="24">
        <f t="shared" si="1"/>
        <v>0</v>
      </c>
      <c r="I27" s="92"/>
      <c r="J27" s="86">
        <f t="shared" si="2"/>
        <v>0</v>
      </c>
      <c r="K27" s="102">
        <f>(K40*F40+K39*F39)/(F39+F40)</f>
        <v>73.267695099818511</v>
      </c>
    </row>
    <row r="28" spans="1:14" ht="14.1" customHeight="1" x14ac:dyDescent="0.2">
      <c r="A28" s="251"/>
      <c r="B28" s="9" t="s">
        <v>92</v>
      </c>
      <c r="C28" s="5" t="s">
        <v>30</v>
      </c>
      <c r="D28" s="5">
        <v>1</v>
      </c>
      <c r="E28" s="23">
        <f>'upper basin'!$P$6</f>
        <v>0</v>
      </c>
      <c r="F28" s="24">
        <f t="shared" si="3"/>
        <v>0</v>
      </c>
      <c r="G28" s="24">
        <f>'upper basin'!$D$35</f>
        <v>90</v>
      </c>
      <c r="H28" s="24">
        <f t="shared" si="1"/>
        <v>0</v>
      </c>
      <c r="I28" s="92">
        <v>0.185</v>
      </c>
      <c r="J28" s="86">
        <f t="shared" si="2"/>
        <v>0</v>
      </c>
      <c r="K28" s="167">
        <f>$N$26</f>
        <v>100</v>
      </c>
      <c r="M28" s="62" t="s">
        <v>146</v>
      </c>
      <c r="N28" s="63">
        <v>0.2</v>
      </c>
    </row>
    <row r="29" spans="1:14" ht="14.1" customHeight="1" x14ac:dyDescent="0.2">
      <c r="A29" s="251"/>
      <c r="B29" s="9" t="s">
        <v>93</v>
      </c>
      <c r="C29" s="5" t="s">
        <v>31</v>
      </c>
      <c r="D29" s="5">
        <v>1</v>
      </c>
      <c r="E29" s="23">
        <f>'upper basin'!$P$8</f>
        <v>0</v>
      </c>
      <c r="F29" s="24">
        <f t="shared" si="3"/>
        <v>0</v>
      </c>
      <c r="G29" s="24">
        <f>'upper basin'!$D$36</f>
        <v>1500</v>
      </c>
      <c r="H29" s="24">
        <f t="shared" si="1"/>
        <v>0</v>
      </c>
      <c r="I29" s="92">
        <v>0.66100000000000003</v>
      </c>
      <c r="J29" s="86">
        <f t="shared" si="2"/>
        <v>0</v>
      </c>
      <c r="K29" s="167">
        <f>$N$23</f>
        <v>650</v>
      </c>
      <c r="M29" s="62" t="s">
        <v>145</v>
      </c>
      <c r="N29" s="63">
        <v>0.1</v>
      </c>
    </row>
    <row r="30" spans="1:14" ht="14.1" customHeight="1" x14ac:dyDescent="0.2">
      <c r="A30" s="251"/>
      <c r="B30" s="9" t="s">
        <v>94</v>
      </c>
      <c r="C30" s="5" t="s">
        <v>32</v>
      </c>
      <c r="D30" s="5">
        <v>1</v>
      </c>
      <c r="E30" s="140">
        <f>0.5*(F11+F28+F29)</f>
        <v>0</v>
      </c>
      <c r="F30" s="24">
        <f t="shared" si="3"/>
        <v>0</v>
      </c>
      <c r="G30" s="24">
        <v>0</v>
      </c>
      <c r="H30" s="24">
        <f t="shared" si="1"/>
        <v>0</v>
      </c>
      <c r="I30" s="92"/>
      <c r="J30" s="86">
        <f t="shared" si="2"/>
        <v>0</v>
      </c>
      <c r="K30" s="102" t="e">
        <f>(K29*F29+K28*F28+K11*F11)/(F11+F28+F29)</f>
        <v>#DIV/0!</v>
      </c>
      <c r="M30" s="62" t="s">
        <v>261</v>
      </c>
      <c r="N30" s="63">
        <v>0.15</v>
      </c>
    </row>
    <row r="31" spans="1:14" ht="14.1" customHeight="1" x14ac:dyDescent="0.2">
      <c r="A31" s="251"/>
      <c r="B31" s="9" t="s">
        <v>95</v>
      </c>
      <c r="C31" s="5" t="s">
        <v>33</v>
      </c>
      <c r="D31" s="5">
        <v>1</v>
      </c>
      <c r="E31" s="140">
        <f>0.5*(F11+F28+F29)</f>
        <v>0</v>
      </c>
      <c r="F31" s="24">
        <f t="shared" si="3"/>
        <v>0</v>
      </c>
      <c r="G31" s="24">
        <v>0</v>
      </c>
      <c r="H31" s="24">
        <f t="shared" si="1"/>
        <v>0</v>
      </c>
      <c r="I31" s="92"/>
      <c r="J31" s="86">
        <f t="shared" si="2"/>
        <v>0</v>
      </c>
      <c r="K31" s="102" t="e">
        <f>(K29*F29+K28*F28+K11*F11)/(F11+F28+F29)</f>
        <v>#DIV/0!</v>
      </c>
      <c r="M31" s="62" t="s">
        <v>263</v>
      </c>
      <c r="N31" s="63">
        <v>0.1</v>
      </c>
    </row>
    <row r="32" spans="1:14" ht="14.1" customHeight="1" x14ac:dyDescent="0.2">
      <c r="A32" s="251"/>
      <c r="B32" s="9" t="s">
        <v>96</v>
      </c>
      <c r="C32" s="5" t="s">
        <v>34</v>
      </c>
      <c r="D32" s="5">
        <v>1</v>
      </c>
      <c r="E32" s="23">
        <f>'upper basin'!$P$10</f>
        <v>0</v>
      </c>
      <c r="F32" s="24">
        <f t="shared" si="3"/>
        <v>0</v>
      </c>
      <c r="G32" s="24">
        <f>'upper basin'!$D$38</f>
        <v>2000</v>
      </c>
      <c r="H32" s="24">
        <f t="shared" si="1"/>
        <v>0</v>
      </c>
      <c r="I32" s="92">
        <v>1.2</v>
      </c>
      <c r="J32" s="86">
        <f t="shared" si="2"/>
        <v>0</v>
      </c>
      <c r="K32" s="102" t="e">
        <f>K30+K30*$N$28</f>
        <v>#DIV/0!</v>
      </c>
    </row>
    <row r="33" spans="1:26" ht="15" customHeight="1" x14ac:dyDescent="0.2">
      <c r="A33" s="251"/>
      <c r="B33" s="9" t="s">
        <v>97</v>
      </c>
      <c r="C33" s="5" t="s">
        <v>68</v>
      </c>
      <c r="D33" s="5">
        <v>0.1</v>
      </c>
      <c r="E33" s="24">
        <f>F16+F19+F17</f>
        <v>0</v>
      </c>
      <c r="F33" s="24">
        <f t="shared" si="3"/>
        <v>0</v>
      </c>
      <c r="G33" s="24">
        <v>0</v>
      </c>
      <c r="H33" s="24">
        <f t="shared" si="1"/>
        <v>0</v>
      </c>
      <c r="I33" s="92"/>
      <c r="J33" s="86">
        <f t="shared" si="2"/>
        <v>0</v>
      </c>
      <c r="K33" s="102" t="e">
        <f>(K16*F16+K17*F17+K19*F19)/(F16+F17+F19)</f>
        <v>#DIV/0!</v>
      </c>
      <c r="U33" s="1" t="s">
        <v>257</v>
      </c>
    </row>
    <row r="34" spans="1:26" ht="15" customHeight="1" x14ac:dyDescent="0.3">
      <c r="A34" s="251"/>
      <c r="B34" s="9" t="s">
        <v>119</v>
      </c>
      <c r="C34" s="5" t="s">
        <v>135</v>
      </c>
      <c r="D34" s="5">
        <v>0.1</v>
      </c>
      <c r="E34" s="24">
        <f>F31+F32+F8</f>
        <v>0</v>
      </c>
      <c r="F34" s="24">
        <f t="shared" si="3"/>
        <v>0</v>
      </c>
      <c r="G34" s="24">
        <v>0</v>
      </c>
      <c r="H34" s="24">
        <f t="shared" ref="H34:H65" si="4">F34*G34</f>
        <v>0</v>
      </c>
      <c r="I34" s="92"/>
      <c r="J34" s="86">
        <f t="shared" ref="J34:J65" si="5">F34*I34*1233.4818*1000</f>
        <v>0</v>
      </c>
      <c r="K34" s="102" t="e">
        <f>(K8*F8+K31*F31+K32*F32)/(F8+F31+F32)</f>
        <v>#DIV/0!</v>
      </c>
      <c r="U34" s="1" t="s">
        <v>275</v>
      </c>
    </row>
    <row r="35" spans="1:26" ht="15" customHeight="1" x14ac:dyDescent="0.2">
      <c r="A35" s="251"/>
      <c r="B35" s="9" t="s">
        <v>187</v>
      </c>
      <c r="C35" s="24" t="s">
        <v>188</v>
      </c>
      <c r="D35" s="81">
        <v>1</v>
      </c>
      <c r="E35" s="24">
        <f>'upper basin'!X8</f>
        <v>0</v>
      </c>
      <c r="F35" s="24">
        <f t="shared" si="3"/>
        <v>0</v>
      </c>
      <c r="G35" s="24">
        <f>'upper basin'!$D$37</f>
        <v>520</v>
      </c>
      <c r="H35" s="24">
        <f t="shared" si="4"/>
        <v>0</v>
      </c>
      <c r="I35" s="92">
        <v>0.66100000000000003</v>
      </c>
      <c r="J35" s="86">
        <f t="shared" si="5"/>
        <v>0</v>
      </c>
      <c r="K35" s="102">
        <f>$N$23</f>
        <v>650</v>
      </c>
      <c r="U35" s="1" t="s">
        <v>256</v>
      </c>
    </row>
    <row r="36" spans="1:26" ht="15" customHeight="1" x14ac:dyDescent="0.2">
      <c r="A36" s="251"/>
      <c r="B36" s="9" t="s">
        <v>204</v>
      </c>
      <c r="C36" s="24" t="s">
        <v>190</v>
      </c>
      <c r="D36" s="81">
        <v>1</v>
      </c>
      <c r="E36" s="24">
        <f>0.5*(F25+F26)</f>
        <v>9.5</v>
      </c>
      <c r="F36" s="24">
        <f t="shared" si="3"/>
        <v>9.5</v>
      </c>
      <c r="G36" s="24">
        <v>0</v>
      </c>
      <c r="H36" s="24">
        <f t="shared" si="4"/>
        <v>0</v>
      </c>
      <c r="I36" s="92"/>
      <c r="J36" s="86">
        <f t="shared" si="5"/>
        <v>0</v>
      </c>
      <c r="K36" s="102">
        <f>(K25*F25+K26*F26)/(F25+F26)</f>
        <v>64.631578947368425</v>
      </c>
      <c r="V36" s="162" t="s">
        <v>254</v>
      </c>
      <c r="W36" s="163">
        <v>20</v>
      </c>
      <c r="Y36" s="1" t="s">
        <v>259</v>
      </c>
      <c r="Z36" s="161">
        <v>1</v>
      </c>
    </row>
    <row r="37" spans="1:26" ht="15" customHeight="1" x14ac:dyDescent="0.2">
      <c r="A37" s="251"/>
      <c r="B37" s="9" t="s">
        <v>205</v>
      </c>
      <c r="C37" s="24" t="s">
        <v>191</v>
      </c>
      <c r="D37" s="81">
        <v>1</v>
      </c>
      <c r="E37" s="24">
        <f>0.5*(F25+F26)</f>
        <v>9.5</v>
      </c>
      <c r="F37" s="24">
        <f t="shared" si="3"/>
        <v>9.5</v>
      </c>
      <c r="G37" s="24">
        <v>0</v>
      </c>
      <c r="H37" s="24">
        <f t="shared" si="4"/>
        <v>0</v>
      </c>
      <c r="I37" s="92"/>
      <c r="J37" s="86">
        <f t="shared" si="5"/>
        <v>0</v>
      </c>
      <c r="K37" s="102">
        <f>(K25*F25+K26*F26)/(F25+F26)</f>
        <v>64.631578947368425</v>
      </c>
      <c r="W37" s="1" t="s">
        <v>260</v>
      </c>
      <c r="Y37" s="1" t="s">
        <v>258</v>
      </c>
      <c r="Z37" s="161">
        <v>0.5</v>
      </c>
    </row>
    <row r="38" spans="1:26" ht="15" customHeight="1" x14ac:dyDescent="0.2">
      <c r="A38" s="251"/>
      <c r="B38" s="9" t="s">
        <v>206</v>
      </c>
      <c r="C38" s="24" t="s">
        <v>192</v>
      </c>
      <c r="D38" s="81">
        <v>1</v>
      </c>
      <c r="E38" s="25">
        <f>'upper basin'!$T$8</f>
        <v>1</v>
      </c>
      <c r="F38" s="24">
        <f>D38*E38</f>
        <v>1</v>
      </c>
      <c r="G38" s="24">
        <f>'upper basin'!$D$38</f>
        <v>2000</v>
      </c>
      <c r="H38" s="24">
        <f t="shared" si="4"/>
        <v>2000</v>
      </c>
      <c r="I38" s="92">
        <v>1.2</v>
      </c>
      <c r="J38" s="86">
        <f t="shared" si="5"/>
        <v>1480178.16</v>
      </c>
      <c r="K38" s="102">
        <f>K37+K37*$N$30</f>
        <v>74.326315789473682</v>
      </c>
      <c r="U38" s="62" t="s">
        <v>255</v>
      </c>
      <c r="V38" s="62" t="s">
        <v>250</v>
      </c>
      <c r="W38" s="62" t="s">
        <v>251</v>
      </c>
    </row>
    <row r="39" spans="1:26" ht="15" customHeight="1" x14ac:dyDescent="0.2">
      <c r="A39" s="251"/>
      <c r="B39" s="9" t="s">
        <v>207</v>
      </c>
      <c r="C39" s="24" t="s">
        <v>193</v>
      </c>
      <c r="D39" s="112">
        <v>0.1</v>
      </c>
      <c r="E39" s="24">
        <f>F38+F36</f>
        <v>10.5</v>
      </c>
      <c r="F39" s="24">
        <f t="shared" ref="F39:F43" si="6">D39*E39</f>
        <v>1.05</v>
      </c>
      <c r="G39" s="24">
        <v>0</v>
      </c>
      <c r="H39" s="24">
        <f t="shared" si="4"/>
        <v>0</v>
      </c>
      <c r="I39" s="92"/>
      <c r="J39" s="86">
        <f t="shared" si="5"/>
        <v>0</v>
      </c>
      <c r="K39" s="102">
        <f>(K38*F38+K36*F36)/(F36+F38)</f>
        <v>65.55488721804511</v>
      </c>
      <c r="U39" s="62">
        <v>1</v>
      </c>
      <c r="V39" s="165">
        <f>(1000+Z37*(F70+F61+F71)-Z36*(F50+F79+F59+F65+F63))/100</f>
        <v>9.6627499999999991</v>
      </c>
      <c r="W39" s="164">
        <f>-$W$36*V39</f>
        <v>-193.255</v>
      </c>
      <c r="Y39" s="1" t="s">
        <v>252</v>
      </c>
      <c r="Z39" s="1" t="s">
        <v>253</v>
      </c>
    </row>
    <row r="40" spans="1:26" ht="15" customHeight="1" x14ac:dyDescent="0.2">
      <c r="A40" s="251"/>
      <c r="B40" s="9" t="s">
        <v>208</v>
      </c>
      <c r="C40" s="24" t="s">
        <v>194</v>
      </c>
      <c r="D40" s="112">
        <v>0.9</v>
      </c>
      <c r="E40" s="24">
        <f>F37-F38</f>
        <v>8.5</v>
      </c>
      <c r="F40" s="24">
        <f t="shared" si="6"/>
        <v>7.65</v>
      </c>
      <c r="G40" s="24">
        <v>0</v>
      </c>
      <c r="H40" s="24">
        <f t="shared" si="4"/>
        <v>0</v>
      </c>
      <c r="I40" s="92"/>
      <c r="J40" s="86">
        <f t="shared" si="5"/>
        <v>0</v>
      </c>
      <c r="K40" s="102">
        <f>K37+K37*$N$30</f>
        <v>74.326315789473682</v>
      </c>
      <c r="U40" s="62">
        <v>2</v>
      </c>
      <c r="V40" s="165">
        <f t="shared" ref="V40:V67" si="7">V39-($V$39-$V$68)/COUNT($U$39:$U$68)</f>
        <v>9.340658333333332</v>
      </c>
      <c r="W40" s="164">
        <f t="shared" ref="W40:W68" si="8">-$W$36*V40</f>
        <v>-186.81316666666663</v>
      </c>
    </row>
    <row r="41" spans="1:26" ht="15" customHeight="1" x14ac:dyDescent="0.2">
      <c r="A41" s="251"/>
      <c r="B41" s="9" t="s">
        <v>209</v>
      </c>
      <c r="C41" s="24" t="s">
        <v>195</v>
      </c>
      <c r="D41" s="81">
        <v>1</v>
      </c>
      <c r="E41" s="25">
        <f>'upper basin'!$AB$7</f>
        <v>15</v>
      </c>
      <c r="F41" s="24">
        <f t="shared" si="6"/>
        <v>15</v>
      </c>
      <c r="G41" s="24">
        <v>0</v>
      </c>
      <c r="H41" s="24">
        <f t="shared" si="4"/>
        <v>0</v>
      </c>
      <c r="I41" s="92"/>
      <c r="J41" s="86">
        <f t="shared" si="5"/>
        <v>0</v>
      </c>
      <c r="K41" s="102">
        <f>$K$2</f>
        <v>52</v>
      </c>
      <c r="U41" s="62">
        <v>3</v>
      </c>
      <c r="V41" s="165">
        <f t="shared" si="7"/>
        <v>9.0185666666666648</v>
      </c>
      <c r="W41" s="164">
        <f t="shared" si="8"/>
        <v>-180.3713333333333</v>
      </c>
    </row>
    <row r="42" spans="1:26" ht="15" customHeight="1" x14ac:dyDescent="0.2">
      <c r="A42" s="251"/>
      <c r="B42" s="9" t="s">
        <v>210</v>
      </c>
      <c r="C42" s="24" t="s">
        <v>196</v>
      </c>
      <c r="D42" s="81">
        <v>1</v>
      </c>
      <c r="E42" s="25">
        <f>'upper basin'!$AB$6</f>
        <v>5</v>
      </c>
      <c r="F42" s="24">
        <f t="shared" si="6"/>
        <v>5</v>
      </c>
      <c r="G42" s="24">
        <f>'upper basin'!$D$35</f>
        <v>90</v>
      </c>
      <c r="H42" s="24">
        <f t="shared" si="4"/>
        <v>450</v>
      </c>
      <c r="I42" s="92">
        <v>0.185</v>
      </c>
      <c r="J42" s="86">
        <f t="shared" si="5"/>
        <v>1140970.665</v>
      </c>
      <c r="K42" s="102">
        <f>$N$26</f>
        <v>100</v>
      </c>
      <c r="U42" s="62">
        <v>4</v>
      </c>
      <c r="V42" s="165">
        <f t="shared" si="7"/>
        <v>8.6964749999999977</v>
      </c>
      <c r="W42" s="164">
        <f t="shared" si="8"/>
        <v>-173.92949999999996</v>
      </c>
    </row>
    <row r="43" spans="1:26" ht="15" customHeight="1" thickBot="1" x14ac:dyDescent="0.25">
      <c r="A43" s="252"/>
      <c r="B43" s="103" t="s">
        <v>211</v>
      </c>
      <c r="C43" s="104" t="s">
        <v>197</v>
      </c>
      <c r="D43" s="104">
        <v>0.35</v>
      </c>
      <c r="E43" s="104">
        <f>F41+F42</f>
        <v>20</v>
      </c>
      <c r="F43" s="104">
        <f t="shared" si="6"/>
        <v>7</v>
      </c>
      <c r="G43" s="104">
        <v>0</v>
      </c>
      <c r="H43" s="104">
        <f t="shared" si="4"/>
        <v>0</v>
      </c>
      <c r="I43" s="105"/>
      <c r="J43" s="106">
        <f t="shared" si="5"/>
        <v>0</v>
      </c>
      <c r="K43" s="107">
        <f>(K41*F41+K42*F42)/(F41+F42)</f>
        <v>64</v>
      </c>
      <c r="U43" s="62">
        <v>5</v>
      </c>
      <c r="V43" s="165">
        <f t="shared" si="7"/>
        <v>8.3743833333333306</v>
      </c>
      <c r="W43" s="164">
        <f t="shared" si="8"/>
        <v>-167.4876666666666</v>
      </c>
    </row>
    <row r="44" spans="1:26" ht="14.25" customHeight="1" x14ac:dyDescent="0.2">
      <c r="A44" s="253" t="s">
        <v>71</v>
      </c>
      <c r="B44" s="141" t="s">
        <v>163</v>
      </c>
      <c r="C44" s="142" t="s">
        <v>35</v>
      </c>
      <c r="D44" s="142">
        <v>1</v>
      </c>
      <c r="E44" s="143">
        <f>F46-F66-F45</f>
        <v>15.074999999999999</v>
      </c>
      <c r="F44" s="143">
        <f t="shared" si="3"/>
        <v>15.074999999999999</v>
      </c>
      <c r="G44" s="143">
        <f>'lower basin'!$D$40</f>
        <v>50</v>
      </c>
      <c r="H44" s="143">
        <f t="shared" si="4"/>
        <v>753.75</v>
      </c>
      <c r="I44" s="144"/>
      <c r="J44" s="145">
        <f t="shared" si="5"/>
        <v>0</v>
      </c>
      <c r="K44" s="168">
        <f>$N$23</f>
        <v>650</v>
      </c>
      <c r="U44" s="62">
        <v>6</v>
      </c>
      <c r="V44" s="165">
        <f t="shared" si="7"/>
        <v>8.0522916666666635</v>
      </c>
      <c r="W44" s="164">
        <f t="shared" si="8"/>
        <v>-161.04583333333326</v>
      </c>
    </row>
    <row r="45" spans="1:26" ht="15" customHeight="1" x14ac:dyDescent="0.2">
      <c r="A45" s="254"/>
      <c r="B45" s="146" t="s">
        <v>72</v>
      </c>
      <c r="C45" s="147" t="s">
        <v>36</v>
      </c>
      <c r="D45" s="147">
        <v>1</v>
      </c>
      <c r="E45" s="148">
        <f>'lower basin'!$P$9</f>
        <v>3.5</v>
      </c>
      <c r="F45" s="149">
        <f t="shared" si="3"/>
        <v>3.5</v>
      </c>
      <c r="G45" s="149">
        <f>'lower basin'!$D$37</f>
        <v>520</v>
      </c>
      <c r="H45" s="149">
        <f t="shared" si="4"/>
        <v>1820</v>
      </c>
      <c r="I45" s="150">
        <v>0.66100000000000003</v>
      </c>
      <c r="J45" s="151">
        <f t="shared" si="5"/>
        <v>2853660.1443000003</v>
      </c>
      <c r="K45" s="169">
        <f>$N$23</f>
        <v>650</v>
      </c>
      <c r="U45" s="62">
        <v>7</v>
      </c>
      <c r="V45" s="165">
        <f t="shared" si="7"/>
        <v>7.7301999999999973</v>
      </c>
      <c r="W45" s="164">
        <f t="shared" si="8"/>
        <v>-154.60399999999996</v>
      </c>
    </row>
    <row r="46" spans="1:26" ht="15" customHeight="1" x14ac:dyDescent="0.2">
      <c r="A46" s="254"/>
      <c r="B46" s="152" t="s">
        <v>73</v>
      </c>
      <c r="C46" s="153" t="s">
        <v>37</v>
      </c>
      <c r="D46" s="153">
        <v>0.9</v>
      </c>
      <c r="E46" s="154">
        <f>F67-F69</f>
        <v>21.75</v>
      </c>
      <c r="F46" s="154">
        <f t="shared" ref="F46:F58" si="9">D46*E46</f>
        <v>19.574999999999999</v>
      </c>
      <c r="G46" s="154">
        <v>0</v>
      </c>
      <c r="H46" s="154">
        <f t="shared" si="4"/>
        <v>0</v>
      </c>
      <c r="I46" s="155"/>
      <c r="J46" s="156">
        <f t="shared" si="5"/>
        <v>0</v>
      </c>
      <c r="K46" s="170">
        <f>K67+K67*$N$28</f>
        <v>238.62068965517244</v>
      </c>
      <c r="U46" s="62">
        <v>8</v>
      </c>
      <c r="V46" s="165">
        <f t="shared" si="7"/>
        <v>7.4081083333333311</v>
      </c>
      <c r="W46" s="164">
        <f t="shared" si="8"/>
        <v>-148.16216666666662</v>
      </c>
    </row>
    <row r="47" spans="1:26" ht="15" customHeight="1" x14ac:dyDescent="0.2">
      <c r="A47" s="254"/>
      <c r="B47" s="146" t="s">
        <v>164</v>
      </c>
      <c r="C47" s="147" t="s">
        <v>38</v>
      </c>
      <c r="D47" s="147">
        <v>1</v>
      </c>
      <c r="E47" s="149">
        <f>F49+F48</f>
        <v>17.5</v>
      </c>
      <c r="F47" s="149">
        <f t="shared" si="9"/>
        <v>17.5</v>
      </c>
      <c r="G47" s="149">
        <v>0</v>
      </c>
      <c r="H47" s="149">
        <f t="shared" si="4"/>
        <v>0</v>
      </c>
      <c r="I47" s="150"/>
      <c r="J47" s="151">
        <f t="shared" si="5"/>
        <v>0</v>
      </c>
      <c r="K47" s="169">
        <f>$K$2</f>
        <v>52</v>
      </c>
      <c r="U47" s="62">
        <v>9</v>
      </c>
      <c r="V47" s="165">
        <f t="shared" si="7"/>
        <v>7.0860166666666649</v>
      </c>
      <c r="W47" s="164">
        <f t="shared" si="8"/>
        <v>-141.72033333333329</v>
      </c>
    </row>
    <row r="48" spans="1:26" ht="15" customHeight="1" x14ac:dyDescent="0.2">
      <c r="A48" s="254"/>
      <c r="B48" s="146" t="s">
        <v>165</v>
      </c>
      <c r="C48" s="147" t="s">
        <v>39</v>
      </c>
      <c r="D48" s="147">
        <v>1</v>
      </c>
      <c r="E48" s="148">
        <f>'lower basin'!$P$7</f>
        <v>12.5</v>
      </c>
      <c r="F48" s="149">
        <f t="shared" si="9"/>
        <v>12.5</v>
      </c>
      <c r="G48" s="149">
        <f>'lower basin'!$D$34</f>
        <v>400</v>
      </c>
      <c r="H48" s="149">
        <f t="shared" si="4"/>
        <v>5000</v>
      </c>
      <c r="I48" s="150">
        <v>7.9000000000000001E-2</v>
      </c>
      <c r="J48" s="151">
        <f t="shared" si="5"/>
        <v>1218063.2775000001</v>
      </c>
      <c r="K48" s="169">
        <f>$N$24</f>
        <v>400</v>
      </c>
      <c r="U48" s="62">
        <v>10</v>
      </c>
      <c r="V48" s="165">
        <f t="shared" si="7"/>
        <v>6.7639249999999986</v>
      </c>
      <c r="W48" s="164">
        <f t="shared" si="8"/>
        <v>-135.27849999999998</v>
      </c>
    </row>
    <row r="49" spans="1:23" ht="15" customHeight="1" x14ac:dyDescent="0.2">
      <c r="A49" s="254"/>
      <c r="B49" s="146" t="s">
        <v>166</v>
      </c>
      <c r="C49" s="147" t="s">
        <v>40</v>
      </c>
      <c r="D49" s="147">
        <v>1</v>
      </c>
      <c r="E49" s="148">
        <f>'lower basin'!$L$7</f>
        <v>5</v>
      </c>
      <c r="F49" s="149">
        <f t="shared" si="9"/>
        <v>5</v>
      </c>
      <c r="G49" s="149">
        <f>'lower basin'!$D$34</f>
        <v>400</v>
      </c>
      <c r="H49" s="149">
        <f t="shared" si="4"/>
        <v>2000</v>
      </c>
      <c r="I49" s="150">
        <v>7.9000000000000001E-2</v>
      </c>
      <c r="J49" s="151">
        <f t="shared" si="5"/>
        <v>487225.31100000005</v>
      </c>
      <c r="K49" s="169">
        <f>$N$24</f>
        <v>400</v>
      </c>
      <c r="U49" s="62">
        <v>11</v>
      </c>
      <c r="V49" s="165">
        <f t="shared" si="7"/>
        <v>6.4418333333333324</v>
      </c>
      <c r="W49" s="164">
        <f t="shared" si="8"/>
        <v>-128.83666666666664</v>
      </c>
    </row>
    <row r="50" spans="1:23" ht="15" customHeight="1" x14ac:dyDescent="0.2">
      <c r="A50" s="254"/>
      <c r="B50" s="146" t="s">
        <v>167</v>
      </c>
      <c r="C50" s="147" t="s">
        <v>41</v>
      </c>
      <c r="D50" s="147">
        <v>1</v>
      </c>
      <c r="E50" s="148">
        <f>'lower basin'!$L$6</f>
        <v>5.5</v>
      </c>
      <c r="F50" s="149">
        <f t="shared" si="9"/>
        <v>5.5</v>
      </c>
      <c r="G50" s="149">
        <f>'lower basin'!$D$35</f>
        <v>90</v>
      </c>
      <c r="H50" s="149">
        <f t="shared" si="4"/>
        <v>495</v>
      </c>
      <c r="I50" s="150">
        <v>0.185</v>
      </c>
      <c r="J50" s="151">
        <f t="shared" si="5"/>
        <v>1255067.7315</v>
      </c>
      <c r="K50" s="169">
        <f>$N$26</f>
        <v>100</v>
      </c>
      <c r="U50" s="62">
        <v>12</v>
      </c>
      <c r="V50" s="165">
        <f t="shared" si="7"/>
        <v>6.1197416666666662</v>
      </c>
      <c r="W50" s="164">
        <f t="shared" si="8"/>
        <v>-122.39483333333332</v>
      </c>
    </row>
    <row r="51" spans="1:23" ht="15" customHeight="1" x14ac:dyDescent="0.2">
      <c r="A51" s="254"/>
      <c r="B51" s="146" t="s">
        <v>168</v>
      </c>
      <c r="C51" s="147" t="s">
        <v>42</v>
      </c>
      <c r="D51" s="147">
        <v>1</v>
      </c>
      <c r="E51" s="148">
        <f>'lower basin'!$L$8</f>
        <v>1</v>
      </c>
      <c r="F51" s="149">
        <f t="shared" si="9"/>
        <v>1</v>
      </c>
      <c r="G51" s="149">
        <f>'lower basin'!$D$36</f>
        <v>1500</v>
      </c>
      <c r="H51" s="149">
        <f t="shared" si="4"/>
        <v>1500</v>
      </c>
      <c r="I51" s="150">
        <v>0.66100000000000003</v>
      </c>
      <c r="J51" s="151">
        <f t="shared" si="5"/>
        <v>815331.46980000008</v>
      </c>
      <c r="K51" s="169">
        <f>$N$23</f>
        <v>650</v>
      </c>
      <c r="U51" s="62">
        <v>13</v>
      </c>
      <c r="V51" s="165">
        <f t="shared" si="7"/>
        <v>5.79765</v>
      </c>
      <c r="W51" s="164">
        <f t="shared" si="8"/>
        <v>-115.953</v>
      </c>
    </row>
    <row r="52" spans="1:23" ht="15" customHeight="1" x14ac:dyDescent="0.2">
      <c r="A52" s="254"/>
      <c r="B52" s="146" t="s">
        <v>169</v>
      </c>
      <c r="C52" s="147" t="s">
        <v>43</v>
      </c>
      <c r="D52" s="147">
        <v>1</v>
      </c>
      <c r="E52" s="148">
        <f>0.5*(F49+F51+F50+F82)</f>
        <v>6.75</v>
      </c>
      <c r="F52" s="149">
        <f t="shared" si="9"/>
        <v>6.75</v>
      </c>
      <c r="G52" s="149">
        <v>0</v>
      </c>
      <c r="H52" s="149">
        <f t="shared" si="4"/>
        <v>0</v>
      </c>
      <c r="I52" s="150"/>
      <c r="J52" s="151">
        <f t="shared" si="5"/>
        <v>0</v>
      </c>
      <c r="K52" s="169">
        <f>(K49*F49+K50*F50+K51*F51)/(F49+F50+F51)</f>
        <v>278.26086956521738</v>
      </c>
      <c r="U52" s="62">
        <v>14</v>
      </c>
      <c r="V52" s="165">
        <f t="shared" si="7"/>
        <v>5.4755583333333337</v>
      </c>
      <c r="W52" s="164">
        <f t="shared" si="8"/>
        <v>-109.51116666666667</v>
      </c>
    </row>
    <row r="53" spans="1:23" ht="15" customHeight="1" x14ac:dyDescent="0.2">
      <c r="A53" s="254"/>
      <c r="B53" s="146" t="s">
        <v>170</v>
      </c>
      <c r="C53" s="147" t="s">
        <v>44</v>
      </c>
      <c r="D53" s="147">
        <v>1</v>
      </c>
      <c r="E53" s="148">
        <f>0.5*(F49+F51+F50+F82)</f>
        <v>6.75</v>
      </c>
      <c r="F53" s="149">
        <f t="shared" si="9"/>
        <v>6.75</v>
      </c>
      <c r="G53" s="149">
        <v>0</v>
      </c>
      <c r="H53" s="149">
        <f t="shared" si="4"/>
        <v>0</v>
      </c>
      <c r="I53" s="150"/>
      <c r="J53" s="151">
        <f t="shared" si="5"/>
        <v>0</v>
      </c>
      <c r="K53" s="169">
        <f>(K49*E49+K50*E50+K51*E51)/(E49+E50+E51)</f>
        <v>278.26086956521738</v>
      </c>
      <c r="U53" s="62">
        <v>15</v>
      </c>
      <c r="V53" s="165">
        <f t="shared" si="7"/>
        <v>5.1534666666666675</v>
      </c>
      <c r="W53" s="164">
        <f t="shared" si="8"/>
        <v>-103.06933333333335</v>
      </c>
    </row>
    <row r="54" spans="1:23" ht="15" customHeight="1" x14ac:dyDescent="0.2">
      <c r="A54" s="254"/>
      <c r="B54" s="146" t="s">
        <v>82</v>
      </c>
      <c r="C54" s="147" t="s">
        <v>45</v>
      </c>
      <c r="D54" s="147">
        <v>1</v>
      </c>
      <c r="E54" s="148">
        <f>'lower basin'!$L$9</f>
        <v>1</v>
      </c>
      <c r="F54" s="149">
        <f t="shared" si="9"/>
        <v>1</v>
      </c>
      <c r="G54" s="149">
        <f>'lower basin'!$D$37</f>
        <v>520</v>
      </c>
      <c r="H54" s="149">
        <f t="shared" si="4"/>
        <v>520</v>
      </c>
      <c r="I54" s="150">
        <v>0.66100000000000003</v>
      </c>
      <c r="J54" s="151">
        <f t="shared" si="5"/>
        <v>815331.46980000008</v>
      </c>
      <c r="K54" s="169">
        <f>$N$23</f>
        <v>650</v>
      </c>
      <c r="U54" s="62">
        <v>16</v>
      </c>
      <c r="V54" s="165">
        <f t="shared" si="7"/>
        <v>4.8313750000000013</v>
      </c>
      <c r="W54" s="164">
        <f t="shared" si="8"/>
        <v>-96.627500000000026</v>
      </c>
    </row>
    <row r="55" spans="1:23" ht="15" customHeight="1" x14ac:dyDescent="0.2">
      <c r="A55" s="254"/>
      <c r="B55" s="146" t="s">
        <v>83</v>
      </c>
      <c r="C55" s="147" t="s">
        <v>46</v>
      </c>
      <c r="D55" s="147">
        <v>0.9</v>
      </c>
      <c r="E55" s="149">
        <f>F52-F56</f>
        <v>6.25</v>
      </c>
      <c r="F55" s="149">
        <f t="shared" si="9"/>
        <v>5.625</v>
      </c>
      <c r="G55" s="149">
        <v>0</v>
      </c>
      <c r="H55" s="149">
        <f t="shared" si="4"/>
        <v>0</v>
      </c>
      <c r="I55" s="150"/>
      <c r="J55" s="151">
        <f t="shared" si="5"/>
        <v>0</v>
      </c>
      <c r="K55" s="169">
        <f>K52+K52*$N$28</f>
        <v>333.91304347826087</v>
      </c>
      <c r="U55" s="62">
        <v>17</v>
      </c>
      <c r="V55" s="165">
        <f t="shared" si="7"/>
        <v>4.5092833333333351</v>
      </c>
      <c r="W55" s="164">
        <f t="shared" si="8"/>
        <v>-90.185666666666705</v>
      </c>
    </row>
    <row r="56" spans="1:23" ht="15" customHeight="1" x14ac:dyDescent="0.2">
      <c r="A56" s="254"/>
      <c r="B56" s="146" t="s">
        <v>84</v>
      </c>
      <c r="C56" s="147" t="s">
        <v>47</v>
      </c>
      <c r="D56" s="147">
        <v>1</v>
      </c>
      <c r="E56" s="148">
        <f>'lower basin'!$L$10</f>
        <v>0.5</v>
      </c>
      <c r="F56" s="149">
        <f t="shared" si="9"/>
        <v>0.5</v>
      </c>
      <c r="G56" s="149">
        <f>'lower basin'!$D$38</f>
        <v>2000</v>
      </c>
      <c r="H56" s="149">
        <f t="shared" si="4"/>
        <v>1000</v>
      </c>
      <c r="I56" s="150">
        <v>1.2</v>
      </c>
      <c r="J56" s="151">
        <f t="shared" si="5"/>
        <v>740089.08</v>
      </c>
      <c r="K56" s="169">
        <f>K52+K52*$N$28</f>
        <v>333.91304347826087</v>
      </c>
      <c r="U56" s="62">
        <v>18</v>
      </c>
      <c r="V56" s="165">
        <f t="shared" si="7"/>
        <v>4.1871916666666689</v>
      </c>
      <c r="W56" s="164">
        <f t="shared" si="8"/>
        <v>-83.743833333333384</v>
      </c>
    </row>
    <row r="57" spans="1:23" ht="15" customHeight="1" x14ac:dyDescent="0.2">
      <c r="A57" s="254"/>
      <c r="B57" s="146" t="s">
        <v>171</v>
      </c>
      <c r="C57" s="147" t="s">
        <v>48</v>
      </c>
      <c r="D57" s="147">
        <v>1</v>
      </c>
      <c r="E57" s="149">
        <f>F55-F51-F54-F72</f>
        <v>3.625</v>
      </c>
      <c r="F57" s="149">
        <f t="shared" si="9"/>
        <v>3.625</v>
      </c>
      <c r="G57" s="149">
        <f>'lower basin'!$D$40</f>
        <v>50</v>
      </c>
      <c r="H57" s="149">
        <f t="shared" si="4"/>
        <v>181.25</v>
      </c>
      <c r="I57" s="150"/>
      <c r="J57" s="151">
        <f t="shared" si="5"/>
        <v>0</v>
      </c>
      <c r="K57" s="169">
        <f>$N$23</f>
        <v>650</v>
      </c>
      <c r="U57" s="62">
        <v>19</v>
      </c>
      <c r="V57" s="165">
        <f t="shared" si="7"/>
        <v>3.8651000000000022</v>
      </c>
      <c r="W57" s="164">
        <f t="shared" si="8"/>
        <v>-77.302000000000049</v>
      </c>
    </row>
    <row r="58" spans="1:23" ht="15" customHeight="1" x14ac:dyDescent="0.2">
      <c r="A58" s="254"/>
      <c r="B58" s="146" t="s">
        <v>172</v>
      </c>
      <c r="C58" s="147" t="s">
        <v>49</v>
      </c>
      <c r="D58" s="147">
        <v>1</v>
      </c>
      <c r="E58" s="148">
        <f>'lower basin'!$X$7</f>
        <v>0</v>
      </c>
      <c r="F58" s="149">
        <f t="shared" si="9"/>
        <v>0</v>
      </c>
      <c r="G58" s="149">
        <v>0</v>
      </c>
      <c r="H58" s="149">
        <f t="shared" si="4"/>
        <v>0</v>
      </c>
      <c r="I58" s="150">
        <v>7.9000000000000001E-2</v>
      </c>
      <c r="J58" s="151">
        <f t="shared" si="5"/>
        <v>0</v>
      </c>
      <c r="K58" s="169">
        <f>$K$2</f>
        <v>52</v>
      </c>
      <c r="U58" s="62">
        <v>20</v>
      </c>
      <c r="V58" s="165">
        <f t="shared" si="7"/>
        <v>3.5430083333333355</v>
      </c>
      <c r="W58" s="164">
        <f t="shared" si="8"/>
        <v>-70.860166666666714</v>
      </c>
    </row>
    <row r="59" spans="1:23" ht="15" customHeight="1" x14ac:dyDescent="0.2">
      <c r="A59" s="254"/>
      <c r="B59" s="146" t="s">
        <v>86</v>
      </c>
      <c r="C59" s="147" t="s">
        <v>50</v>
      </c>
      <c r="D59" s="147">
        <v>1</v>
      </c>
      <c r="E59" s="148">
        <f>'lower basin'!$X$6</f>
        <v>0</v>
      </c>
      <c r="F59" s="149">
        <f t="shared" ref="F59:F72" si="10">D59*E59</f>
        <v>0</v>
      </c>
      <c r="G59" s="149">
        <f>'lower basin'!$D$35</f>
        <v>90</v>
      </c>
      <c r="H59" s="149">
        <f t="shared" si="4"/>
        <v>0</v>
      </c>
      <c r="I59" s="150"/>
      <c r="J59" s="151">
        <f t="shared" si="5"/>
        <v>0</v>
      </c>
      <c r="K59" s="169">
        <f>$N$26</f>
        <v>100</v>
      </c>
      <c r="U59" s="62">
        <v>21</v>
      </c>
      <c r="V59" s="165">
        <f t="shared" si="7"/>
        <v>3.2209166666666689</v>
      </c>
      <c r="W59" s="164">
        <f t="shared" si="8"/>
        <v>-64.418333333333379</v>
      </c>
    </row>
    <row r="60" spans="1:23" ht="15" customHeight="1" x14ac:dyDescent="0.2">
      <c r="A60" s="254"/>
      <c r="B60" s="146" t="s">
        <v>173</v>
      </c>
      <c r="C60" s="147" t="s">
        <v>51</v>
      </c>
      <c r="D60" s="147">
        <v>0.35</v>
      </c>
      <c r="E60" s="149">
        <f>0.5*(F58+F59+F72)</f>
        <v>0</v>
      </c>
      <c r="F60" s="149">
        <f t="shared" si="10"/>
        <v>0</v>
      </c>
      <c r="G60" s="149">
        <v>0</v>
      </c>
      <c r="H60" s="149">
        <f t="shared" si="4"/>
        <v>0</v>
      </c>
      <c r="I60" s="150"/>
      <c r="J60" s="151">
        <f t="shared" si="5"/>
        <v>0</v>
      </c>
      <c r="K60" s="169">
        <f>IF(F58+F59=0,0,(K58*F58+K59*F59)/(F58+F59)+(K58*F58+K59*F59)/(F58+F59)*$N$29)</f>
        <v>0</v>
      </c>
      <c r="U60" s="62">
        <v>22</v>
      </c>
      <c r="V60" s="165">
        <f t="shared" si="7"/>
        <v>2.8988250000000022</v>
      </c>
      <c r="W60" s="164">
        <f t="shared" si="8"/>
        <v>-57.976500000000044</v>
      </c>
    </row>
    <row r="61" spans="1:23" ht="15" customHeight="1" x14ac:dyDescent="0.2">
      <c r="A61" s="254"/>
      <c r="B61" s="146" t="s">
        <v>88</v>
      </c>
      <c r="C61" s="147" t="s">
        <v>52</v>
      </c>
      <c r="D61" s="147">
        <v>0.35</v>
      </c>
      <c r="E61" s="149">
        <f>0.5*(F58+F59+F72)</f>
        <v>0</v>
      </c>
      <c r="F61" s="149">
        <f t="shared" si="10"/>
        <v>0</v>
      </c>
      <c r="G61" s="149">
        <v>0</v>
      </c>
      <c r="H61" s="149">
        <f t="shared" si="4"/>
        <v>0</v>
      </c>
      <c r="I61" s="150"/>
      <c r="J61" s="151">
        <f t="shared" si="5"/>
        <v>0</v>
      </c>
      <c r="K61" s="169">
        <f>IF(F58+F59=0,0,(K58*F58+K59*F59)/(F58+F59)+(K58*F58+K59*F59)/(F58+F59)*$N$29)</f>
        <v>0</v>
      </c>
      <c r="U61" s="62">
        <v>23</v>
      </c>
      <c r="V61" s="165">
        <f t="shared" si="7"/>
        <v>2.5767333333333355</v>
      </c>
      <c r="W61" s="164">
        <f t="shared" si="8"/>
        <v>-51.534666666666709</v>
      </c>
    </row>
    <row r="62" spans="1:23" ht="15" customHeight="1" x14ac:dyDescent="0.2">
      <c r="A62" s="254"/>
      <c r="B62" s="146" t="s">
        <v>174</v>
      </c>
      <c r="C62" s="147" t="s">
        <v>53</v>
      </c>
      <c r="D62" s="147">
        <v>1</v>
      </c>
      <c r="E62" s="148">
        <f>'lower basin'!$T$7</f>
        <v>0</v>
      </c>
      <c r="F62" s="149">
        <f t="shared" si="10"/>
        <v>0</v>
      </c>
      <c r="G62" s="149">
        <v>0</v>
      </c>
      <c r="H62" s="149">
        <f t="shared" si="4"/>
        <v>0</v>
      </c>
      <c r="I62" s="150">
        <v>7.9000000000000001E-2</v>
      </c>
      <c r="J62" s="151">
        <f t="shared" si="5"/>
        <v>0</v>
      </c>
      <c r="K62" s="169">
        <f>$K$2</f>
        <v>52</v>
      </c>
      <c r="U62" s="62">
        <v>24</v>
      </c>
      <c r="V62" s="165">
        <f t="shared" si="7"/>
        <v>2.2546416666666689</v>
      </c>
      <c r="W62" s="164">
        <f t="shared" si="8"/>
        <v>-45.092833333333374</v>
      </c>
    </row>
    <row r="63" spans="1:23" ht="15" customHeight="1" x14ac:dyDescent="0.2">
      <c r="A63" s="254"/>
      <c r="B63" s="146" t="s">
        <v>90</v>
      </c>
      <c r="C63" s="147" t="s">
        <v>54</v>
      </c>
      <c r="D63" s="147">
        <v>1</v>
      </c>
      <c r="E63" s="148">
        <f>'lower basin'!$T$6</f>
        <v>0</v>
      </c>
      <c r="F63" s="149">
        <f t="shared" si="10"/>
        <v>0</v>
      </c>
      <c r="G63" s="149">
        <f>'lower basin'!$D$35</f>
        <v>90</v>
      </c>
      <c r="H63" s="149">
        <f t="shared" si="4"/>
        <v>0</v>
      </c>
      <c r="I63" s="150">
        <v>0.185</v>
      </c>
      <c r="J63" s="151">
        <f t="shared" si="5"/>
        <v>0</v>
      </c>
      <c r="K63" s="169">
        <f>$N$26</f>
        <v>100</v>
      </c>
      <c r="U63" s="62">
        <v>25</v>
      </c>
      <c r="V63" s="165">
        <f t="shared" si="7"/>
        <v>1.9325500000000022</v>
      </c>
      <c r="W63" s="164">
        <f t="shared" si="8"/>
        <v>-38.651000000000046</v>
      </c>
    </row>
    <row r="64" spans="1:23" ht="15" customHeight="1" x14ac:dyDescent="0.2">
      <c r="A64" s="254"/>
      <c r="B64" s="146" t="s">
        <v>175</v>
      </c>
      <c r="C64" s="147" t="s">
        <v>55</v>
      </c>
      <c r="D64" s="147">
        <v>1</v>
      </c>
      <c r="E64" s="149">
        <f>F62+F63</f>
        <v>0</v>
      </c>
      <c r="F64" s="149">
        <f t="shared" si="10"/>
        <v>0</v>
      </c>
      <c r="G64" s="149">
        <v>0</v>
      </c>
      <c r="H64" s="149">
        <f t="shared" si="4"/>
        <v>0</v>
      </c>
      <c r="I64" s="150"/>
      <c r="J64" s="151">
        <f t="shared" si="5"/>
        <v>0</v>
      </c>
      <c r="K64" s="169">
        <f>IF(F76+F77=0,0,(K77*F77+K76*F76)/(F76+F77))</f>
        <v>0</v>
      </c>
      <c r="U64" s="62">
        <v>26</v>
      </c>
      <c r="V64" s="165">
        <f t="shared" si="7"/>
        <v>1.6104583333333355</v>
      </c>
      <c r="W64" s="164">
        <f t="shared" si="8"/>
        <v>-32.209166666666711</v>
      </c>
    </row>
    <row r="65" spans="1:23" ht="15" customHeight="1" x14ac:dyDescent="0.2">
      <c r="A65" s="254"/>
      <c r="B65" s="146" t="s">
        <v>176</v>
      </c>
      <c r="C65" s="147" t="s">
        <v>56</v>
      </c>
      <c r="D65" s="147">
        <v>1</v>
      </c>
      <c r="E65" s="148">
        <f>'lower basin'!$P$6</f>
        <v>30</v>
      </c>
      <c r="F65" s="149">
        <f t="shared" si="10"/>
        <v>30</v>
      </c>
      <c r="G65" s="149">
        <f>'lower basin'!$D$35</f>
        <v>90</v>
      </c>
      <c r="H65" s="149">
        <f t="shared" si="4"/>
        <v>2700</v>
      </c>
      <c r="I65" s="150">
        <v>0.185</v>
      </c>
      <c r="J65" s="151">
        <f t="shared" si="5"/>
        <v>6845823.9900000002</v>
      </c>
      <c r="K65" s="169">
        <f>$N$26</f>
        <v>100</v>
      </c>
      <c r="U65" s="62">
        <v>27</v>
      </c>
      <c r="V65" s="165">
        <f t="shared" si="7"/>
        <v>1.2883666666666689</v>
      </c>
      <c r="W65" s="164">
        <f t="shared" si="8"/>
        <v>-25.767333333333376</v>
      </c>
    </row>
    <row r="66" spans="1:23" ht="15" customHeight="1" x14ac:dyDescent="0.2">
      <c r="A66" s="254"/>
      <c r="B66" s="146" t="s">
        <v>177</v>
      </c>
      <c r="C66" s="147" t="s">
        <v>57</v>
      </c>
      <c r="D66" s="147">
        <v>1</v>
      </c>
      <c r="E66" s="148">
        <f>'lower basin'!$P$8</f>
        <v>1</v>
      </c>
      <c r="F66" s="149">
        <f t="shared" si="10"/>
        <v>1</v>
      </c>
      <c r="G66" s="149">
        <f>'lower basin'!$D$36</f>
        <v>1500</v>
      </c>
      <c r="H66" s="149">
        <f t="shared" ref="H66:H72" si="11">F66*G66</f>
        <v>1500</v>
      </c>
      <c r="I66" s="150">
        <v>0.66100000000000003</v>
      </c>
      <c r="J66" s="151">
        <f t="shared" ref="J66:J71" si="12">F66*I66*1233.4818*1000</f>
        <v>815331.46980000008</v>
      </c>
      <c r="K66" s="169">
        <f>$N$23</f>
        <v>650</v>
      </c>
      <c r="U66" s="62">
        <v>28</v>
      </c>
      <c r="V66" s="165">
        <f t="shared" si="7"/>
        <v>0.96627500000000222</v>
      </c>
      <c r="W66" s="164">
        <f t="shared" si="8"/>
        <v>-19.325500000000044</v>
      </c>
    </row>
    <row r="67" spans="1:23" ht="15" customHeight="1" x14ac:dyDescent="0.2">
      <c r="A67" s="254"/>
      <c r="B67" s="146" t="s">
        <v>178</v>
      </c>
      <c r="C67" s="147" t="s">
        <v>58</v>
      </c>
      <c r="D67" s="147">
        <v>1</v>
      </c>
      <c r="E67" s="148">
        <f>0.5*(F48+F65+F66+F83)</f>
        <v>22.75</v>
      </c>
      <c r="F67" s="149">
        <f t="shared" si="10"/>
        <v>22.75</v>
      </c>
      <c r="G67" s="149">
        <v>0</v>
      </c>
      <c r="H67" s="149">
        <f t="shared" si="11"/>
        <v>0</v>
      </c>
      <c r="I67" s="150"/>
      <c r="J67" s="151">
        <f t="shared" si="12"/>
        <v>0</v>
      </c>
      <c r="K67" s="169">
        <f>(K66*F66+K65*F65+K48*F48)/(F48+F65+F66)</f>
        <v>198.85057471264369</v>
      </c>
      <c r="U67" s="62">
        <v>29</v>
      </c>
      <c r="V67" s="165">
        <f t="shared" si="7"/>
        <v>0.64418333333333555</v>
      </c>
      <c r="W67" s="164">
        <f t="shared" si="8"/>
        <v>-12.883666666666711</v>
      </c>
    </row>
    <row r="68" spans="1:23" ht="15" customHeight="1" x14ac:dyDescent="0.2">
      <c r="A68" s="254"/>
      <c r="B68" s="146" t="s">
        <v>179</v>
      </c>
      <c r="C68" s="147" t="s">
        <v>59</v>
      </c>
      <c r="D68" s="147">
        <v>1</v>
      </c>
      <c r="E68" s="148">
        <f>0.5*(F48+F65+F66+F83)</f>
        <v>22.75</v>
      </c>
      <c r="F68" s="149">
        <f t="shared" si="10"/>
        <v>22.75</v>
      </c>
      <c r="G68" s="149">
        <v>0</v>
      </c>
      <c r="H68" s="149">
        <f t="shared" si="11"/>
        <v>0</v>
      </c>
      <c r="I68" s="150"/>
      <c r="J68" s="151">
        <f t="shared" si="12"/>
        <v>0</v>
      </c>
      <c r="K68" s="169">
        <f>(K66*F66+K65*F65+K48*F48)/(F48+F65+F66)</f>
        <v>198.85057471264369</v>
      </c>
      <c r="U68" s="62">
        <v>30</v>
      </c>
      <c r="V68" s="165">
        <v>0</v>
      </c>
      <c r="W68" s="164">
        <f t="shared" si="8"/>
        <v>0</v>
      </c>
    </row>
    <row r="69" spans="1:23" ht="15" customHeight="1" x14ac:dyDescent="0.2">
      <c r="A69" s="254"/>
      <c r="B69" s="146" t="s">
        <v>96</v>
      </c>
      <c r="C69" s="147" t="s">
        <v>60</v>
      </c>
      <c r="D69" s="147">
        <v>1</v>
      </c>
      <c r="E69" s="148">
        <f>'lower basin'!$P$10</f>
        <v>1</v>
      </c>
      <c r="F69" s="149">
        <f t="shared" si="10"/>
        <v>1</v>
      </c>
      <c r="G69" s="149">
        <f>'lower basin'!$D$38</f>
        <v>2000</v>
      </c>
      <c r="H69" s="149">
        <f t="shared" si="11"/>
        <v>2000</v>
      </c>
      <c r="I69" s="150">
        <v>1.2</v>
      </c>
      <c r="J69" s="151">
        <f t="shared" si="12"/>
        <v>1480178.16</v>
      </c>
      <c r="K69" s="169">
        <f>K67+K67*$N$28</f>
        <v>238.62068965517244</v>
      </c>
    </row>
    <row r="70" spans="1:23" ht="15" customHeight="1" x14ac:dyDescent="0.2">
      <c r="A70" s="254"/>
      <c r="B70" s="146" t="s">
        <v>97</v>
      </c>
      <c r="C70" s="147" t="s">
        <v>61</v>
      </c>
      <c r="D70" s="147">
        <v>0.1</v>
      </c>
      <c r="E70" s="149">
        <f>F53+F56+F54</f>
        <v>8.25</v>
      </c>
      <c r="F70" s="149">
        <f>D70*E70</f>
        <v>0.82500000000000007</v>
      </c>
      <c r="G70" s="149">
        <v>0</v>
      </c>
      <c r="H70" s="149">
        <f t="shared" si="11"/>
        <v>0</v>
      </c>
      <c r="I70" s="150"/>
      <c r="J70" s="151">
        <f t="shared" si="12"/>
        <v>0</v>
      </c>
      <c r="K70" s="169">
        <f>(K53*F53+K54*F54+K56*F56)/(F53+F54+F56)</f>
        <v>326.69301712779969</v>
      </c>
    </row>
    <row r="71" spans="1:23" ht="15" customHeight="1" x14ac:dyDescent="0.2">
      <c r="A71" s="254"/>
      <c r="B71" s="146" t="s">
        <v>119</v>
      </c>
      <c r="C71" s="147" t="s">
        <v>62</v>
      </c>
      <c r="D71" s="147">
        <v>0.1</v>
      </c>
      <c r="E71" s="149">
        <f>F68+F69+F45</f>
        <v>27.25</v>
      </c>
      <c r="F71" s="149">
        <f t="shared" si="10"/>
        <v>2.7250000000000001</v>
      </c>
      <c r="G71" s="149">
        <v>0</v>
      </c>
      <c r="H71" s="149">
        <f t="shared" si="11"/>
        <v>0</v>
      </c>
      <c r="I71" s="150"/>
      <c r="J71" s="151">
        <f t="shared" si="12"/>
        <v>0</v>
      </c>
      <c r="K71" s="169">
        <f>(K45*F45+K68*F68+K69*F69)/(F45+F68+F69)</f>
        <v>258.25582621533272</v>
      </c>
    </row>
    <row r="72" spans="1:23" ht="15" customHeight="1" x14ac:dyDescent="0.2">
      <c r="A72" s="254"/>
      <c r="B72" s="146" t="s">
        <v>187</v>
      </c>
      <c r="C72" s="147" t="s">
        <v>147</v>
      </c>
      <c r="D72" s="147">
        <v>1</v>
      </c>
      <c r="E72" s="157">
        <f>'lower basin'!$X$8</f>
        <v>0</v>
      </c>
      <c r="F72" s="149">
        <f t="shared" si="10"/>
        <v>0</v>
      </c>
      <c r="G72" s="149">
        <f>'lower basin'!$D$37</f>
        <v>520</v>
      </c>
      <c r="H72" s="149">
        <f t="shared" si="11"/>
        <v>0</v>
      </c>
      <c r="I72" s="150">
        <v>0.66100000000000003</v>
      </c>
      <c r="J72" s="151">
        <f t="shared" ref="J72:J83" si="13">F72*I72*1233.4818*1000</f>
        <v>0</v>
      </c>
      <c r="K72" s="171">
        <f>$N$23</f>
        <v>650</v>
      </c>
    </row>
    <row r="73" spans="1:23" ht="15" customHeight="1" x14ac:dyDescent="0.2">
      <c r="A73" s="254"/>
      <c r="B73" s="146" t="s">
        <v>204</v>
      </c>
      <c r="C73" s="147" t="s">
        <v>120</v>
      </c>
      <c r="D73" s="147">
        <v>1</v>
      </c>
      <c r="E73" s="149">
        <f>0.5*(F62+F63)</f>
        <v>0</v>
      </c>
      <c r="F73" s="159">
        <f t="shared" ref="F73:F83" si="14">D73*E73</f>
        <v>0</v>
      </c>
      <c r="G73" s="149">
        <v>0</v>
      </c>
      <c r="H73" s="149">
        <f t="shared" ref="H73:H83" si="15">F73*G73</f>
        <v>0</v>
      </c>
      <c r="I73" s="150"/>
      <c r="J73" s="151">
        <f t="shared" si="13"/>
        <v>0</v>
      </c>
      <c r="K73" s="169">
        <f>IF(F62+F63=0,0,(K62*F62+K63*F63)/(F62+F63))</f>
        <v>0</v>
      </c>
    </row>
    <row r="74" spans="1:23" ht="15" customHeight="1" x14ac:dyDescent="0.2">
      <c r="A74" s="254"/>
      <c r="B74" s="146" t="s">
        <v>205</v>
      </c>
      <c r="C74" s="147" t="s">
        <v>181</v>
      </c>
      <c r="D74" s="147">
        <v>1</v>
      </c>
      <c r="E74" s="149">
        <f>0.5*(F62+F63)</f>
        <v>0</v>
      </c>
      <c r="F74" s="159">
        <f t="shared" si="14"/>
        <v>0</v>
      </c>
      <c r="G74" s="149">
        <v>0</v>
      </c>
      <c r="H74" s="149">
        <f t="shared" si="15"/>
        <v>0</v>
      </c>
      <c r="I74" s="150"/>
      <c r="J74" s="151">
        <f t="shared" si="13"/>
        <v>0</v>
      </c>
      <c r="K74" s="169">
        <f>IF(F62+F63=0,0,(K62*F62+K63*F63)/(F62+F63))</f>
        <v>0</v>
      </c>
    </row>
    <row r="75" spans="1:23" ht="15" customHeight="1" x14ac:dyDescent="0.2">
      <c r="A75" s="254"/>
      <c r="B75" s="146" t="s">
        <v>206</v>
      </c>
      <c r="C75" s="147" t="s">
        <v>182</v>
      </c>
      <c r="D75" s="147">
        <v>1</v>
      </c>
      <c r="E75" s="158">
        <f>'lower basin'!$T$8</f>
        <v>0</v>
      </c>
      <c r="F75" s="159">
        <f t="shared" si="14"/>
        <v>0</v>
      </c>
      <c r="G75" s="149">
        <f>'lower basin'!$D$38</f>
        <v>2000</v>
      </c>
      <c r="H75" s="149">
        <f t="shared" si="15"/>
        <v>0</v>
      </c>
      <c r="I75" s="150">
        <v>1.2</v>
      </c>
      <c r="J75" s="151">
        <f t="shared" si="13"/>
        <v>0</v>
      </c>
      <c r="K75" s="169">
        <f>K74+K74*$N$30</f>
        <v>0</v>
      </c>
    </row>
    <row r="76" spans="1:23" ht="15" customHeight="1" x14ac:dyDescent="0.2">
      <c r="A76" s="254"/>
      <c r="B76" s="146" t="s">
        <v>207</v>
      </c>
      <c r="C76" s="147" t="s">
        <v>189</v>
      </c>
      <c r="D76" s="147">
        <v>0.1</v>
      </c>
      <c r="E76" s="149">
        <f>F73+F75</f>
        <v>0</v>
      </c>
      <c r="F76" s="159">
        <f t="shared" si="14"/>
        <v>0</v>
      </c>
      <c r="G76" s="149">
        <v>0</v>
      </c>
      <c r="H76" s="149">
        <f t="shared" si="15"/>
        <v>0</v>
      </c>
      <c r="I76" s="150"/>
      <c r="J76" s="151">
        <f t="shared" si="13"/>
        <v>0</v>
      </c>
      <c r="K76" s="169">
        <f>IF(F73+F75=0,0,(K75*F75+K73*F73)/(F73+F75))</f>
        <v>0</v>
      </c>
    </row>
    <row r="77" spans="1:23" ht="15" customHeight="1" x14ac:dyDescent="0.2">
      <c r="A77" s="254"/>
      <c r="B77" s="146" t="s">
        <v>208</v>
      </c>
      <c r="C77" s="147" t="s">
        <v>198</v>
      </c>
      <c r="D77" s="147">
        <v>0.9</v>
      </c>
      <c r="E77" s="149">
        <f>F74-F75</f>
        <v>0</v>
      </c>
      <c r="F77" s="159">
        <f t="shared" si="14"/>
        <v>0</v>
      </c>
      <c r="G77" s="149">
        <v>0</v>
      </c>
      <c r="H77" s="149">
        <f t="shared" si="15"/>
        <v>0</v>
      </c>
      <c r="I77" s="150"/>
      <c r="J77" s="151">
        <f t="shared" si="13"/>
        <v>0</v>
      </c>
      <c r="K77" s="169">
        <f>K74+K74*$N$30</f>
        <v>0</v>
      </c>
    </row>
    <row r="78" spans="1:23" ht="15" customHeight="1" x14ac:dyDescent="0.2">
      <c r="A78" s="254"/>
      <c r="B78" s="146" t="s">
        <v>222</v>
      </c>
      <c r="C78" s="147" t="s">
        <v>199</v>
      </c>
      <c r="D78" s="147">
        <v>1</v>
      </c>
      <c r="E78" s="158">
        <f>'lower basin'!$AB$7</f>
        <v>0</v>
      </c>
      <c r="F78" s="159">
        <f t="shared" si="14"/>
        <v>0</v>
      </c>
      <c r="G78" s="149">
        <v>0</v>
      </c>
      <c r="H78" s="149">
        <f t="shared" si="15"/>
        <v>0</v>
      </c>
      <c r="I78" s="150"/>
      <c r="J78" s="151">
        <f t="shared" si="13"/>
        <v>0</v>
      </c>
      <c r="K78" s="169">
        <f>$K$2</f>
        <v>52</v>
      </c>
    </row>
    <row r="79" spans="1:23" ht="15" customHeight="1" x14ac:dyDescent="0.2">
      <c r="A79" s="254"/>
      <c r="B79" s="146" t="s">
        <v>210</v>
      </c>
      <c r="C79" s="147" t="s">
        <v>200</v>
      </c>
      <c r="D79" s="147">
        <v>1</v>
      </c>
      <c r="E79" s="158">
        <f>'lower basin'!$AB$6</f>
        <v>0</v>
      </c>
      <c r="F79" s="159">
        <f t="shared" si="14"/>
        <v>0</v>
      </c>
      <c r="G79" s="149">
        <f>'lower basin'!$D$35</f>
        <v>90</v>
      </c>
      <c r="H79" s="149">
        <f t="shared" si="15"/>
        <v>0</v>
      </c>
      <c r="I79" s="150">
        <v>0.185</v>
      </c>
      <c r="J79" s="151">
        <f t="shared" si="13"/>
        <v>0</v>
      </c>
      <c r="K79" s="169">
        <f>$N$26</f>
        <v>100</v>
      </c>
    </row>
    <row r="80" spans="1:23" ht="15" customHeight="1" x14ac:dyDescent="0.2">
      <c r="A80" s="254"/>
      <c r="B80" s="9" t="s">
        <v>211</v>
      </c>
      <c r="C80" s="5" t="s">
        <v>201</v>
      </c>
      <c r="D80" s="5">
        <v>0.35</v>
      </c>
      <c r="E80" s="24">
        <f>F78+F79</f>
        <v>0</v>
      </c>
      <c r="F80" s="24">
        <f t="shared" si="14"/>
        <v>0</v>
      </c>
      <c r="G80" s="24">
        <v>0</v>
      </c>
      <c r="H80" s="24">
        <f t="shared" si="15"/>
        <v>0</v>
      </c>
      <c r="I80" s="172"/>
      <c r="J80" s="86">
        <f t="shared" si="13"/>
        <v>0</v>
      </c>
      <c r="K80" s="102">
        <f>IF(F78+F79=0,0,(K78*F78+K79*F79)/(F78+F79))</f>
        <v>0</v>
      </c>
    </row>
    <row r="81" spans="1:11" ht="15" customHeight="1" x14ac:dyDescent="0.2">
      <c r="A81" s="254"/>
      <c r="B81" s="9" t="s">
        <v>98</v>
      </c>
      <c r="C81" s="5" t="s">
        <v>202</v>
      </c>
      <c r="D81" s="5">
        <v>1</v>
      </c>
      <c r="E81" s="24">
        <f>F82+F83</f>
        <v>4</v>
      </c>
      <c r="F81" s="24">
        <f>D81*E81</f>
        <v>4</v>
      </c>
      <c r="G81" s="24"/>
      <c r="H81" s="24">
        <f>F81*G81</f>
        <v>0</v>
      </c>
      <c r="I81" s="172"/>
      <c r="J81" s="86">
        <f>F81*I81*1233.4818*1000</f>
        <v>0</v>
      </c>
      <c r="K81" s="102">
        <v>35000</v>
      </c>
    </row>
    <row r="82" spans="1:11" ht="15" customHeight="1" x14ac:dyDescent="0.2">
      <c r="A82" s="254"/>
      <c r="B82" s="173" t="s">
        <v>180</v>
      </c>
      <c r="C82" s="5" t="s">
        <v>203</v>
      </c>
      <c r="D82" s="174">
        <v>1</v>
      </c>
      <c r="E82" s="175">
        <f>'lower basin'!L11</f>
        <v>2</v>
      </c>
      <c r="F82" s="176">
        <f>D82*E82</f>
        <v>2</v>
      </c>
      <c r="G82" s="176">
        <f>'lower basin'!$D$39</f>
        <v>1800</v>
      </c>
      <c r="H82" s="24">
        <f>F82*G82</f>
        <v>3600</v>
      </c>
      <c r="I82" s="177">
        <v>2</v>
      </c>
      <c r="J82" s="86">
        <f>F82*I82*1233.4818*1000</f>
        <v>4933927.2</v>
      </c>
      <c r="K82" s="178">
        <f>$N$25</f>
        <v>700</v>
      </c>
    </row>
    <row r="83" spans="1:11" ht="15" customHeight="1" thickBot="1" x14ac:dyDescent="0.25">
      <c r="A83" s="255"/>
      <c r="B83" s="179" t="s">
        <v>227</v>
      </c>
      <c r="C83" s="5" t="s">
        <v>228</v>
      </c>
      <c r="D83" s="180">
        <v>1</v>
      </c>
      <c r="E83" s="181">
        <f>'lower basin'!P11</f>
        <v>2</v>
      </c>
      <c r="F83" s="182">
        <f t="shared" si="14"/>
        <v>2</v>
      </c>
      <c r="G83" s="182">
        <f>'lower basin'!$D$39</f>
        <v>1800</v>
      </c>
      <c r="H83" s="182">
        <f t="shared" si="15"/>
        <v>3600</v>
      </c>
      <c r="I83" s="183">
        <v>2</v>
      </c>
      <c r="J83" s="184">
        <f t="shared" si="13"/>
        <v>4933927.2</v>
      </c>
      <c r="K83" s="185">
        <f>$N$25</f>
        <v>700</v>
      </c>
    </row>
    <row r="84" spans="1:11" hidden="1" x14ac:dyDescent="0.2">
      <c r="A84" s="17"/>
      <c r="B84" s="186" t="s">
        <v>183</v>
      </c>
      <c r="C84" s="186"/>
      <c r="D84" s="186">
        <v>1</v>
      </c>
      <c r="E84" s="187">
        <f>E61+E70+E71-E50-E59-E63-E65</f>
        <v>0</v>
      </c>
      <c r="F84" s="187">
        <f>D84*E84</f>
        <v>0</v>
      </c>
      <c r="G84" s="186"/>
      <c r="H84" s="186"/>
      <c r="I84" s="186"/>
      <c r="J84" s="186"/>
      <c r="K84" s="186"/>
    </row>
    <row r="85" spans="1:11" hidden="1" x14ac:dyDescent="0.2">
      <c r="A85" s="96"/>
      <c r="B85" s="188" t="s">
        <v>264</v>
      </c>
      <c r="C85" s="188"/>
      <c r="D85" s="188">
        <v>1</v>
      </c>
      <c r="E85" s="189">
        <v>-30</v>
      </c>
      <c r="F85" s="187">
        <f t="shared" ref="F85:F87" si="16">D85*E85</f>
        <v>-30</v>
      </c>
      <c r="G85" s="186"/>
      <c r="H85" s="186"/>
      <c r="I85" s="186"/>
      <c r="J85" s="186"/>
      <c r="K85" s="186"/>
    </row>
    <row r="86" spans="1:11" ht="12.95" hidden="1" customHeight="1" x14ac:dyDescent="0.2">
      <c r="A86" s="2"/>
      <c r="B86" s="190" t="s">
        <v>186</v>
      </c>
      <c r="C86" s="191"/>
      <c r="D86" s="191">
        <v>1</v>
      </c>
      <c r="E86" s="192">
        <f>E84+E85</f>
        <v>-30</v>
      </c>
      <c r="F86" s="187">
        <f t="shared" si="16"/>
        <v>-30</v>
      </c>
      <c r="G86" s="191"/>
      <c r="H86" s="191"/>
      <c r="I86" s="191"/>
      <c r="J86" s="191"/>
      <c r="K86" s="186"/>
    </row>
    <row r="87" spans="1:11" hidden="1" x14ac:dyDescent="0.2">
      <c r="A87" s="2"/>
      <c r="B87" s="191" t="s">
        <v>265</v>
      </c>
      <c r="C87" s="191"/>
      <c r="D87" s="191">
        <v>1</v>
      </c>
      <c r="E87" s="191">
        <f>E86*40</f>
        <v>-1200</v>
      </c>
      <c r="F87" s="187">
        <f t="shared" si="16"/>
        <v>-1200</v>
      </c>
      <c r="G87" s="191"/>
      <c r="H87" s="191"/>
      <c r="I87" s="191"/>
      <c r="J87" s="191"/>
      <c r="K87" s="186"/>
    </row>
    <row r="88" spans="1:11" hidden="1" x14ac:dyDescent="0.2">
      <c r="A88" s="2"/>
    </row>
    <row r="89" spans="1:11" hidden="1" x14ac:dyDescent="0.2">
      <c r="A89" s="2"/>
      <c r="B89" s="2" t="s">
        <v>184</v>
      </c>
    </row>
    <row r="90" spans="1:11" hidden="1" x14ac:dyDescent="0.2">
      <c r="A90" s="2"/>
      <c r="B90" s="2" t="s">
        <v>185</v>
      </c>
    </row>
    <row r="91" spans="1:11" hidden="1" x14ac:dyDescent="0.2">
      <c r="A91" s="2"/>
    </row>
    <row r="92" spans="1:11" hidden="1" x14ac:dyDescent="0.2">
      <c r="A92" s="2"/>
    </row>
    <row r="93" spans="1:11" ht="17.100000000000001" hidden="1" customHeight="1" x14ac:dyDescent="0.2">
      <c r="A93" s="243" t="s">
        <v>99</v>
      </c>
      <c r="B93" s="206">
        <v>1</v>
      </c>
      <c r="C93" s="207" t="s">
        <v>100</v>
      </c>
      <c r="D93" s="1"/>
      <c r="E93" s="1"/>
    </row>
    <row r="94" spans="1:11" hidden="1" x14ac:dyDescent="0.2">
      <c r="A94" s="244"/>
      <c r="B94" s="206">
        <v>2</v>
      </c>
      <c r="C94" s="207" t="s">
        <v>101</v>
      </c>
      <c r="D94" s="1"/>
      <c r="E94" s="1"/>
    </row>
    <row r="95" spans="1:11" hidden="1" x14ac:dyDescent="0.2">
      <c r="A95" s="244"/>
      <c r="B95" s="206">
        <v>3</v>
      </c>
      <c r="C95" s="207" t="s">
        <v>102</v>
      </c>
    </row>
    <row r="96" spans="1:11" hidden="1" x14ac:dyDescent="0.2">
      <c r="A96" s="244"/>
      <c r="B96" s="206">
        <v>4</v>
      </c>
      <c r="C96" s="207" t="s">
        <v>103</v>
      </c>
    </row>
    <row r="97" spans="1:4" hidden="1" x14ac:dyDescent="0.2">
      <c r="A97" s="244"/>
      <c r="B97" s="206" t="s">
        <v>104</v>
      </c>
      <c r="C97" s="207" t="s">
        <v>105</v>
      </c>
    </row>
    <row r="98" spans="1:4" hidden="1" x14ac:dyDescent="0.2">
      <c r="A98" s="244"/>
      <c r="B98" s="206" t="s">
        <v>106</v>
      </c>
      <c r="C98" s="207" t="s">
        <v>115</v>
      </c>
    </row>
    <row r="99" spans="1:4" hidden="1" x14ac:dyDescent="0.2">
      <c r="A99" s="244"/>
      <c r="B99" s="206" t="s">
        <v>107</v>
      </c>
      <c r="C99" s="207" t="s">
        <v>116</v>
      </c>
    </row>
    <row r="100" spans="1:4" hidden="1" x14ac:dyDescent="0.2">
      <c r="A100" s="244"/>
      <c r="B100" s="206" t="s">
        <v>108</v>
      </c>
      <c r="C100" s="207" t="s">
        <v>117</v>
      </c>
    </row>
    <row r="101" spans="1:4" hidden="1" x14ac:dyDescent="0.2">
      <c r="A101" s="244"/>
      <c r="B101" s="206" t="s">
        <v>110</v>
      </c>
      <c r="C101" s="207" t="s">
        <v>118</v>
      </c>
    </row>
    <row r="102" spans="1:4" hidden="1" x14ac:dyDescent="0.2">
      <c r="A102" s="244"/>
      <c r="B102" s="206" t="s">
        <v>111</v>
      </c>
      <c r="C102" s="207" t="s">
        <v>121</v>
      </c>
    </row>
    <row r="103" spans="1:4" hidden="1" x14ac:dyDescent="0.2">
      <c r="A103" s="244"/>
      <c r="B103" s="206" t="s">
        <v>109</v>
      </c>
      <c r="C103" s="207" t="s">
        <v>122</v>
      </c>
    </row>
    <row r="104" spans="1:4" hidden="1" x14ac:dyDescent="0.2">
      <c r="A104" s="244"/>
      <c r="B104" s="206" t="s">
        <v>112</v>
      </c>
      <c r="C104" s="207" t="s">
        <v>123</v>
      </c>
    </row>
    <row r="105" spans="1:4" hidden="1" x14ac:dyDescent="0.2">
      <c r="A105" s="244"/>
      <c r="B105" s="206" t="s">
        <v>113</v>
      </c>
      <c r="C105" s="207" t="s">
        <v>124</v>
      </c>
    </row>
    <row r="106" spans="1:4" hidden="1" x14ac:dyDescent="0.2">
      <c r="A106" s="244"/>
      <c r="B106" s="208"/>
      <c r="C106" s="209"/>
      <c r="D106" s="64"/>
    </row>
    <row r="107" spans="1:4" hidden="1" x14ac:dyDescent="0.2"/>
  </sheetData>
  <mergeCells count="7">
    <mergeCell ref="AC2:AP2"/>
    <mergeCell ref="A93:A106"/>
    <mergeCell ref="A2:A6"/>
    <mergeCell ref="M22:N22"/>
    <mergeCell ref="A7:A43"/>
    <mergeCell ref="M2:Z2"/>
    <mergeCell ref="A44:A83"/>
  </mergeCells>
  <pageMargins left="0.7" right="0.7" top="0.75" bottom="0.75" header="0.3" footer="0.3"/>
  <pageSetup orientation="portrait" horizontalDpi="4294967293" verticalDpi="4294967293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G14:H19"/>
  <sheetViews>
    <sheetView showGridLines="0" topLeftCell="G1" workbookViewId="0">
      <selection activeCell="Q32" sqref="Q32"/>
    </sheetView>
  </sheetViews>
  <sheetFormatPr defaultColWidth="8.85546875" defaultRowHeight="15" x14ac:dyDescent="0.25"/>
  <sheetData>
    <row r="14" spans="8:8" x14ac:dyDescent="0.25">
      <c r="H14" s="3"/>
    </row>
    <row r="19" spans="7:7" x14ac:dyDescent="0.25">
      <c r="G19" s="3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ELBONIA</vt:lpstr>
      <vt:lpstr>watershed</vt:lpstr>
      <vt:lpstr>users&amp;sources</vt:lpstr>
      <vt:lpstr>upper basin</vt:lpstr>
      <vt:lpstr>lower basin</vt:lpstr>
      <vt:lpstr>schematic</vt:lpstr>
      <vt:lpstr>data</vt:lpstr>
      <vt:lpstr>schematic_old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2016-09-08T17:22:41Z</dcterms:modified>
</cp:coreProperties>
</file>