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inear Regression by Hand" sheetId="1" r:id="rId1"/>
    <sheet name="Linear Regression in Excel" sheetId="2" r:id="rId2"/>
  </sheets>
  <calcPr calcId="152511"/>
</workbook>
</file>

<file path=xl/calcChain.xml><?xml version="1.0" encoding="utf-8"?>
<calcChain xmlns="http://schemas.openxmlformats.org/spreadsheetml/2006/main">
  <c r="Q6" i="1" l="1"/>
  <c r="Q5" i="1"/>
  <c r="E3" i="1"/>
  <c r="F3" i="1" s="1"/>
  <c r="I3" i="1" s="1"/>
  <c r="E4" i="1"/>
  <c r="F4" i="1" s="1"/>
  <c r="I4" i="1" s="1"/>
  <c r="E5" i="1"/>
  <c r="F5" i="1" s="1"/>
  <c r="I5" i="1" s="1"/>
  <c r="E6" i="1"/>
  <c r="F6" i="1" s="1"/>
  <c r="I6" i="1" s="1"/>
  <c r="E7" i="1"/>
  <c r="F7" i="1" s="1"/>
  <c r="I7" i="1" s="1"/>
  <c r="E8" i="1"/>
  <c r="F8" i="1" s="1"/>
  <c r="I8" i="1" s="1"/>
  <c r="E9" i="1"/>
  <c r="F9" i="1" s="1"/>
  <c r="I9" i="1" s="1"/>
  <c r="E10" i="1"/>
  <c r="F10" i="1" s="1"/>
  <c r="I10" i="1" s="1"/>
  <c r="E11" i="1"/>
  <c r="F11" i="1" s="1"/>
  <c r="I11" i="1" s="1"/>
  <c r="E12" i="1"/>
  <c r="F12" i="1" s="1"/>
  <c r="I12" i="1" s="1"/>
  <c r="E13" i="1"/>
  <c r="F13" i="1" s="1"/>
  <c r="I13" i="1" s="1"/>
  <c r="E14" i="1"/>
  <c r="F14" i="1" s="1"/>
  <c r="I14" i="1" s="1"/>
  <c r="E15" i="1"/>
  <c r="F15" i="1" s="1"/>
  <c r="I15" i="1" s="1"/>
  <c r="E16" i="1"/>
  <c r="F16" i="1" s="1"/>
  <c r="I16" i="1" s="1"/>
  <c r="E17" i="1"/>
  <c r="F17" i="1" s="1"/>
  <c r="I17" i="1" s="1"/>
  <c r="E18" i="1"/>
  <c r="F18" i="1" s="1"/>
  <c r="I18" i="1" s="1"/>
  <c r="E19" i="1"/>
  <c r="F19" i="1" s="1"/>
  <c r="I19" i="1" s="1"/>
  <c r="E20" i="1"/>
  <c r="F20" i="1" s="1"/>
  <c r="I20" i="1" s="1"/>
  <c r="E21" i="1"/>
  <c r="F21" i="1" s="1"/>
  <c r="I21" i="1" s="1"/>
  <c r="E22" i="1"/>
  <c r="F22" i="1" s="1"/>
  <c r="I22" i="1" s="1"/>
  <c r="E23" i="1"/>
  <c r="F23" i="1" s="1"/>
  <c r="I23" i="1" s="1"/>
  <c r="E24" i="1"/>
  <c r="F24" i="1" s="1"/>
  <c r="I24" i="1" s="1"/>
  <c r="E25" i="1"/>
  <c r="F25" i="1" s="1"/>
  <c r="I25" i="1" s="1"/>
  <c r="E26" i="1"/>
  <c r="F26" i="1" s="1"/>
  <c r="I26" i="1" s="1"/>
  <c r="E2" i="1"/>
  <c r="F2" i="1" s="1"/>
  <c r="D3" i="1"/>
  <c r="G3" i="1" s="1"/>
  <c r="D4" i="1"/>
  <c r="G4" i="1" s="1"/>
  <c r="D5" i="1"/>
  <c r="G5" i="1" s="1"/>
  <c r="J5" i="1" s="1"/>
  <c r="D6" i="1"/>
  <c r="G6" i="1" s="1"/>
  <c r="J6" i="1" s="1"/>
  <c r="D7" i="1"/>
  <c r="G7" i="1" s="1"/>
  <c r="D8" i="1"/>
  <c r="G8" i="1" s="1"/>
  <c r="D9" i="1"/>
  <c r="G9" i="1" s="1"/>
  <c r="D10" i="1"/>
  <c r="G10" i="1" s="1"/>
  <c r="J10" i="1" s="1"/>
  <c r="D11" i="1"/>
  <c r="G11" i="1" s="1"/>
  <c r="D12" i="1"/>
  <c r="G12" i="1" s="1"/>
  <c r="D13" i="1"/>
  <c r="G13" i="1" s="1"/>
  <c r="J13" i="1" s="1"/>
  <c r="D14" i="1"/>
  <c r="G14" i="1" s="1"/>
  <c r="J14" i="1" s="1"/>
  <c r="D15" i="1"/>
  <c r="G15" i="1" s="1"/>
  <c r="D16" i="1"/>
  <c r="G16" i="1" s="1"/>
  <c r="D17" i="1"/>
  <c r="G17" i="1" s="1"/>
  <c r="J17" i="1" s="1"/>
  <c r="D18" i="1"/>
  <c r="G18" i="1" s="1"/>
  <c r="J18" i="1" s="1"/>
  <c r="D19" i="1"/>
  <c r="G19" i="1" s="1"/>
  <c r="D20" i="1"/>
  <c r="G20" i="1" s="1"/>
  <c r="D21" i="1"/>
  <c r="G21" i="1" s="1"/>
  <c r="D22" i="1"/>
  <c r="G22" i="1" s="1"/>
  <c r="J22" i="1" s="1"/>
  <c r="D23" i="1"/>
  <c r="G23" i="1" s="1"/>
  <c r="D24" i="1"/>
  <c r="G24" i="1" s="1"/>
  <c r="D25" i="1"/>
  <c r="G25" i="1" s="1"/>
  <c r="J25" i="1" s="1"/>
  <c r="D26" i="1"/>
  <c r="G26" i="1" s="1"/>
  <c r="J26" i="1" s="1"/>
  <c r="D2" i="1"/>
  <c r="G2" i="1" s="1"/>
  <c r="J2" i="1" s="1"/>
  <c r="C27" i="1"/>
  <c r="B27" i="1"/>
  <c r="H2" i="1" l="1"/>
  <c r="F28" i="1"/>
  <c r="I2" i="1"/>
  <c r="I28" i="1" s="1"/>
  <c r="G28" i="1"/>
  <c r="H21" i="1"/>
  <c r="H9" i="1"/>
  <c r="H24" i="1"/>
  <c r="H20" i="1"/>
  <c r="H16" i="1"/>
  <c r="H12" i="1"/>
  <c r="H8" i="1"/>
  <c r="H4" i="1"/>
  <c r="J21" i="1"/>
  <c r="J9" i="1"/>
  <c r="H17" i="1"/>
  <c r="H5" i="1"/>
  <c r="H23" i="1"/>
  <c r="H19" i="1"/>
  <c r="H15" i="1"/>
  <c r="H11" i="1"/>
  <c r="H7" i="1"/>
  <c r="H3" i="1"/>
  <c r="J24" i="1"/>
  <c r="J20" i="1"/>
  <c r="J16" i="1"/>
  <c r="J12" i="1"/>
  <c r="J8" i="1"/>
  <c r="J4" i="1"/>
  <c r="H25" i="1"/>
  <c r="H13" i="1"/>
  <c r="H26" i="1"/>
  <c r="H22" i="1"/>
  <c r="H18" i="1"/>
  <c r="H14" i="1"/>
  <c r="H10" i="1"/>
  <c r="H6" i="1"/>
  <c r="J23" i="1"/>
  <c r="J19" i="1"/>
  <c r="J15" i="1"/>
  <c r="J11" i="1"/>
  <c r="J7" i="1"/>
  <c r="J3" i="1"/>
  <c r="J28" i="1" l="1"/>
  <c r="Q29" i="1" s="1"/>
  <c r="H28" i="1"/>
  <c r="Q8" i="1" l="1"/>
  <c r="Q9" i="1" s="1"/>
  <c r="Q19" i="1"/>
  <c r="Q20" i="1" s="1"/>
  <c r="Q24" i="1" s="1"/>
  <c r="K5" i="1" l="1"/>
  <c r="K9" i="1"/>
  <c r="K13" i="1"/>
  <c r="K17" i="1"/>
  <c r="K21" i="1"/>
  <c r="K25" i="1"/>
  <c r="K7" i="1"/>
  <c r="K15" i="1"/>
  <c r="K23" i="1"/>
  <c r="K4" i="1"/>
  <c r="K12" i="1"/>
  <c r="K24" i="1"/>
  <c r="K6" i="1"/>
  <c r="K10" i="1"/>
  <c r="K14" i="1"/>
  <c r="K18" i="1"/>
  <c r="K22" i="1"/>
  <c r="K26" i="1"/>
  <c r="K3" i="1"/>
  <c r="K11" i="1"/>
  <c r="K19" i="1"/>
  <c r="K2" i="1"/>
  <c r="K8" i="1"/>
  <c r="K20" i="1"/>
  <c r="K16" i="1"/>
  <c r="L20" i="1" l="1"/>
  <c r="M20" i="1"/>
  <c r="M18" i="1"/>
  <c r="L18" i="1"/>
  <c r="M24" i="1"/>
  <c r="L24" i="1"/>
  <c r="M15" i="1"/>
  <c r="L15" i="1"/>
  <c r="L17" i="1"/>
  <c r="M17" i="1"/>
  <c r="L8" i="1"/>
  <c r="M8" i="1"/>
  <c r="M3" i="1"/>
  <c r="L3" i="1"/>
  <c r="L14" i="1"/>
  <c r="M14" i="1"/>
  <c r="M12" i="1"/>
  <c r="L12" i="1"/>
  <c r="M7" i="1"/>
  <c r="L7" i="1"/>
  <c r="L13" i="1"/>
  <c r="M13" i="1"/>
  <c r="M11" i="1"/>
  <c r="L11" i="1"/>
  <c r="M2" i="1"/>
  <c r="L2" i="1"/>
  <c r="L10" i="1"/>
  <c r="M10" i="1"/>
  <c r="L25" i="1"/>
  <c r="M25" i="1"/>
  <c r="L9" i="1"/>
  <c r="M9" i="1"/>
  <c r="L26" i="1"/>
  <c r="M26" i="1"/>
  <c r="L4" i="1"/>
  <c r="M4" i="1"/>
  <c r="M16" i="1"/>
  <c r="L16" i="1"/>
  <c r="M19" i="1"/>
  <c r="L19" i="1"/>
  <c r="L22" i="1"/>
  <c r="M22" i="1"/>
  <c r="L6" i="1"/>
  <c r="M6" i="1"/>
  <c r="M23" i="1"/>
  <c r="L23" i="1"/>
  <c r="L21" i="1"/>
  <c r="M21" i="1"/>
  <c r="L5" i="1"/>
  <c r="M5" i="1"/>
  <c r="M28" i="1" l="1"/>
  <c r="Q11" i="1" s="1"/>
  <c r="L28" i="1"/>
  <c r="Q27" i="1" s="1"/>
  <c r="Q31" i="1" s="1"/>
  <c r="Q14" i="1" l="1"/>
  <c r="Q13" i="1"/>
  <c r="Q15" i="1" s="1"/>
  <c r="Q21" i="1"/>
  <c r="Q28" i="1"/>
  <c r="Q32" i="1" s="1"/>
  <c r="Q33" i="1" s="1"/>
  <c r="Q17" i="1" l="1"/>
  <c r="Q34" i="1"/>
  <c r="Q12" i="1"/>
  <c r="Q25" i="1"/>
  <c r="Q23" i="1"/>
  <c r="Q22" i="1"/>
  <c r="Q30" i="1"/>
</calcChain>
</file>

<file path=xl/sharedStrings.xml><?xml version="1.0" encoding="utf-8"?>
<sst xmlns="http://schemas.openxmlformats.org/spreadsheetml/2006/main" count="113" uniqueCount="110">
  <si>
    <t>Y</t>
  </si>
  <si>
    <t>X8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</si>
  <si>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</si>
  <si>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</si>
  <si>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</si>
  <si>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</si>
  <si>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</si>
  <si>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</si>
  <si>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</si>
  <si>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</si>
  <si>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</si>
  <si>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</si>
  <si>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</si>
  <si>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</si>
  <si>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</si>
  <si>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</si>
  <si>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</si>
  <si>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</si>
  <si>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</si>
  <si>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</si>
  <si>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</si>
  <si>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</si>
  <si>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</si>
  <si>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</si>
  <si>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</si>
  <si>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</si>
  <si>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</si>
  <si>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</si>
  <si>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</si>
  <si>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</si>
  <si>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</si>
  <si>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</si>
  <si>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</si>
  <si>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X</t>
  </si>
  <si>
    <t>Seq#</t>
  </si>
  <si>
    <t>Mean</t>
  </si>
  <si>
    <t>Sum</t>
  </si>
  <si>
    <t>(X-mean(X))^2</t>
  </si>
  <si>
    <t>X-mean(X)</t>
  </si>
  <si>
    <t>mean(Y)</t>
  </si>
  <si>
    <t>mean(X)</t>
  </si>
  <si>
    <t>Y-mean(Y)</t>
  </si>
  <si>
    <t>(Y-mean(Y))^2</t>
  </si>
  <si>
    <t>mean(Y) - (Slop* mean(X))</t>
  </si>
  <si>
    <t>(Yhat - mean(Y))^2</t>
  </si>
  <si>
    <t>(Y-Yhat)^2</t>
  </si>
  <si>
    <t>SST - Total Sum of Squares</t>
  </si>
  <si>
    <t>Sum((Yhat - mean(Y))^2)</t>
  </si>
  <si>
    <t>Sum((Y-Yhat)^2)</t>
  </si>
  <si>
    <t>Sum((X-mean(X))*(Y-mean(Y)))/Sum((X-mean(X))^2)</t>
  </si>
  <si>
    <t>Formula</t>
  </si>
  <si>
    <t>Value</t>
  </si>
  <si>
    <t>R-squared (Coefficient of Determination)</t>
  </si>
  <si>
    <t>OR --   SSR / SST</t>
  </si>
  <si>
    <t>OR --  (SST - SSE) / SST</t>
  </si>
  <si>
    <t>OR --   1 - (SSE / SST)</t>
  </si>
  <si>
    <t>Sum((Y-mean(Y))^2)</t>
  </si>
  <si>
    <t>OR --  SSR + SSE</t>
  </si>
  <si>
    <t>Total Observations</t>
  </si>
  <si>
    <t>n</t>
  </si>
  <si>
    <t>p</t>
  </si>
  <si>
    <t>Slope (b1)</t>
  </si>
  <si>
    <t>Intercept (b0)</t>
  </si>
  <si>
    <t>Standard Error For Intercept - SE(b0)</t>
  </si>
  <si>
    <t>Standard Error For Slop - SE(b1)</t>
  </si>
  <si>
    <t>S* SQRT(1/n + mean(X)^2/Sum(X-man(X)^2)</t>
  </si>
  <si>
    <t>t value for Intercept - t(b0)</t>
  </si>
  <si>
    <t>t value for for Slop - t(b1)</t>
  </si>
  <si>
    <t>Intercept (b0)/ SE(b0)</t>
  </si>
  <si>
    <t>Slope (b1)/SE(b1)</t>
  </si>
  <si>
    <t>Adjusted R-Squared</t>
  </si>
  <si>
    <t>1-((n-1)/(n-p-1))*(1-Rsquared)</t>
  </si>
  <si>
    <t>OR -- 1-((n-1)/(n-p-1))*(SSE/SST)</t>
  </si>
  <si>
    <t>Model F-statistic</t>
  </si>
  <si>
    <t>SQRT(Sum((Y-Yhat)^2)/(n-k))</t>
  </si>
  <si>
    <t>OR -- SQRT(SSE/n-k)</t>
  </si>
  <si>
    <t>Degree Of Freedum for Regression(DFR)</t>
  </si>
  <si>
    <t>Mean Square for Regression(MSR)</t>
  </si>
  <si>
    <t>Degree Of Freedum for Error/Residual (DFE)</t>
  </si>
  <si>
    <t>SSE - Sum of Squared Error/Residual</t>
  </si>
  <si>
    <t>Mean Square for Error/Residual (MSE)</t>
  </si>
  <si>
    <t>SSR/DFR</t>
  </si>
  <si>
    <t>SSE/DFE</t>
  </si>
  <si>
    <t>MSR/MSE</t>
  </si>
  <si>
    <t>Residual/Model Standard Error (S)</t>
  </si>
  <si>
    <t>Yhat = 
Intercept + Slope*X</t>
  </si>
  <si>
    <t>(X-mean(X))
*(Y-mean(Y))</t>
  </si>
  <si>
    <t>Linear “OLS” Regression Hand Calculations</t>
  </si>
  <si>
    <t>Correlation (Correlation Coefficient) R</t>
  </si>
  <si>
    <t>Critical value of F(0.05, 1,23)</t>
  </si>
  <si>
    <t>http://socr.ucla.edu/Applets.dir/F_Table.html#FTable0.05</t>
  </si>
  <si>
    <t>Sum((X-mean(X))*(Y-mean(Y)))/
SQRT(Sum((X-mean(X))^2)*Sum((Y-mean(Y))^2))</t>
  </si>
  <si>
    <t>(Sum((X-mean(X))*(Y-mean(Y)))/
SQRT(Sum((X-mean(X))^2)*Sum((Y-mean(Y))^2)))^2</t>
  </si>
  <si>
    <t>Analysis Of Variance (ANOVA)</t>
  </si>
  <si>
    <t>SSR - Sum of Squares for the Regression/Model</t>
  </si>
  <si>
    <t>Root MSE</t>
  </si>
  <si>
    <t>SQRT(MSE)</t>
  </si>
  <si>
    <t>n-k or n-p-1</t>
  </si>
  <si>
    <t>k-1 or p</t>
  </si>
  <si>
    <t>k or p+1</t>
  </si>
  <si>
    <t xml:space="preserve"># of predictors terms in Model </t>
  </si>
  <si>
    <t xml:space="preserve"># of parameters in Model </t>
  </si>
  <si>
    <t>LM Model from R</t>
  </si>
  <si>
    <t>Parameter Estimates/Model Summary</t>
  </si>
  <si>
    <t>S/ SQRT(Sum(X-man(X)^2))</t>
  </si>
  <si>
    <t>https://www.danielsoper.com/statcalc/calculator.aspx?id=7</t>
  </si>
  <si>
    <t>P Value for Intercept - (t(b0),24)</t>
  </si>
  <si>
    <t>https://www.danielsoper.com/statcalc/calculator.aspx?id=8</t>
  </si>
  <si>
    <t>P Value for Slop -(t(b1),24)</t>
  </si>
  <si>
    <t>P-Value for F-Statisitc (F-calculated, 1,23)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</si>
</sst>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i/>
      <sz val="11"/>
      <color theme="1"/>
      <name val="Calibri"/>
      <family val="2"/>
      <scheme val="minor"/>
    </font>
    <font>
      <b/>
      <sz val="10"/>
      <color rgb="FF000000"/>
      <name val="Courier New"/>
      <family val="3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wrapText="1"/>
    </xf>
    <xf numFmtId="0" fontId="0" fillId="0" borderId="3" xfId="0" applyFont="1" applyBorder="1"/>
    <xf numFmtId="0" fontId="4" fillId="0" borderId="0" xfId="0" applyFont="1" applyAlignment="1">
      <alignment vertical="center"/>
    </xf>
    <xf numFmtId="0" fontId="1" fillId="2" borderId="3" xfId="0" applyFont="1" applyFill="1" applyBorder="1" applyAlignment="1">
      <alignment wrapText="1"/>
    </xf>
    <xf numFmtId="0" fontId="1" fillId="2" borderId="3" xfId="0" applyFont="1" applyFill="1" applyBorder="1"/>
    <xf numFmtId="0" fontId="2" fillId="2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1" fillId="0" borderId="3" xfId="0" applyFont="1" applyFill="1" applyBorder="1"/>
    <xf numFmtId="0" fontId="5" fillId="0" borderId="3" xfId="1" applyBorder="1"/>
    <xf numFmtId="0" fontId="1" fillId="4" borderId="3" xfId="0" applyFont="1" applyFill="1" applyBorder="1"/>
    <xf numFmtId="0" fontId="1" fillId="5" borderId="0" xfId="0" applyFont="1" applyFill="1"/>
    <xf numFmtId="0" fontId="1" fillId="0" borderId="4" xfId="0" applyFont="1" applyFill="1" applyBorder="1"/>
    <xf numFmtId="0" fontId="5" fillId="0" borderId="0" xfId="1" applyFill="1" applyBorder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X8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'Linear Regression by Hand'!$B$2:$B$26</c:f>
              <c:numCache>
                <c:formatCode>General</c:formatCode>
                <c:ptCount val="25"/>
                <c:pt idx="0">
                  <c:v>10.98</c:v>
                </c:pt>
                <c:pt idx="1">
                  <c:v>11.13</c:v>
                </c:pt>
                <c:pt idx="2">
                  <c:v>12.51</c:v>
                </c:pt>
                <c:pt idx="3">
                  <c:v>8.4</c:v>
                </c:pt>
                <c:pt idx="4">
                  <c:v>9.27</c:v>
                </c:pt>
                <c:pt idx="5">
                  <c:v>8.73</c:v>
                </c:pt>
                <c:pt idx="6">
                  <c:v>6.36</c:v>
                </c:pt>
                <c:pt idx="7">
                  <c:v>8.5</c:v>
                </c:pt>
                <c:pt idx="8">
                  <c:v>7.82</c:v>
                </c:pt>
                <c:pt idx="9">
                  <c:v>9.14</c:v>
                </c:pt>
                <c:pt idx="10">
                  <c:v>8.24</c:v>
                </c:pt>
                <c:pt idx="11">
                  <c:v>12.19</c:v>
                </c:pt>
                <c:pt idx="12">
                  <c:v>11.88</c:v>
                </c:pt>
                <c:pt idx="13">
                  <c:v>9.57</c:v>
                </c:pt>
                <c:pt idx="14">
                  <c:v>10.94</c:v>
                </c:pt>
                <c:pt idx="15">
                  <c:v>9.58</c:v>
                </c:pt>
                <c:pt idx="16">
                  <c:v>10.09</c:v>
                </c:pt>
                <c:pt idx="17">
                  <c:v>8.11</c:v>
                </c:pt>
                <c:pt idx="18">
                  <c:v>6.83</c:v>
                </c:pt>
                <c:pt idx="19">
                  <c:v>8.8800000000000008</c:v>
                </c:pt>
                <c:pt idx="20">
                  <c:v>7.68</c:v>
                </c:pt>
                <c:pt idx="21">
                  <c:v>8.4700000000000006</c:v>
                </c:pt>
                <c:pt idx="22">
                  <c:v>8.86</c:v>
                </c:pt>
                <c:pt idx="23">
                  <c:v>10.36</c:v>
                </c:pt>
                <c:pt idx="24">
                  <c:v>11.08</c:v>
                </c:pt>
              </c:numCache>
            </c:numRef>
          </c:xVal>
          <c:yVal>
            <c:numRef>
              <c:f>'Linear Regression in Excel'!$C$25:$C$49</c:f>
              <c:numCache>
                <c:formatCode>General</c:formatCode>
                <c:ptCount val="25"/>
                <c:pt idx="0">
                  <c:v>0.17496360571506919</c:v>
                </c:pt>
                <c:pt idx="1">
                  <c:v>-0.12207707682802926</c:v>
                </c:pt>
                <c:pt idx="2">
                  <c:v>1.3457344858143632</c:v>
                </c:pt>
                <c:pt idx="3">
                  <c:v>-0.52906210147014043</c:v>
                </c:pt>
                <c:pt idx="4">
                  <c:v>0.54849250113915637</c:v>
                </c:pt>
                <c:pt idx="5">
                  <c:v>0.79879656492070694</c:v>
                </c:pt>
                <c:pt idx="6">
                  <c:v>-1.323734485814362</c:v>
                </c:pt>
                <c:pt idx="7">
                  <c:v>0.99987150880155351</c:v>
                </c:pt>
                <c:pt idx="8">
                  <c:v>-0.15910065106605309</c:v>
                </c:pt>
                <c:pt idx="9">
                  <c:v>0.10716059722521365</c:v>
                </c:pt>
                <c:pt idx="10">
                  <c:v>-1.6789378985298598</c:v>
                </c:pt>
                <c:pt idx="11">
                  <c:v>0.87405996852295509</c:v>
                </c:pt>
                <c:pt idx="12">
                  <c:v>0.500197013873942</c:v>
                </c:pt>
                <c:pt idx="13">
                  <c:v>-0.93168735970211358</c:v>
                </c:pt>
                <c:pt idx="14">
                  <c:v>1.0529935787946467</c:v>
                </c:pt>
                <c:pt idx="15">
                  <c:v>-0.17129764257619762</c:v>
                </c:pt>
                <c:pt idx="16">
                  <c:v>1.2008522451854944</c:v>
                </c:pt>
                <c:pt idx="17">
                  <c:v>7.5019263616058041E-2</c:v>
                </c:pt>
                <c:pt idx="18">
                  <c:v>-1.2049807363839413</c:v>
                </c:pt>
                <c:pt idx="19">
                  <c:v>1.2042483835167648</c:v>
                </c:pt>
                <c:pt idx="20">
                  <c:v>-0.1873404804302794</c:v>
                </c:pt>
                <c:pt idx="21">
                  <c:v>-0.51494218678802639</c:v>
                </c:pt>
                <c:pt idx="22">
                  <c:v>-1.202629546490142</c:v>
                </c:pt>
                <c:pt idx="23">
                  <c:v>-0.59671091157634137</c:v>
                </c:pt>
                <c:pt idx="24">
                  <c:v>-0.25988863947042518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058992"/>
        <c:axId val="2131051920"/>
      </c:scatterChart>
      <c:valAx>
        <c:axId val="213105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051920"/>
        <c:crosses val="autoZero"/>
        <c:crossBetween val="midCat"/>
      </c:valAx>
      <c:valAx>
        <c:axId val="2131051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058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X8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'Linear Regression by Hand'!$B$2:$B$26</c:f>
              <c:numCache>
                <c:formatCode>General</c:formatCode>
                <c:ptCount val="25"/>
                <c:pt idx="0">
                  <c:v>10.98</c:v>
                </c:pt>
                <c:pt idx="1">
                  <c:v>11.13</c:v>
                </c:pt>
                <c:pt idx="2">
                  <c:v>12.51</c:v>
                </c:pt>
                <c:pt idx="3">
                  <c:v>8.4</c:v>
                </c:pt>
                <c:pt idx="4">
                  <c:v>9.27</c:v>
                </c:pt>
                <c:pt idx="5">
                  <c:v>8.73</c:v>
                </c:pt>
                <c:pt idx="6">
                  <c:v>6.36</c:v>
                </c:pt>
                <c:pt idx="7">
                  <c:v>8.5</c:v>
                </c:pt>
                <c:pt idx="8">
                  <c:v>7.82</c:v>
                </c:pt>
                <c:pt idx="9">
                  <c:v>9.14</c:v>
                </c:pt>
                <c:pt idx="10">
                  <c:v>8.24</c:v>
                </c:pt>
                <c:pt idx="11">
                  <c:v>12.19</c:v>
                </c:pt>
                <c:pt idx="12">
                  <c:v>11.88</c:v>
                </c:pt>
                <c:pt idx="13">
                  <c:v>9.57</c:v>
                </c:pt>
                <c:pt idx="14">
                  <c:v>10.94</c:v>
                </c:pt>
                <c:pt idx="15">
                  <c:v>9.58</c:v>
                </c:pt>
                <c:pt idx="16">
                  <c:v>10.09</c:v>
                </c:pt>
                <c:pt idx="17">
                  <c:v>8.11</c:v>
                </c:pt>
                <c:pt idx="18">
                  <c:v>6.83</c:v>
                </c:pt>
                <c:pt idx="19">
                  <c:v>8.8800000000000008</c:v>
                </c:pt>
                <c:pt idx="20">
                  <c:v>7.68</c:v>
                </c:pt>
                <c:pt idx="21">
                  <c:v>8.4700000000000006</c:v>
                </c:pt>
                <c:pt idx="22">
                  <c:v>8.86</c:v>
                </c:pt>
                <c:pt idx="23">
                  <c:v>10.36</c:v>
                </c:pt>
                <c:pt idx="24">
                  <c:v>11.08</c:v>
                </c:pt>
              </c:numCache>
            </c:numRef>
          </c:xVal>
          <c:yVal>
            <c:numRef>
              <c:f>'Linear Regression by Hand'!$A$2:$A$26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'Linear Regression by Hand'!$B$2:$B$26</c:f>
              <c:numCache>
                <c:formatCode>General</c:formatCode>
                <c:ptCount val="25"/>
                <c:pt idx="0">
                  <c:v>10.98</c:v>
                </c:pt>
                <c:pt idx="1">
                  <c:v>11.13</c:v>
                </c:pt>
                <c:pt idx="2">
                  <c:v>12.51</c:v>
                </c:pt>
                <c:pt idx="3">
                  <c:v>8.4</c:v>
                </c:pt>
                <c:pt idx="4">
                  <c:v>9.27</c:v>
                </c:pt>
                <c:pt idx="5">
                  <c:v>8.73</c:v>
                </c:pt>
                <c:pt idx="6">
                  <c:v>6.36</c:v>
                </c:pt>
                <c:pt idx="7">
                  <c:v>8.5</c:v>
                </c:pt>
                <c:pt idx="8">
                  <c:v>7.82</c:v>
                </c:pt>
                <c:pt idx="9">
                  <c:v>9.14</c:v>
                </c:pt>
                <c:pt idx="10">
                  <c:v>8.24</c:v>
                </c:pt>
                <c:pt idx="11">
                  <c:v>12.19</c:v>
                </c:pt>
                <c:pt idx="12">
                  <c:v>11.88</c:v>
                </c:pt>
                <c:pt idx="13">
                  <c:v>9.57</c:v>
                </c:pt>
                <c:pt idx="14">
                  <c:v>10.94</c:v>
                </c:pt>
                <c:pt idx="15">
                  <c:v>9.58</c:v>
                </c:pt>
                <c:pt idx="16">
                  <c:v>10.09</c:v>
                </c:pt>
                <c:pt idx="17">
                  <c:v>8.11</c:v>
                </c:pt>
                <c:pt idx="18">
                  <c:v>6.83</c:v>
                </c:pt>
                <c:pt idx="19">
                  <c:v>8.8800000000000008</c:v>
                </c:pt>
                <c:pt idx="20">
                  <c:v>7.68</c:v>
                </c:pt>
                <c:pt idx="21">
                  <c:v>8.4700000000000006</c:v>
                </c:pt>
                <c:pt idx="22">
                  <c:v>8.86</c:v>
                </c:pt>
                <c:pt idx="23">
                  <c:v>10.36</c:v>
                </c:pt>
                <c:pt idx="24">
                  <c:v>11.08</c:v>
                </c:pt>
              </c:numCache>
            </c:numRef>
          </c:xVal>
          <c:yVal>
            <c:numRef>
              <c:f>'Linear Regression in Excel'!$B$25:$B$49</c:f>
              <c:numCache>
                <c:formatCode>General</c:formatCode>
                <c:ptCount val="25"/>
                <c:pt idx="0">
                  <c:v>10.805036394284931</c:v>
                </c:pt>
                <c:pt idx="1">
                  <c:v>11.25207707682803</c:v>
                </c:pt>
                <c:pt idx="2">
                  <c:v>11.164265514185637</c:v>
                </c:pt>
                <c:pt idx="3">
                  <c:v>8.9290621014701408</c:v>
                </c:pt>
                <c:pt idx="4">
                  <c:v>8.7215074988608432</c:v>
                </c:pt>
                <c:pt idx="5">
                  <c:v>7.9312034350792935</c:v>
                </c:pt>
                <c:pt idx="6">
                  <c:v>7.6837344858143624</c:v>
                </c:pt>
                <c:pt idx="7">
                  <c:v>7.5001284911984465</c:v>
                </c:pt>
                <c:pt idx="8">
                  <c:v>7.9791006510660534</c:v>
                </c:pt>
                <c:pt idx="9">
                  <c:v>9.0328394027747869</c:v>
                </c:pt>
                <c:pt idx="10">
                  <c:v>9.91893789852986</c:v>
                </c:pt>
                <c:pt idx="11">
                  <c:v>11.315940031477044</c:v>
                </c:pt>
                <c:pt idx="12">
                  <c:v>11.379802986126059</c:v>
                </c:pt>
                <c:pt idx="13">
                  <c:v>10.501687359702114</c:v>
                </c:pt>
                <c:pt idx="14">
                  <c:v>9.8870064212053528</c:v>
                </c:pt>
                <c:pt idx="15">
                  <c:v>9.7512976425761977</c:v>
                </c:pt>
                <c:pt idx="16">
                  <c:v>8.8891477548145055</c:v>
                </c:pt>
                <c:pt idx="17">
                  <c:v>8.0349807363839414</c:v>
                </c:pt>
                <c:pt idx="18">
                  <c:v>8.0349807363839414</c:v>
                </c:pt>
                <c:pt idx="19">
                  <c:v>7.675751616483236</c:v>
                </c:pt>
                <c:pt idx="20">
                  <c:v>7.8673404804302791</c:v>
                </c:pt>
                <c:pt idx="21">
                  <c:v>8.984942186788027</c:v>
                </c:pt>
                <c:pt idx="22">
                  <c:v>10.062629546490141</c:v>
                </c:pt>
                <c:pt idx="23">
                  <c:v>10.956710911576341</c:v>
                </c:pt>
                <c:pt idx="24">
                  <c:v>11.339888639470425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052464"/>
        <c:axId val="2131053008"/>
      </c:scatterChart>
      <c:valAx>
        <c:axId val="213105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053008"/>
        <c:crosses val="autoZero"/>
        <c:crossBetween val="midCat"/>
      </c:valAx>
      <c:valAx>
        <c:axId val="2131053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052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'Linear Regression in Excel'!$F$25:$F$49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'Linear Regression in Excel'!$G$25:$G$49</c:f>
              <c:numCache>
                <c:formatCode>General</c:formatCode>
                <c:ptCount val="25"/>
                <c:pt idx="0">
                  <c:v>6.36</c:v>
                </c:pt>
                <c:pt idx="1">
                  <c:v>6.83</c:v>
                </c:pt>
                <c:pt idx="2">
                  <c:v>7.68</c:v>
                </c:pt>
                <c:pt idx="3">
                  <c:v>7.82</c:v>
                </c:pt>
                <c:pt idx="4">
                  <c:v>8.11</c:v>
                </c:pt>
                <c:pt idx="5">
                  <c:v>8.24</c:v>
                </c:pt>
                <c:pt idx="6">
                  <c:v>8.4</c:v>
                </c:pt>
                <c:pt idx="7">
                  <c:v>8.4700000000000006</c:v>
                </c:pt>
                <c:pt idx="8">
                  <c:v>8.5</c:v>
                </c:pt>
                <c:pt idx="9">
                  <c:v>8.73</c:v>
                </c:pt>
                <c:pt idx="10">
                  <c:v>8.86</c:v>
                </c:pt>
                <c:pt idx="11">
                  <c:v>8.8800000000000008</c:v>
                </c:pt>
                <c:pt idx="12">
                  <c:v>9.14</c:v>
                </c:pt>
                <c:pt idx="13">
                  <c:v>9.27</c:v>
                </c:pt>
                <c:pt idx="14">
                  <c:v>9.57</c:v>
                </c:pt>
                <c:pt idx="15">
                  <c:v>9.58</c:v>
                </c:pt>
                <c:pt idx="16">
                  <c:v>10.09</c:v>
                </c:pt>
                <c:pt idx="17">
                  <c:v>10.36</c:v>
                </c:pt>
                <c:pt idx="18">
                  <c:v>10.94</c:v>
                </c:pt>
                <c:pt idx="19">
                  <c:v>10.98</c:v>
                </c:pt>
                <c:pt idx="20">
                  <c:v>11.08</c:v>
                </c:pt>
                <c:pt idx="21">
                  <c:v>11.13</c:v>
                </c:pt>
                <c:pt idx="22">
                  <c:v>11.88</c:v>
                </c:pt>
                <c:pt idx="23">
                  <c:v>12.19</c:v>
                </c:pt>
                <c:pt idx="24">
                  <c:v>12.51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050832"/>
        <c:axId val="2131060624"/>
      </c:scatterChart>
      <c:valAx>
        <c:axId val="213105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060624"/>
        <c:crosses val="autoZero"/>
        <c:crossBetween val="midCat"/>
      </c:valAx>
      <c:valAx>
        <c:axId val="2131060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050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29</xdr:row>
      <xdr:rowOff>1</xdr:rowOff>
    </xdr:from>
    <xdr:to>
      <xdr:col>9</xdr:col>
      <xdr:colOff>838200</xdr:colOff>
      <xdr:row>51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8725" y="6057901"/>
          <a:ext cx="5105400" cy="4200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104775</xdr:colOff>
      <xdr:row>12</xdr:row>
      <xdr:rowOff>9525</xdr:rowOff>
    </xdr:from>
    <xdr:to>
      <xdr:col>16</xdr:col>
      <xdr:colOff>104775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390525</xdr:colOff>
      <xdr:row>23</xdr:row>
      <xdr:rowOff>114300</xdr:rowOff>
    </xdr:from>
    <xdr:to>
      <xdr:col>17</xdr:col>
      <xdr:colOff>390525</xdr:colOff>
      <xdr:row>33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nielsoper.com/statcalc/calculator.aspx?id=8" TargetMode="External"/><Relationship Id="rId2" Type="http://schemas.openxmlformats.org/officeDocument/2006/relationships/hyperlink" Target="https://www.danielsoper.com/statcalc/calculator.aspx?id=7" TargetMode="External"/><Relationship Id="rId1" Type="http://schemas.openxmlformats.org/officeDocument/2006/relationships/hyperlink" Target="http://socr.ucla.edu/Applets.dir/F_Table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danielsoper.com/statcalc/calculator.aspx?id=8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topLeftCell="H1" workbookViewId="0">
      <selection activeCell="O1" sqref="O1"/>
    </sheetView>
  </sheetViews>
  <sheetFormatPr defaultRowHeight="15" x14ac:dyDescent="0.25"/>
  <cols>
    <col min="1" max="1" width="6" bestFit="1" customWidth="1"/>
    <col min="2" max="2" width="6.7109375" bestFit="1" customWidth="1"/>
    <col min="3" max="3" width="5.5703125" bestFit="1" customWidth="1"/>
    <col min="4" max="4" width="8.42578125" bestFit="1" customWidth="1"/>
    <col min="5" max="5" width="8.5703125" bestFit="1" customWidth="1"/>
    <col min="6" max="6" width="10.42578125" bestFit="1" customWidth="1"/>
    <col min="7" max="7" width="10.140625" bestFit="1" customWidth="1"/>
    <col min="8" max="8" width="12.5703125" bestFit="1" customWidth="1"/>
    <col min="9" max="9" width="14" bestFit="1" customWidth="1"/>
    <col min="10" max="10" width="14" customWidth="1"/>
    <col min="11" max="11" width="24.5703125" customWidth="1"/>
    <col min="12" max="12" width="17.5703125" bestFit="1" customWidth="1"/>
    <col min="13" max="13" width="12" bestFit="1" customWidth="1"/>
    <col min="14" max="14" width="4.28515625" customWidth="1"/>
    <col min="15" max="15" width="43.7109375" bestFit="1" customWidth="1"/>
    <col min="16" max="16" width="53.7109375" bestFit="1" customWidth="1"/>
    <col min="17" max="17" width="11" bestFit="1" customWidth="1"/>
  </cols>
  <sheetData>
    <row r="1" spans="1:17" ht="27" x14ac:dyDescent="0.25">
      <c r="A1" s="14" t="s">
        <v>34</v>
      </c>
      <c r="B1" s="14" t="s">
        <v>0</v>
      </c>
      <c r="C1" s="14" t="s">
        <v>33</v>
      </c>
      <c r="D1" s="14" t="s">
        <v>39</v>
      </c>
      <c r="E1" s="14" t="s">
        <v>40</v>
      </c>
      <c r="F1" s="14" t="s">
        <v>38</v>
      </c>
      <c r="G1" s="14" t="s">
        <v>41</v>
      </c>
      <c r="H1" s="14" t="s">
        <v>86</v>
      </c>
      <c r="I1" s="14" t="s">
        <v>37</v>
      </c>
      <c r="J1" s="14" t="s">
        <v>42</v>
      </c>
      <c r="K1" s="15" t="s">
        <v>85</v>
      </c>
      <c r="L1" s="14" t="s">
        <v>44</v>
      </c>
      <c r="M1" s="14" t="s">
        <v>45</v>
      </c>
      <c r="O1" s="11" t="s">
        <v>87</v>
      </c>
      <c r="P1" s="12" t="s">
        <v>50</v>
      </c>
      <c r="Q1" s="12" t="s">
        <v>51</v>
      </c>
    </row>
    <row r="2" spans="1:17" x14ac:dyDescent="0.25">
      <c r="A2" s="1">
        <v>1</v>
      </c>
      <c r="B2" s="13">
        <v>10.98</v>
      </c>
      <c r="C2" s="13">
        <v>35.299999999999997</v>
      </c>
      <c r="D2" s="1">
        <f>AVERAGE($B$2:$B$26)</f>
        <v>9.4240000000000013</v>
      </c>
      <c r="E2" s="1">
        <f>AVERAGE($C$2:$C$26)</f>
        <v>52.59999999999998</v>
      </c>
      <c r="F2" s="1">
        <f>C2 - E2</f>
        <v>-17.299999999999983</v>
      </c>
      <c r="G2" s="1">
        <f>B2-D2</f>
        <v>1.5559999999999992</v>
      </c>
      <c r="H2" s="1">
        <f>F2*G2</f>
        <v>-26.918799999999958</v>
      </c>
      <c r="I2" s="1">
        <f>F2^2</f>
        <v>299.2899999999994</v>
      </c>
      <c r="J2" s="1">
        <f>G2^2</f>
        <v>2.4211359999999975</v>
      </c>
      <c r="K2" s="1">
        <f t="shared" ref="K2:K26" si="0">$Q$9+$Q$8*C2</f>
        <v>10.805036394284929</v>
      </c>
      <c r="L2" s="1">
        <f>(K2-D2)^2</f>
        <v>1.9072615223395157</v>
      </c>
      <c r="M2" s="1">
        <f>(B2-K2)^2</f>
        <v>3.0612263324818815E-2</v>
      </c>
      <c r="O2" s="7" t="s">
        <v>58</v>
      </c>
      <c r="P2" s="6" t="s">
        <v>59</v>
      </c>
      <c r="Q2" s="6">
        <v>25</v>
      </c>
    </row>
    <row r="3" spans="1:17" x14ac:dyDescent="0.25">
      <c r="A3" s="1">
        <v>2</v>
      </c>
      <c r="B3" s="13">
        <v>11.13</v>
      </c>
      <c r="C3" s="13">
        <v>29.7</v>
      </c>
      <c r="D3" s="1">
        <f t="shared" ref="D3:D26" si="1">AVERAGE($B$2:$B$26)</f>
        <v>9.4240000000000013</v>
      </c>
      <c r="E3" s="1">
        <f t="shared" ref="E3:E26" si="2">AVERAGE($C$2:$C$26)</f>
        <v>52.59999999999998</v>
      </c>
      <c r="F3" s="1">
        <f t="shared" ref="F3:F26" si="3">C3 - E3</f>
        <v>-22.899999999999981</v>
      </c>
      <c r="G3" s="1">
        <f t="shared" ref="G3:G26" si="4">B3-D3</f>
        <v>1.7059999999999995</v>
      </c>
      <c r="H3" s="1">
        <f t="shared" ref="H3:H26" si="5">F3*G3</f>
        <v>-39.067399999999957</v>
      </c>
      <c r="I3" s="1">
        <f t="shared" ref="I3:J26" si="6">F3^2</f>
        <v>524.40999999999917</v>
      </c>
      <c r="J3" s="1">
        <f t="shared" si="6"/>
        <v>2.9104359999999985</v>
      </c>
      <c r="K3" s="1">
        <f t="shared" si="0"/>
        <v>11.25207707682803</v>
      </c>
      <c r="L3" s="1">
        <f t="shared" ref="L3:L25" si="7">(K3-D3)^2</f>
        <v>3.3418657988241107</v>
      </c>
      <c r="M3" s="1">
        <f t="shared" ref="M3:M26" si="8">(B3-K3)^2</f>
        <v>1.4902812686876559E-2</v>
      </c>
      <c r="O3" s="7" t="s">
        <v>100</v>
      </c>
      <c r="P3" s="6" t="s">
        <v>60</v>
      </c>
      <c r="Q3" s="6">
        <v>1</v>
      </c>
    </row>
    <row r="4" spans="1:17" x14ac:dyDescent="0.25">
      <c r="A4" s="1">
        <v>3</v>
      </c>
      <c r="B4" s="13">
        <v>12.51</v>
      </c>
      <c r="C4" s="13">
        <v>30.8</v>
      </c>
      <c r="D4" s="1">
        <f t="shared" si="1"/>
        <v>9.4240000000000013</v>
      </c>
      <c r="E4" s="1">
        <f t="shared" si="2"/>
        <v>52.59999999999998</v>
      </c>
      <c r="F4" s="1">
        <f t="shared" si="3"/>
        <v>-21.799999999999979</v>
      </c>
      <c r="G4" s="1">
        <f t="shared" si="4"/>
        <v>3.0859999999999985</v>
      </c>
      <c r="H4" s="1">
        <f t="shared" si="5"/>
        <v>-67.2747999999999</v>
      </c>
      <c r="I4" s="1">
        <f t="shared" si="6"/>
        <v>475.2399999999991</v>
      </c>
      <c r="J4" s="1">
        <f t="shared" si="6"/>
        <v>9.5233959999999911</v>
      </c>
      <c r="K4" s="1">
        <f t="shared" si="0"/>
        <v>11.164265514185635</v>
      </c>
      <c r="L4" s="1">
        <f t="shared" si="7"/>
        <v>3.0285240598637877</v>
      </c>
      <c r="M4" s="1">
        <f t="shared" si="8"/>
        <v>1.8110013063100532</v>
      </c>
      <c r="O4" s="7" t="s">
        <v>101</v>
      </c>
      <c r="P4" s="6" t="s">
        <v>99</v>
      </c>
      <c r="Q4" s="6">
        <v>2</v>
      </c>
    </row>
    <row r="5" spans="1:17" x14ac:dyDescent="0.25">
      <c r="A5" s="1">
        <v>4</v>
      </c>
      <c r="B5" s="13">
        <v>8.4</v>
      </c>
      <c r="C5" s="13">
        <v>58.8</v>
      </c>
      <c r="D5" s="1">
        <f t="shared" si="1"/>
        <v>9.4240000000000013</v>
      </c>
      <c r="E5" s="1">
        <f t="shared" si="2"/>
        <v>52.59999999999998</v>
      </c>
      <c r="F5" s="1">
        <f t="shared" si="3"/>
        <v>6.2000000000000171</v>
      </c>
      <c r="G5" s="1">
        <f t="shared" si="4"/>
        <v>-1.0240000000000009</v>
      </c>
      <c r="H5" s="1">
        <f t="shared" si="5"/>
        <v>-6.3488000000000229</v>
      </c>
      <c r="I5" s="1">
        <f t="shared" si="6"/>
        <v>38.440000000000211</v>
      </c>
      <c r="J5" s="1">
        <f t="shared" si="6"/>
        <v>1.048576000000002</v>
      </c>
      <c r="K5" s="1">
        <f t="shared" si="0"/>
        <v>8.929062101470139</v>
      </c>
      <c r="L5" s="1">
        <f t="shared" si="7"/>
        <v>0.24496352340115624</v>
      </c>
      <c r="M5" s="1">
        <f t="shared" si="8"/>
        <v>0.27990670721199928</v>
      </c>
      <c r="O5" s="7" t="s">
        <v>76</v>
      </c>
      <c r="P5" s="6" t="s">
        <v>98</v>
      </c>
      <c r="Q5" s="6">
        <f>Q4-1</f>
        <v>1</v>
      </c>
    </row>
    <row r="6" spans="1:17" x14ac:dyDescent="0.25">
      <c r="A6" s="1">
        <v>5</v>
      </c>
      <c r="B6" s="13">
        <v>9.27</v>
      </c>
      <c r="C6" s="13">
        <v>61.4</v>
      </c>
      <c r="D6" s="1">
        <f t="shared" si="1"/>
        <v>9.4240000000000013</v>
      </c>
      <c r="E6" s="1">
        <f t="shared" si="2"/>
        <v>52.59999999999998</v>
      </c>
      <c r="F6" s="1">
        <f t="shared" si="3"/>
        <v>8.8000000000000185</v>
      </c>
      <c r="G6" s="1">
        <f t="shared" si="4"/>
        <v>-0.15400000000000169</v>
      </c>
      <c r="H6" s="1">
        <f t="shared" si="5"/>
        <v>-1.3552000000000177</v>
      </c>
      <c r="I6" s="1">
        <f t="shared" si="6"/>
        <v>77.440000000000325</v>
      </c>
      <c r="J6" s="1">
        <f t="shared" si="6"/>
        <v>2.3716000000000521E-2</v>
      </c>
      <c r="K6" s="1">
        <f t="shared" si="0"/>
        <v>8.7215074988608414</v>
      </c>
      <c r="L6" s="1">
        <f t="shared" si="7"/>
        <v>0.49349571415675247</v>
      </c>
      <c r="M6" s="1">
        <f t="shared" si="8"/>
        <v>0.30084402380588943</v>
      </c>
      <c r="O6" s="7" t="s">
        <v>78</v>
      </c>
      <c r="P6" s="6" t="s">
        <v>97</v>
      </c>
      <c r="Q6" s="6">
        <f>Q2-Q4</f>
        <v>23</v>
      </c>
    </row>
    <row r="7" spans="1:17" x14ac:dyDescent="0.25">
      <c r="A7" s="1">
        <v>6</v>
      </c>
      <c r="B7" s="13">
        <v>8.73</v>
      </c>
      <c r="C7" s="13">
        <v>71.3</v>
      </c>
      <c r="D7" s="1">
        <f t="shared" si="1"/>
        <v>9.4240000000000013</v>
      </c>
      <c r="E7" s="1">
        <f t="shared" si="2"/>
        <v>52.59999999999998</v>
      </c>
      <c r="F7" s="1">
        <f t="shared" si="3"/>
        <v>18.700000000000017</v>
      </c>
      <c r="G7" s="1">
        <f t="shared" si="4"/>
        <v>-0.69400000000000084</v>
      </c>
      <c r="H7" s="1">
        <f t="shared" si="5"/>
        <v>-12.977800000000027</v>
      </c>
      <c r="I7" s="1">
        <f t="shared" si="6"/>
        <v>349.69000000000062</v>
      </c>
      <c r="J7" s="1">
        <f t="shared" si="6"/>
        <v>0.48163600000000117</v>
      </c>
      <c r="K7" s="1">
        <f t="shared" si="0"/>
        <v>7.9312034350792926</v>
      </c>
      <c r="L7" s="1">
        <f t="shared" si="7"/>
        <v>2.2284415842390675</v>
      </c>
      <c r="M7" s="1">
        <f t="shared" si="8"/>
        <v>0.6380759521291226</v>
      </c>
      <c r="O7" s="18" t="s">
        <v>103</v>
      </c>
      <c r="P7" s="6"/>
      <c r="Q7" s="6"/>
    </row>
    <row r="8" spans="1:17" x14ac:dyDescent="0.25">
      <c r="A8" s="1">
        <v>7</v>
      </c>
      <c r="B8" s="13">
        <v>6.36</v>
      </c>
      <c r="C8" s="13">
        <v>74.400000000000006</v>
      </c>
      <c r="D8" s="1">
        <f t="shared" si="1"/>
        <v>9.4240000000000013</v>
      </c>
      <c r="E8" s="1">
        <f t="shared" si="2"/>
        <v>52.59999999999998</v>
      </c>
      <c r="F8" s="1">
        <f t="shared" si="3"/>
        <v>21.800000000000026</v>
      </c>
      <c r="G8" s="1">
        <f t="shared" si="4"/>
        <v>-3.0640000000000009</v>
      </c>
      <c r="H8" s="1">
        <f t="shared" si="5"/>
        <v>-66.795200000000094</v>
      </c>
      <c r="I8" s="1">
        <f t="shared" si="6"/>
        <v>475.24000000000109</v>
      </c>
      <c r="J8" s="1">
        <f t="shared" si="6"/>
        <v>9.3880960000000062</v>
      </c>
      <c r="K8" s="1">
        <f t="shared" si="0"/>
        <v>7.6837344858143615</v>
      </c>
      <c r="L8" s="1">
        <f t="shared" si="7"/>
        <v>3.0285240598638095</v>
      </c>
      <c r="M8" s="1">
        <f t="shared" si="8"/>
        <v>1.752272988934211</v>
      </c>
      <c r="O8" s="7" t="s">
        <v>61</v>
      </c>
      <c r="P8" s="8" t="s">
        <v>49</v>
      </c>
      <c r="Q8" s="6">
        <f>H28/I28</f>
        <v>-7.9828693311267726E-2</v>
      </c>
    </row>
    <row r="9" spans="1:17" x14ac:dyDescent="0.25">
      <c r="A9" s="1">
        <v>8</v>
      </c>
      <c r="B9" s="13">
        <v>8.5</v>
      </c>
      <c r="C9" s="13">
        <v>76.7</v>
      </c>
      <c r="D9" s="1">
        <f t="shared" si="1"/>
        <v>9.4240000000000013</v>
      </c>
      <c r="E9" s="1">
        <f t="shared" si="2"/>
        <v>52.59999999999998</v>
      </c>
      <c r="F9" s="1">
        <f t="shared" si="3"/>
        <v>24.100000000000023</v>
      </c>
      <c r="G9" s="1">
        <f t="shared" si="4"/>
        <v>-0.92400000000000126</v>
      </c>
      <c r="H9" s="1">
        <f t="shared" si="5"/>
        <v>-22.268400000000053</v>
      </c>
      <c r="I9" s="1">
        <f t="shared" si="6"/>
        <v>580.81000000000108</v>
      </c>
      <c r="J9" s="1">
        <f t="shared" si="6"/>
        <v>0.85377600000000231</v>
      </c>
      <c r="K9" s="1">
        <f t="shared" si="0"/>
        <v>7.5001284911984465</v>
      </c>
      <c r="L9" s="1">
        <f t="shared" si="7"/>
        <v>3.7012815823783707</v>
      </c>
      <c r="M9" s="1">
        <f t="shared" si="8"/>
        <v>0.99974303411309506</v>
      </c>
      <c r="O9" s="7" t="s">
        <v>62</v>
      </c>
      <c r="P9" s="6" t="s">
        <v>43</v>
      </c>
      <c r="Q9" s="6">
        <f>B27-(Q8*C27)</f>
        <v>13.622989268172681</v>
      </c>
    </row>
    <row r="10" spans="1:17" x14ac:dyDescent="0.25">
      <c r="A10" s="1">
        <v>9</v>
      </c>
      <c r="B10" s="13">
        <v>7.82</v>
      </c>
      <c r="C10" s="13">
        <v>70.7</v>
      </c>
      <c r="D10" s="1">
        <f t="shared" si="1"/>
        <v>9.4240000000000013</v>
      </c>
      <c r="E10" s="1">
        <f t="shared" si="2"/>
        <v>52.59999999999998</v>
      </c>
      <c r="F10" s="1">
        <f t="shared" si="3"/>
        <v>18.100000000000023</v>
      </c>
      <c r="G10" s="1">
        <f t="shared" si="4"/>
        <v>-1.604000000000001</v>
      </c>
      <c r="H10" s="1">
        <f t="shared" si="5"/>
        <v>-29.032400000000056</v>
      </c>
      <c r="I10" s="1">
        <f t="shared" si="6"/>
        <v>327.61000000000081</v>
      </c>
      <c r="J10" s="1">
        <f t="shared" si="6"/>
        <v>2.5728160000000031</v>
      </c>
      <c r="K10" s="1">
        <f t="shared" si="0"/>
        <v>7.9791006510660525</v>
      </c>
      <c r="L10" s="1">
        <f t="shared" si="7"/>
        <v>2.0877341285497493</v>
      </c>
      <c r="M10" s="1">
        <f t="shared" si="8"/>
        <v>2.5313017169641697E-2</v>
      </c>
      <c r="O10" s="6"/>
      <c r="P10" s="6"/>
      <c r="Q10" s="6"/>
    </row>
    <row r="11" spans="1:17" x14ac:dyDescent="0.25">
      <c r="A11" s="1">
        <v>10</v>
      </c>
      <c r="B11" s="13">
        <v>9.14</v>
      </c>
      <c r="C11" s="13">
        <v>57.5</v>
      </c>
      <c r="D11" s="1">
        <f t="shared" si="1"/>
        <v>9.4240000000000013</v>
      </c>
      <c r="E11" s="1">
        <f t="shared" si="2"/>
        <v>52.59999999999998</v>
      </c>
      <c r="F11" s="1">
        <f t="shared" si="3"/>
        <v>4.9000000000000199</v>
      </c>
      <c r="G11" s="1">
        <f t="shared" si="4"/>
        <v>-0.2840000000000007</v>
      </c>
      <c r="H11" s="1">
        <f t="shared" si="5"/>
        <v>-1.3916000000000091</v>
      </c>
      <c r="I11" s="1">
        <f t="shared" si="6"/>
        <v>24.010000000000193</v>
      </c>
      <c r="J11" s="1">
        <f t="shared" si="6"/>
        <v>8.0656000000000394E-2</v>
      </c>
      <c r="K11" s="1">
        <f t="shared" si="0"/>
        <v>9.0328394027747869</v>
      </c>
      <c r="L11" s="1">
        <f t="shared" si="7"/>
        <v>0.15300661282158637</v>
      </c>
      <c r="M11" s="1">
        <f t="shared" si="8"/>
        <v>1.1483393597664468E-2</v>
      </c>
      <c r="O11" s="7" t="s">
        <v>84</v>
      </c>
      <c r="P11" s="6" t="s">
        <v>74</v>
      </c>
      <c r="Q11" s="6">
        <f>SQRT(M28/(Q2-Q4))</f>
        <v>0.89012451611930155</v>
      </c>
    </row>
    <row r="12" spans="1:17" x14ac:dyDescent="0.25">
      <c r="A12" s="1">
        <v>11</v>
      </c>
      <c r="B12" s="13">
        <v>8.24</v>
      </c>
      <c r="C12" s="13">
        <v>46.4</v>
      </c>
      <c r="D12" s="1">
        <f t="shared" si="1"/>
        <v>9.4240000000000013</v>
      </c>
      <c r="E12" s="1">
        <f t="shared" si="2"/>
        <v>52.59999999999998</v>
      </c>
      <c r="F12" s="1">
        <f t="shared" si="3"/>
        <v>-6.1999999999999815</v>
      </c>
      <c r="G12" s="1">
        <f t="shared" si="4"/>
        <v>-1.1840000000000011</v>
      </c>
      <c r="H12" s="1">
        <f t="shared" si="5"/>
        <v>7.3407999999999847</v>
      </c>
      <c r="I12" s="1">
        <f t="shared" si="6"/>
        <v>38.43999999999977</v>
      </c>
      <c r="J12" s="1">
        <f t="shared" si="6"/>
        <v>1.4018560000000024</v>
      </c>
      <c r="K12" s="1">
        <f t="shared" si="0"/>
        <v>9.9189378985298582</v>
      </c>
      <c r="L12" s="1">
        <f t="shared" si="7"/>
        <v>0.24496352340115093</v>
      </c>
      <c r="M12" s="1">
        <f t="shared" si="8"/>
        <v>2.8188324671198557</v>
      </c>
      <c r="O12" s="6"/>
      <c r="P12" s="6" t="s">
        <v>75</v>
      </c>
      <c r="Q12" s="6">
        <f>SQRT(Q28/(Q2-Q4))</f>
        <v>0.89012451611930155</v>
      </c>
    </row>
    <row r="13" spans="1:17" x14ac:dyDescent="0.25">
      <c r="A13" s="1">
        <v>12</v>
      </c>
      <c r="B13" s="13">
        <v>12.19</v>
      </c>
      <c r="C13" s="13">
        <v>28.9</v>
      </c>
      <c r="D13" s="1">
        <f t="shared" si="1"/>
        <v>9.4240000000000013</v>
      </c>
      <c r="E13" s="1">
        <f t="shared" si="2"/>
        <v>52.59999999999998</v>
      </c>
      <c r="F13" s="1">
        <f t="shared" si="3"/>
        <v>-23.699999999999982</v>
      </c>
      <c r="G13" s="1">
        <f t="shared" si="4"/>
        <v>2.7659999999999982</v>
      </c>
      <c r="H13" s="1">
        <f t="shared" si="5"/>
        <v>-65.554199999999909</v>
      </c>
      <c r="I13" s="1">
        <f t="shared" si="6"/>
        <v>561.68999999999915</v>
      </c>
      <c r="J13" s="1">
        <f t="shared" si="6"/>
        <v>7.6507559999999906</v>
      </c>
      <c r="K13" s="1">
        <f t="shared" si="0"/>
        <v>11.315940031477044</v>
      </c>
      <c r="L13" s="1">
        <f t="shared" si="7"/>
        <v>3.579437082705355</v>
      </c>
      <c r="M13" s="1">
        <f t="shared" si="8"/>
        <v>0.76398082857434924</v>
      </c>
      <c r="O13" s="7" t="s">
        <v>63</v>
      </c>
      <c r="P13" s="6" t="s">
        <v>65</v>
      </c>
      <c r="Q13" s="6">
        <f>Q11*SQRT((1/Q2)+(C27^2/I28))</f>
        <v>0.58146349414777032</v>
      </c>
    </row>
    <row r="14" spans="1:17" x14ac:dyDescent="0.25">
      <c r="A14" s="1">
        <v>13</v>
      </c>
      <c r="B14" s="13">
        <v>11.88</v>
      </c>
      <c r="C14" s="13">
        <v>28.1</v>
      </c>
      <c r="D14" s="1">
        <f t="shared" si="1"/>
        <v>9.4240000000000013</v>
      </c>
      <c r="E14" s="1">
        <f t="shared" si="2"/>
        <v>52.59999999999998</v>
      </c>
      <c r="F14" s="1">
        <f t="shared" si="3"/>
        <v>-24.499999999999979</v>
      </c>
      <c r="G14" s="1">
        <f t="shared" si="4"/>
        <v>2.4559999999999995</v>
      </c>
      <c r="H14" s="1">
        <f t="shared" si="5"/>
        <v>-60.171999999999933</v>
      </c>
      <c r="I14" s="1">
        <f t="shared" si="6"/>
        <v>600.24999999999898</v>
      </c>
      <c r="J14" s="1">
        <f t="shared" si="6"/>
        <v>6.0319359999999973</v>
      </c>
      <c r="K14" s="1">
        <f t="shared" si="0"/>
        <v>11.379802986126059</v>
      </c>
      <c r="L14" s="1">
        <f t="shared" si="7"/>
        <v>3.8251653205396035</v>
      </c>
      <c r="M14" s="1">
        <f t="shared" si="8"/>
        <v>0.25019705268840853</v>
      </c>
      <c r="O14" s="7" t="s">
        <v>64</v>
      </c>
      <c r="P14" s="6" t="s">
        <v>104</v>
      </c>
      <c r="Q14" s="6">
        <f>Q11/SQRT(I28)</f>
        <v>1.0523580966436092E-2</v>
      </c>
    </row>
    <row r="15" spans="1:17" x14ac:dyDescent="0.25">
      <c r="A15" s="1">
        <v>14</v>
      </c>
      <c r="B15" s="13">
        <v>9.57</v>
      </c>
      <c r="C15" s="13">
        <v>39.1</v>
      </c>
      <c r="D15" s="1">
        <f t="shared" si="1"/>
        <v>9.4240000000000013</v>
      </c>
      <c r="E15" s="1">
        <f t="shared" si="2"/>
        <v>52.59999999999998</v>
      </c>
      <c r="F15" s="1">
        <f t="shared" si="3"/>
        <v>-13.499999999999979</v>
      </c>
      <c r="G15" s="1">
        <f t="shared" si="4"/>
        <v>0.14599999999999902</v>
      </c>
      <c r="H15" s="1">
        <f t="shared" si="5"/>
        <v>-1.9709999999999837</v>
      </c>
      <c r="I15" s="1">
        <f t="shared" si="6"/>
        <v>182.24999999999943</v>
      </c>
      <c r="J15" s="1">
        <f t="shared" si="6"/>
        <v>2.1315999999999714E-2</v>
      </c>
      <c r="K15" s="1">
        <f t="shared" si="0"/>
        <v>10.501687359702114</v>
      </c>
      <c r="L15" s="1">
        <f t="shared" si="7"/>
        <v>1.1614100452617107</v>
      </c>
      <c r="M15" s="1">
        <f t="shared" si="8"/>
        <v>0.86804133622869561</v>
      </c>
      <c r="O15" s="7" t="s">
        <v>66</v>
      </c>
      <c r="P15" s="9" t="s">
        <v>68</v>
      </c>
      <c r="Q15" s="6">
        <f>Q9/Q13</f>
        <v>23.428795453684319</v>
      </c>
    </row>
    <row r="16" spans="1:17" x14ac:dyDescent="0.25">
      <c r="A16" s="1">
        <v>15</v>
      </c>
      <c r="B16" s="13">
        <v>10.94</v>
      </c>
      <c r="C16" s="13">
        <v>46.8</v>
      </c>
      <c r="D16" s="1">
        <f t="shared" si="1"/>
        <v>9.4240000000000013</v>
      </c>
      <c r="E16" s="1">
        <f t="shared" si="2"/>
        <v>52.59999999999998</v>
      </c>
      <c r="F16" s="1">
        <f t="shared" si="3"/>
        <v>-5.7999999999999829</v>
      </c>
      <c r="G16" s="1">
        <f t="shared" si="4"/>
        <v>1.5159999999999982</v>
      </c>
      <c r="H16" s="1">
        <f t="shared" si="5"/>
        <v>-8.7927999999999642</v>
      </c>
      <c r="I16" s="1">
        <f t="shared" si="6"/>
        <v>33.639999999999802</v>
      </c>
      <c r="J16" s="1">
        <f t="shared" si="6"/>
        <v>2.2982559999999945</v>
      </c>
      <c r="K16" s="1">
        <f t="shared" si="0"/>
        <v>9.887006421205351</v>
      </c>
      <c r="L16" s="1">
        <f t="shared" si="7"/>
        <v>0.21437494607738575</v>
      </c>
      <c r="M16" s="1">
        <f t="shared" si="8"/>
        <v>1.1087954769827617</v>
      </c>
      <c r="O16" s="7" t="s">
        <v>106</v>
      </c>
      <c r="P16" s="22" t="s">
        <v>107</v>
      </c>
      <c r="Q16" s="6">
        <v>0</v>
      </c>
    </row>
    <row r="17" spans="1:17" x14ac:dyDescent="0.25">
      <c r="A17" s="1">
        <v>16</v>
      </c>
      <c r="B17" s="13">
        <v>9.58</v>
      </c>
      <c r="C17" s="13">
        <v>48.5</v>
      </c>
      <c r="D17" s="1">
        <f t="shared" si="1"/>
        <v>9.4240000000000013</v>
      </c>
      <c r="E17" s="1">
        <f t="shared" si="2"/>
        <v>52.59999999999998</v>
      </c>
      <c r="F17" s="1">
        <f t="shared" si="3"/>
        <v>-4.0999999999999801</v>
      </c>
      <c r="G17" s="1">
        <f t="shared" si="4"/>
        <v>0.15599999999999881</v>
      </c>
      <c r="H17" s="1">
        <f t="shared" si="5"/>
        <v>-0.63959999999999195</v>
      </c>
      <c r="I17" s="1">
        <f t="shared" si="6"/>
        <v>16.809999999999835</v>
      </c>
      <c r="J17" s="1">
        <f t="shared" si="6"/>
        <v>2.4335999999999629E-2</v>
      </c>
      <c r="K17" s="1">
        <f t="shared" si="0"/>
        <v>9.7512976425761959</v>
      </c>
      <c r="L17" s="1">
        <f t="shared" si="7"/>
        <v>0.10712374683593447</v>
      </c>
      <c r="M17" s="1">
        <f t="shared" si="8"/>
        <v>2.934288235216214E-2</v>
      </c>
      <c r="O17" s="7" t="s">
        <v>67</v>
      </c>
      <c r="P17" s="9" t="s">
        <v>69</v>
      </c>
      <c r="Q17" s="6">
        <f>Q8/Q14</f>
        <v>-7.5856966906866923</v>
      </c>
    </row>
    <row r="18" spans="1:17" x14ac:dyDescent="0.25">
      <c r="A18" s="1">
        <v>17</v>
      </c>
      <c r="B18" s="13">
        <v>10.09</v>
      </c>
      <c r="C18" s="13">
        <v>59.3</v>
      </c>
      <c r="D18" s="1">
        <f t="shared" si="1"/>
        <v>9.4240000000000013</v>
      </c>
      <c r="E18" s="1">
        <f t="shared" si="2"/>
        <v>52.59999999999998</v>
      </c>
      <c r="F18" s="1">
        <f t="shared" si="3"/>
        <v>6.7000000000000171</v>
      </c>
      <c r="G18" s="1">
        <f t="shared" si="4"/>
        <v>0.66599999999999859</v>
      </c>
      <c r="H18" s="1">
        <f t="shared" si="5"/>
        <v>4.4622000000000019</v>
      </c>
      <c r="I18" s="1">
        <f t="shared" si="6"/>
        <v>44.890000000000228</v>
      </c>
      <c r="J18" s="1">
        <f t="shared" si="6"/>
        <v>0.44355599999999812</v>
      </c>
      <c r="K18" s="1">
        <f t="shared" si="0"/>
        <v>8.8891477548145055</v>
      </c>
      <c r="L18" s="1">
        <f t="shared" si="7"/>
        <v>0.28606692417996571</v>
      </c>
      <c r="M18" s="1">
        <f t="shared" si="8"/>
        <v>1.4420461147670427</v>
      </c>
      <c r="O18" s="7" t="s">
        <v>108</v>
      </c>
      <c r="P18" s="22" t="s">
        <v>107</v>
      </c>
      <c r="Q18" s="6">
        <v>8.0000000000000002E-8</v>
      </c>
    </row>
    <row r="19" spans="1:17" ht="30" x14ac:dyDescent="0.25">
      <c r="A19" s="1">
        <v>18</v>
      </c>
      <c r="B19" s="13">
        <v>8.11</v>
      </c>
      <c r="C19" s="13">
        <v>70</v>
      </c>
      <c r="D19" s="1">
        <f t="shared" si="1"/>
        <v>9.4240000000000013</v>
      </c>
      <c r="E19" s="1">
        <f t="shared" si="2"/>
        <v>52.59999999999998</v>
      </c>
      <c r="F19" s="1">
        <f t="shared" si="3"/>
        <v>17.40000000000002</v>
      </c>
      <c r="G19" s="1">
        <f t="shared" si="4"/>
        <v>-1.3140000000000018</v>
      </c>
      <c r="H19" s="1">
        <f t="shared" si="5"/>
        <v>-22.863600000000059</v>
      </c>
      <c r="I19" s="1">
        <f t="shared" si="6"/>
        <v>302.76000000000067</v>
      </c>
      <c r="J19" s="1">
        <f t="shared" si="6"/>
        <v>1.7265960000000049</v>
      </c>
      <c r="K19" s="1">
        <f t="shared" si="0"/>
        <v>8.0349807363839396</v>
      </c>
      <c r="L19" s="1">
        <f t="shared" si="7"/>
        <v>1.9293745146965062</v>
      </c>
      <c r="M19" s="1">
        <f t="shared" si="8"/>
        <v>5.6278899134958767E-3</v>
      </c>
      <c r="O19" s="7" t="s">
        <v>88</v>
      </c>
      <c r="P19" s="8" t="s">
        <v>91</v>
      </c>
      <c r="Q19" s="6">
        <f>H28/SQRT(I28*J28)</f>
        <v>-0.84524406002837749</v>
      </c>
    </row>
    <row r="20" spans="1:17" ht="30" x14ac:dyDescent="0.25">
      <c r="A20" s="1">
        <v>19</v>
      </c>
      <c r="B20" s="13">
        <v>6.83</v>
      </c>
      <c r="C20" s="13">
        <v>70</v>
      </c>
      <c r="D20" s="1">
        <f t="shared" si="1"/>
        <v>9.4240000000000013</v>
      </c>
      <c r="E20" s="1">
        <f t="shared" si="2"/>
        <v>52.59999999999998</v>
      </c>
      <c r="F20" s="1">
        <f t="shared" si="3"/>
        <v>17.40000000000002</v>
      </c>
      <c r="G20" s="1">
        <f t="shared" si="4"/>
        <v>-2.5940000000000012</v>
      </c>
      <c r="H20" s="1">
        <f t="shared" si="5"/>
        <v>-45.135600000000075</v>
      </c>
      <c r="I20" s="1">
        <f t="shared" si="6"/>
        <v>302.76000000000067</v>
      </c>
      <c r="J20" s="1">
        <f t="shared" si="6"/>
        <v>6.7288360000000065</v>
      </c>
      <c r="K20" s="1">
        <f t="shared" si="0"/>
        <v>8.0349807363839396</v>
      </c>
      <c r="L20" s="1">
        <f t="shared" si="7"/>
        <v>1.9293745146965062</v>
      </c>
      <c r="M20" s="1">
        <f t="shared" si="8"/>
        <v>1.4519785750563812</v>
      </c>
      <c r="O20" s="7" t="s">
        <v>52</v>
      </c>
      <c r="P20" s="8" t="s">
        <v>92</v>
      </c>
      <c r="Q20" s="6">
        <f>Q19^2</f>
        <v>0.71443752101325542</v>
      </c>
    </row>
    <row r="21" spans="1:17" x14ac:dyDescent="0.25">
      <c r="A21" s="1">
        <v>20</v>
      </c>
      <c r="B21" s="13">
        <v>8.8800000000000008</v>
      </c>
      <c r="C21" s="13">
        <v>74.5</v>
      </c>
      <c r="D21" s="1">
        <f t="shared" si="1"/>
        <v>9.4240000000000013</v>
      </c>
      <c r="E21" s="1">
        <f t="shared" si="2"/>
        <v>52.59999999999998</v>
      </c>
      <c r="F21" s="1">
        <f t="shared" si="3"/>
        <v>21.90000000000002</v>
      </c>
      <c r="G21" s="1">
        <f t="shared" si="4"/>
        <v>-0.54400000000000048</v>
      </c>
      <c r="H21" s="1">
        <f t="shared" si="5"/>
        <v>-11.913600000000022</v>
      </c>
      <c r="I21" s="1">
        <f t="shared" si="6"/>
        <v>479.61000000000087</v>
      </c>
      <c r="J21" s="1">
        <f t="shared" si="6"/>
        <v>0.29593600000000053</v>
      </c>
      <c r="K21" s="1">
        <f t="shared" si="0"/>
        <v>7.6757516164832351</v>
      </c>
      <c r="L21" s="1">
        <f t="shared" si="7"/>
        <v>3.056372410468986</v>
      </c>
      <c r="M21" s="1">
        <f t="shared" si="8"/>
        <v>1.450214169202743</v>
      </c>
      <c r="O21" s="6"/>
      <c r="P21" s="6" t="s">
        <v>53</v>
      </c>
      <c r="Q21" s="6">
        <f>Q27/Q29</f>
        <v>0.71443752101325575</v>
      </c>
    </row>
    <row r="22" spans="1:17" x14ac:dyDescent="0.25">
      <c r="A22" s="1">
        <v>21</v>
      </c>
      <c r="B22" s="13">
        <v>7.68</v>
      </c>
      <c r="C22" s="13">
        <v>72.099999999999994</v>
      </c>
      <c r="D22" s="1">
        <f t="shared" si="1"/>
        <v>9.4240000000000013</v>
      </c>
      <c r="E22" s="1">
        <f t="shared" si="2"/>
        <v>52.59999999999998</v>
      </c>
      <c r="F22" s="1">
        <f t="shared" si="3"/>
        <v>19.500000000000014</v>
      </c>
      <c r="G22" s="1">
        <f t="shared" si="4"/>
        <v>-1.7440000000000015</v>
      </c>
      <c r="H22" s="1">
        <f t="shared" si="5"/>
        <v>-34.008000000000052</v>
      </c>
      <c r="I22" s="1">
        <f t="shared" si="6"/>
        <v>380.25000000000057</v>
      </c>
      <c r="J22" s="1">
        <f t="shared" si="6"/>
        <v>3.0415360000000056</v>
      </c>
      <c r="K22" s="1">
        <f t="shared" si="0"/>
        <v>7.8673404804302782</v>
      </c>
      <c r="L22" s="1">
        <f t="shared" si="7"/>
        <v>2.4231888598670408</v>
      </c>
      <c r="M22" s="1">
        <f t="shared" si="8"/>
        <v>3.5096455607847563E-2</v>
      </c>
      <c r="O22" s="6"/>
      <c r="P22" s="6" t="s">
        <v>54</v>
      </c>
      <c r="Q22" s="6">
        <f>(Q29-Q28)/Q29</f>
        <v>0.71443752101325575</v>
      </c>
    </row>
    <row r="23" spans="1:17" x14ac:dyDescent="0.25">
      <c r="A23" s="1">
        <v>22</v>
      </c>
      <c r="B23" s="13">
        <v>8.4700000000000006</v>
      </c>
      <c r="C23" s="13">
        <v>58.1</v>
      </c>
      <c r="D23" s="1">
        <f t="shared" si="1"/>
        <v>9.4240000000000013</v>
      </c>
      <c r="E23" s="1">
        <f t="shared" si="2"/>
        <v>52.59999999999998</v>
      </c>
      <c r="F23" s="1">
        <f t="shared" si="3"/>
        <v>5.5000000000000213</v>
      </c>
      <c r="G23" s="1">
        <f t="shared" si="4"/>
        <v>-0.95400000000000063</v>
      </c>
      <c r="H23" s="1">
        <f t="shared" si="5"/>
        <v>-5.2470000000000239</v>
      </c>
      <c r="I23" s="1">
        <f t="shared" si="6"/>
        <v>30.250000000000234</v>
      </c>
      <c r="J23" s="1">
        <f t="shared" si="6"/>
        <v>0.91011600000000115</v>
      </c>
      <c r="K23" s="1">
        <f t="shared" si="0"/>
        <v>8.9849421867880253</v>
      </c>
      <c r="L23" s="1">
        <f t="shared" si="7"/>
        <v>0.19277176334248242</v>
      </c>
      <c r="M23" s="1">
        <f t="shared" si="8"/>
        <v>0.26516545573403283</v>
      </c>
      <c r="O23" s="6"/>
      <c r="P23" s="6" t="s">
        <v>55</v>
      </c>
      <c r="Q23" s="6">
        <f>1-(Q28/Q29)</f>
        <v>0.71443752101325564</v>
      </c>
    </row>
    <row r="24" spans="1:17" x14ac:dyDescent="0.25">
      <c r="A24" s="1">
        <v>23</v>
      </c>
      <c r="B24" s="13">
        <v>8.86</v>
      </c>
      <c r="C24" s="13">
        <v>44.6</v>
      </c>
      <c r="D24" s="1">
        <f t="shared" si="1"/>
        <v>9.4240000000000013</v>
      </c>
      <c r="E24" s="1">
        <f t="shared" si="2"/>
        <v>52.59999999999998</v>
      </c>
      <c r="F24" s="1">
        <f t="shared" si="3"/>
        <v>-7.9999999999999787</v>
      </c>
      <c r="G24" s="1">
        <f t="shared" si="4"/>
        <v>-0.56400000000000183</v>
      </c>
      <c r="H24" s="1">
        <f t="shared" si="5"/>
        <v>4.5120000000000022</v>
      </c>
      <c r="I24" s="1">
        <f t="shared" si="6"/>
        <v>63.999999999999659</v>
      </c>
      <c r="J24" s="1">
        <f t="shared" si="6"/>
        <v>0.31809600000000204</v>
      </c>
      <c r="K24" s="1">
        <f t="shared" si="0"/>
        <v>10.06262954649014</v>
      </c>
      <c r="L24" s="1">
        <f t="shared" si="7"/>
        <v>0.40784769765019979</v>
      </c>
      <c r="M24" s="1">
        <f t="shared" si="8"/>
        <v>1.4463178260910803</v>
      </c>
      <c r="O24" s="7" t="s">
        <v>70</v>
      </c>
      <c r="P24" s="6" t="s">
        <v>71</v>
      </c>
      <c r="Q24" s="6">
        <f>1-((Q2-1)/(Q2-Q3-1))*(1-Q20)</f>
        <v>0.70202176105731007</v>
      </c>
    </row>
    <row r="25" spans="1:17" x14ac:dyDescent="0.25">
      <c r="A25" s="1">
        <v>24</v>
      </c>
      <c r="B25" s="13">
        <v>10.36</v>
      </c>
      <c r="C25" s="13">
        <v>33.4</v>
      </c>
      <c r="D25" s="1">
        <f t="shared" si="1"/>
        <v>9.4240000000000013</v>
      </c>
      <c r="E25" s="1">
        <f t="shared" si="2"/>
        <v>52.59999999999998</v>
      </c>
      <c r="F25" s="1">
        <f t="shared" si="3"/>
        <v>-19.199999999999982</v>
      </c>
      <c r="G25" s="1">
        <f t="shared" si="4"/>
        <v>0.93599999999999817</v>
      </c>
      <c r="H25" s="1">
        <f t="shared" si="5"/>
        <v>-17.971199999999946</v>
      </c>
      <c r="I25" s="1">
        <f t="shared" si="6"/>
        <v>368.6399999999993</v>
      </c>
      <c r="J25" s="1">
        <f t="shared" si="6"/>
        <v>0.87609599999999654</v>
      </c>
      <c r="K25" s="1">
        <f t="shared" si="0"/>
        <v>10.956710911576339</v>
      </c>
      <c r="L25" s="1">
        <f t="shared" si="7"/>
        <v>2.3492027384651681</v>
      </c>
      <c r="M25" s="1">
        <f t="shared" si="8"/>
        <v>0.35606391199426618</v>
      </c>
      <c r="O25" s="6"/>
      <c r="P25" s="6" t="s">
        <v>72</v>
      </c>
      <c r="Q25" s="6">
        <f>1-((Q2-1)/(Q2-Q3-1))*(Q28/Q29)</f>
        <v>0.70202176105731029</v>
      </c>
    </row>
    <row r="26" spans="1:17" x14ac:dyDescent="0.25">
      <c r="A26" s="1">
        <v>25</v>
      </c>
      <c r="B26" s="13">
        <v>11.08</v>
      </c>
      <c r="C26" s="13">
        <v>28.6</v>
      </c>
      <c r="D26" s="1">
        <f t="shared" si="1"/>
        <v>9.4240000000000013</v>
      </c>
      <c r="E26" s="1">
        <f t="shared" si="2"/>
        <v>52.59999999999998</v>
      </c>
      <c r="F26" s="1">
        <f t="shared" si="3"/>
        <v>-23.999999999999979</v>
      </c>
      <c r="G26" s="1">
        <f t="shared" si="4"/>
        <v>1.6559999999999988</v>
      </c>
      <c r="H26" s="1">
        <f t="shared" si="5"/>
        <v>-39.743999999999936</v>
      </c>
      <c r="I26" s="1">
        <f t="shared" si="6"/>
        <v>575.99999999999898</v>
      </c>
      <c r="J26" s="1">
        <f t="shared" si="6"/>
        <v>2.7423359999999959</v>
      </c>
      <c r="K26" s="1">
        <f t="shared" si="0"/>
        <v>11.339888639470423</v>
      </c>
      <c r="L26" s="1">
        <f>(K26-D26)^2</f>
        <v>3.6706292788518255</v>
      </c>
      <c r="M26" s="1">
        <f t="shared" si="8"/>
        <v>6.7542104925787716E-2</v>
      </c>
      <c r="O26" s="18" t="s">
        <v>93</v>
      </c>
      <c r="P26" s="9"/>
      <c r="Q26" s="6"/>
    </row>
    <row r="27" spans="1:17" x14ac:dyDescent="0.25">
      <c r="A27" s="10" t="s">
        <v>35</v>
      </c>
      <c r="B27" s="10">
        <f>AVERAGE(B2:B26)</f>
        <v>9.4240000000000013</v>
      </c>
      <c r="C27" s="10">
        <f>AVERAGE(C2:C26)</f>
        <v>52.59999999999998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O27" s="7" t="s">
        <v>94</v>
      </c>
      <c r="P27" s="6" t="s">
        <v>47</v>
      </c>
      <c r="Q27" s="6">
        <f>L28</f>
        <v>45.592401953477726</v>
      </c>
    </row>
    <row r="28" spans="1:17" x14ac:dyDescent="0.25">
      <c r="A28" s="10" t="s">
        <v>36</v>
      </c>
      <c r="B28" s="10"/>
      <c r="C28" s="10"/>
      <c r="D28" s="10"/>
      <c r="E28" s="10"/>
      <c r="F28" s="10">
        <f>ROUND(SUM(F2:F26),5)</f>
        <v>0</v>
      </c>
      <c r="G28" s="10">
        <f t="shared" ref="G28" si="9">ROUND(SUM(G2:G26),5)</f>
        <v>0</v>
      </c>
      <c r="H28" s="10">
        <f>SUM(H2:H26)</f>
        <v>-571.12799999999993</v>
      </c>
      <c r="I28" s="10">
        <f t="shared" ref="I28:J28" si="10">SUM(I2:I26)</f>
        <v>7154.4199999999983</v>
      </c>
      <c r="J28" s="10">
        <f t="shared" si="10"/>
        <v>63.815800000000003</v>
      </c>
      <c r="K28" s="10"/>
      <c r="L28" s="10">
        <f>SUM(L2:L26)</f>
        <v>45.592401953477726</v>
      </c>
      <c r="M28" s="10">
        <f>SUM(M2:M26)</f>
        <v>18.223398046522277</v>
      </c>
      <c r="O28" s="7" t="s">
        <v>79</v>
      </c>
      <c r="P28" s="6" t="s">
        <v>48</v>
      </c>
      <c r="Q28" s="6">
        <f>M28</f>
        <v>18.223398046522277</v>
      </c>
    </row>
    <row r="29" spans="1:17" x14ac:dyDescent="0.25">
      <c r="O29" s="7" t="s">
        <v>46</v>
      </c>
      <c r="P29" s="6" t="s">
        <v>56</v>
      </c>
      <c r="Q29" s="6">
        <f>J28</f>
        <v>63.815800000000003</v>
      </c>
    </row>
    <row r="30" spans="1:17" x14ac:dyDescent="0.25">
      <c r="O30" s="6"/>
      <c r="P30" s="6" t="s">
        <v>57</v>
      </c>
      <c r="Q30" s="6">
        <f>SUM(Q27:Q28)</f>
        <v>63.815800000000003</v>
      </c>
    </row>
    <row r="31" spans="1:17" x14ac:dyDescent="0.25">
      <c r="A31" s="19" t="s">
        <v>102</v>
      </c>
      <c r="B31" s="19"/>
      <c r="C31" s="19"/>
      <c r="O31" s="7" t="s">
        <v>77</v>
      </c>
      <c r="P31" s="6" t="s">
        <v>81</v>
      </c>
      <c r="Q31" s="6">
        <f>Q27/Q5</f>
        <v>45.592401953477726</v>
      </c>
    </row>
    <row r="32" spans="1:17" x14ac:dyDescent="0.25">
      <c r="O32" s="7" t="s">
        <v>80</v>
      </c>
      <c r="P32" s="6" t="s">
        <v>82</v>
      </c>
      <c r="Q32" s="6">
        <f>Q28/Q6</f>
        <v>0.79232165419662071</v>
      </c>
    </row>
    <row r="33" spans="15:17" x14ac:dyDescent="0.25">
      <c r="O33" s="7" t="s">
        <v>95</v>
      </c>
      <c r="P33" s="6" t="s">
        <v>96</v>
      </c>
      <c r="Q33">
        <f>SQRT(Q32)</f>
        <v>0.89012451611930155</v>
      </c>
    </row>
    <row r="34" spans="15:17" x14ac:dyDescent="0.25">
      <c r="O34" s="7" t="s">
        <v>73</v>
      </c>
      <c r="P34" s="6" t="s">
        <v>83</v>
      </c>
      <c r="Q34" s="6">
        <f>Q31/Q32</f>
        <v>57.542794283095056</v>
      </c>
    </row>
    <row r="35" spans="15:17" x14ac:dyDescent="0.25">
      <c r="O35" s="16" t="s">
        <v>89</v>
      </c>
      <c r="P35" s="17" t="s">
        <v>90</v>
      </c>
      <c r="Q35" s="6">
        <v>4.2793000000000001</v>
      </c>
    </row>
    <row r="36" spans="15:17" x14ac:dyDescent="0.25">
      <c r="O36" s="20" t="s">
        <v>109</v>
      </c>
      <c r="P36" s="21" t="s">
        <v>105</v>
      </c>
      <c r="Q36">
        <v>1.1000000000000001E-7</v>
      </c>
    </row>
  </sheetData>
  <hyperlinks>
    <hyperlink ref="P35" r:id="rId1" location="FTable0.05"/>
    <hyperlink ref="P36" r:id="rId2"/>
    <hyperlink ref="P16" r:id="rId3"/>
    <hyperlink ref="P18" r:id="rId4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D6" sqref="D6"/>
    </sheetView>
  </sheetViews>
  <sheetFormatPr defaultRowHeight="15" x14ac:dyDescent="0.25"/>
  <cols>
    <col min="1" max="1" width="18" bestFit="1" customWidth="1"/>
  </cols>
  <sheetData>
    <row r="1" spans="1:9" x14ac:dyDescent="0.25">
      <c r="A1" t="s">
        <v>2</v>
      </c>
    </row>
    <row r="2" spans="1:9" ht="15.75" thickBot="1" x14ac:dyDescent="0.3"/>
    <row r="3" spans="1:9" x14ac:dyDescent="0.25">
      <c r="A3" s="5" t="s">
        <v>3</v>
      </c>
      <c r="B3" s="5"/>
    </row>
    <row r="4" spans="1:9" x14ac:dyDescent="0.25">
      <c r="A4" s="2" t="s">
        <v>4</v>
      </c>
      <c r="B4" s="2">
        <v>0.8452440600283776</v>
      </c>
    </row>
    <row r="5" spans="1:9" x14ac:dyDescent="0.25">
      <c r="A5" s="2" t="s">
        <v>5</v>
      </c>
      <c r="B5" s="2">
        <v>0.71443752101325564</v>
      </c>
    </row>
    <row r="6" spans="1:9" x14ac:dyDescent="0.25">
      <c r="A6" s="2" t="s">
        <v>6</v>
      </c>
      <c r="B6" s="2">
        <v>0.70202176105731018</v>
      </c>
    </row>
    <row r="7" spans="1:9" x14ac:dyDescent="0.25">
      <c r="A7" s="2" t="s">
        <v>7</v>
      </c>
      <c r="B7" s="2">
        <v>0.89012451611930177</v>
      </c>
    </row>
    <row r="8" spans="1:9" ht="15.75" thickBot="1" x14ac:dyDescent="0.3">
      <c r="A8" s="3" t="s">
        <v>8</v>
      </c>
      <c r="B8" s="3">
        <v>25</v>
      </c>
    </row>
    <row r="10" spans="1:9" ht="15.75" thickBot="1" x14ac:dyDescent="0.3">
      <c r="A10" t="s">
        <v>9</v>
      </c>
    </row>
    <row r="11" spans="1:9" x14ac:dyDescent="0.25">
      <c r="A11" s="4"/>
      <c r="B11" s="4" t="s">
        <v>14</v>
      </c>
      <c r="C11" s="4" t="s">
        <v>15</v>
      </c>
      <c r="D11" s="4" t="s">
        <v>16</v>
      </c>
      <c r="E11" s="4" t="s">
        <v>17</v>
      </c>
      <c r="F11" s="4" t="s">
        <v>18</v>
      </c>
    </row>
    <row r="12" spans="1:9" x14ac:dyDescent="0.25">
      <c r="A12" s="2" t="s">
        <v>10</v>
      </c>
      <c r="B12" s="2">
        <v>1</v>
      </c>
      <c r="C12" s="2">
        <v>45.592401953477719</v>
      </c>
      <c r="D12" s="2">
        <v>45.592401953477719</v>
      </c>
      <c r="E12" s="2">
        <v>57.542794283095027</v>
      </c>
      <c r="F12" s="2">
        <v>1.0549499473679464E-7</v>
      </c>
    </row>
    <row r="13" spans="1:9" x14ac:dyDescent="0.25">
      <c r="A13" s="2" t="s">
        <v>11</v>
      </c>
      <c r="B13" s="2">
        <v>23</v>
      </c>
      <c r="C13" s="2">
        <v>18.223398046522284</v>
      </c>
      <c r="D13" s="2">
        <v>0.79232165419662104</v>
      </c>
      <c r="E13" s="2"/>
      <c r="F13" s="2"/>
    </row>
    <row r="14" spans="1:9" ht="15.75" thickBot="1" x14ac:dyDescent="0.3">
      <c r="A14" s="3" t="s">
        <v>12</v>
      </c>
      <c r="B14" s="3">
        <v>24</v>
      </c>
      <c r="C14" s="3">
        <v>63.815800000000003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19</v>
      </c>
      <c r="C16" s="4" t="s">
        <v>7</v>
      </c>
      <c r="D16" s="4" t="s">
        <v>20</v>
      </c>
      <c r="E16" s="4" t="s">
        <v>21</v>
      </c>
      <c r="F16" s="4" t="s">
        <v>22</v>
      </c>
      <c r="G16" s="4" t="s">
        <v>23</v>
      </c>
      <c r="H16" s="4" t="s">
        <v>24</v>
      </c>
      <c r="I16" s="4" t="s">
        <v>25</v>
      </c>
    </row>
    <row r="17" spans="1:9" x14ac:dyDescent="0.25">
      <c r="A17" s="2" t="s">
        <v>13</v>
      </c>
      <c r="B17" s="2">
        <v>13.622989268172683</v>
      </c>
      <c r="C17" s="2">
        <v>0.58146349414777065</v>
      </c>
      <c r="D17" s="2">
        <v>23.428795453684309</v>
      </c>
      <c r="E17" s="2">
        <v>1.4967881877239587E-17</v>
      </c>
      <c r="F17" s="2">
        <v>12.420140385823045</v>
      </c>
      <c r="G17" s="2">
        <v>14.825838150522321</v>
      </c>
      <c r="H17" s="2">
        <v>12.420140385823045</v>
      </c>
      <c r="I17" s="2">
        <v>14.825838150522321</v>
      </c>
    </row>
    <row r="18" spans="1:9" ht="15.75" thickBot="1" x14ac:dyDescent="0.3">
      <c r="A18" s="3" t="s">
        <v>1</v>
      </c>
      <c r="B18" s="3">
        <v>-7.982869331126774E-2</v>
      </c>
      <c r="C18" s="3">
        <v>1.0523580966436094E-2</v>
      </c>
      <c r="D18" s="3">
        <v>-7.5856966906866923</v>
      </c>
      <c r="E18" s="3">
        <v>1.0549499473679427E-7</v>
      </c>
      <c r="F18" s="3">
        <v>-0.10159837916634681</v>
      </c>
      <c r="G18" s="3">
        <v>-5.8059007456188666E-2</v>
      </c>
      <c r="H18" s="3">
        <v>-0.10159837916634681</v>
      </c>
      <c r="I18" s="3">
        <v>-5.8059007456188666E-2</v>
      </c>
    </row>
    <row r="22" spans="1:9" x14ac:dyDescent="0.25">
      <c r="A22" t="s">
        <v>26</v>
      </c>
      <c r="F22" t="s">
        <v>31</v>
      </c>
    </row>
    <row r="23" spans="1:9" ht="15.75" thickBot="1" x14ac:dyDescent="0.3"/>
    <row r="24" spans="1:9" x14ac:dyDescent="0.25">
      <c r="A24" s="4" t="s">
        <v>27</v>
      </c>
      <c r="B24" s="4" t="s">
        <v>28</v>
      </c>
      <c r="C24" s="4" t="s">
        <v>29</v>
      </c>
      <c r="D24" s="4" t="s">
        <v>30</v>
      </c>
      <c r="F24" s="4" t="s">
        <v>32</v>
      </c>
      <c r="G24" s="4" t="s">
        <v>0</v>
      </c>
    </row>
    <row r="25" spans="1:9" x14ac:dyDescent="0.25">
      <c r="A25" s="2">
        <v>1</v>
      </c>
      <c r="B25" s="2">
        <v>10.805036394284931</v>
      </c>
      <c r="C25" s="2">
        <v>0.17496360571506919</v>
      </c>
      <c r="D25" s="2">
        <v>0.20078841912057521</v>
      </c>
      <c r="F25" s="2">
        <v>2</v>
      </c>
      <c r="G25" s="2">
        <v>6.36</v>
      </c>
    </row>
    <row r="26" spans="1:9" x14ac:dyDescent="0.25">
      <c r="A26" s="2">
        <v>2</v>
      </c>
      <c r="B26" s="2">
        <v>11.25207707682803</v>
      </c>
      <c r="C26" s="2">
        <v>-0.12207707682802926</v>
      </c>
      <c r="D26" s="2">
        <v>-0.14009578258851502</v>
      </c>
      <c r="F26" s="2">
        <v>6</v>
      </c>
      <c r="G26" s="2">
        <v>6.83</v>
      </c>
    </row>
    <row r="27" spans="1:9" x14ac:dyDescent="0.25">
      <c r="A27" s="2">
        <v>3</v>
      </c>
      <c r="B27" s="2">
        <v>11.164265514185637</v>
      </c>
      <c r="C27" s="2">
        <v>1.3457344858143632</v>
      </c>
      <c r="D27" s="2">
        <v>1.5443663204034768</v>
      </c>
      <c r="F27" s="2">
        <v>10</v>
      </c>
      <c r="G27" s="2">
        <v>7.68</v>
      </c>
    </row>
    <row r="28" spans="1:9" x14ac:dyDescent="0.25">
      <c r="A28" s="2">
        <v>4</v>
      </c>
      <c r="B28" s="2">
        <v>8.9290621014701408</v>
      </c>
      <c r="C28" s="2">
        <v>-0.52906210147014043</v>
      </c>
      <c r="D28" s="2">
        <v>-0.60715222766839416</v>
      </c>
      <c r="F28" s="2">
        <v>14</v>
      </c>
      <c r="G28" s="2">
        <v>7.82</v>
      </c>
    </row>
    <row r="29" spans="1:9" x14ac:dyDescent="0.25">
      <c r="A29" s="2">
        <v>5</v>
      </c>
      <c r="B29" s="2">
        <v>8.7215074988608432</v>
      </c>
      <c r="C29" s="2">
        <v>0.54849250113915637</v>
      </c>
      <c r="D29" s="2">
        <v>0.62945057489596645</v>
      </c>
      <c r="F29" s="2">
        <v>18</v>
      </c>
      <c r="G29" s="2">
        <v>8.11</v>
      </c>
    </row>
    <row r="30" spans="1:9" x14ac:dyDescent="0.25">
      <c r="A30" s="2">
        <v>6</v>
      </c>
      <c r="B30" s="2">
        <v>7.9312034350792935</v>
      </c>
      <c r="C30" s="2">
        <v>0.79879656492070694</v>
      </c>
      <c r="D30" s="2">
        <v>0.9166997834427959</v>
      </c>
      <c r="F30" s="2">
        <v>22</v>
      </c>
      <c r="G30" s="2">
        <v>8.24</v>
      </c>
    </row>
    <row r="31" spans="1:9" x14ac:dyDescent="0.25">
      <c r="A31" s="2">
        <v>7</v>
      </c>
      <c r="B31" s="2">
        <v>7.6837344858143624</v>
      </c>
      <c r="C31" s="2">
        <v>-1.323734485814362</v>
      </c>
      <c r="D31" s="2">
        <v>-1.5191190971160999</v>
      </c>
      <c r="F31" s="2">
        <v>26</v>
      </c>
      <c r="G31" s="2">
        <v>8.4</v>
      </c>
    </row>
    <row r="32" spans="1:9" x14ac:dyDescent="0.25">
      <c r="A32" s="2">
        <v>8</v>
      </c>
      <c r="B32" s="2">
        <v>7.5001284911984465</v>
      </c>
      <c r="C32" s="2">
        <v>0.99987150880155351</v>
      </c>
      <c r="D32" s="2">
        <v>1.1474536018817143</v>
      </c>
      <c r="F32" s="2">
        <v>30</v>
      </c>
      <c r="G32" s="2">
        <v>8.4700000000000006</v>
      </c>
    </row>
    <row r="33" spans="1:7" x14ac:dyDescent="0.25">
      <c r="A33" s="2">
        <v>9</v>
      </c>
      <c r="B33" s="2">
        <v>7.9791006510660534</v>
      </c>
      <c r="C33" s="2">
        <v>-0.15910065106605309</v>
      </c>
      <c r="D33" s="2">
        <v>-0.18258407557415618</v>
      </c>
      <c r="F33" s="2">
        <v>34</v>
      </c>
      <c r="G33" s="2">
        <v>8.5</v>
      </c>
    </row>
    <row r="34" spans="1:7" x14ac:dyDescent="0.25">
      <c r="A34" s="2">
        <v>10</v>
      </c>
      <c r="B34" s="2">
        <v>9.0328394027747869</v>
      </c>
      <c r="C34" s="2">
        <v>0.10716059722521365</v>
      </c>
      <c r="D34" s="2">
        <v>0.12297761480697567</v>
      </c>
      <c r="F34" s="2">
        <v>38</v>
      </c>
      <c r="G34" s="2">
        <v>8.73</v>
      </c>
    </row>
    <row r="35" spans="1:7" x14ac:dyDescent="0.25">
      <c r="A35" s="2">
        <v>11</v>
      </c>
      <c r="B35" s="2">
        <v>9.91893789852986</v>
      </c>
      <c r="C35" s="2">
        <v>-1.6789378985298598</v>
      </c>
      <c r="D35" s="2">
        <v>-1.9267509095372779</v>
      </c>
      <c r="F35" s="2">
        <v>42</v>
      </c>
      <c r="G35" s="2">
        <v>8.86</v>
      </c>
    </row>
    <row r="36" spans="1:7" x14ac:dyDescent="0.25">
      <c r="A36" s="2">
        <v>12</v>
      </c>
      <c r="B36" s="2">
        <v>11.315940031477044</v>
      </c>
      <c r="C36" s="2">
        <v>0.87405996852295509</v>
      </c>
      <c r="D36" s="2">
        <v>1.0030721450843327</v>
      </c>
      <c r="F36" s="2">
        <v>46</v>
      </c>
      <c r="G36" s="2">
        <v>8.8800000000000008</v>
      </c>
    </row>
    <row r="37" spans="1:7" x14ac:dyDescent="0.25">
      <c r="A37" s="2">
        <v>13</v>
      </c>
      <c r="B37" s="2">
        <v>11.379802986126059</v>
      </c>
      <c r="C37" s="2">
        <v>0.500197013873942</v>
      </c>
      <c r="D37" s="2">
        <v>0.5740266225888091</v>
      </c>
      <c r="F37" s="2">
        <v>50</v>
      </c>
      <c r="G37" s="2">
        <v>9.14</v>
      </c>
    </row>
    <row r="38" spans="1:7" x14ac:dyDescent="0.25">
      <c r="A38" s="2">
        <v>14</v>
      </c>
      <c r="B38" s="2">
        <v>10.501687359702114</v>
      </c>
      <c r="C38" s="2">
        <v>-0.93168735970211358</v>
      </c>
      <c r="D38" s="2">
        <v>-1.0692054002011118</v>
      </c>
      <c r="F38" s="2">
        <v>54</v>
      </c>
      <c r="G38" s="2">
        <v>9.27</v>
      </c>
    </row>
    <row r="39" spans="1:7" x14ac:dyDescent="0.25">
      <c r="A39" s="2">
        <v>15</v>
      </c>
      <c r="B39" s="2">
        <v>9.8870064212053528</v>
      </c>
      <c r="C39" s="2">
        <v>1.0529935787946467</v>
      </c>
      <c r="D39" s="2">
        <v>1.2084165456364053</v>
      </c>
      <c r="F39" s="2">
        <v>58</v>
      </c>
      <c r="G39" s="2">
        <v>9.57</v>
      </c>
    </row>
    <row r="40" spans="1:7" x14ac:dyDescent="0.25">
      <c r="A40" s="2">
        <v>16</v>
      </c>
      <c r="B40" s="2">
        <v>9.7512976425761977</v>
      </c>
      <c r="C40" s="2">
        <v>-0.17129764257619762</v>
      </c>
      <c r="D40" s="2">
        <v>-0.19658135594192164</v>
      </c>
      <c r="F40" s="2">
        <v>62</v>
      </c>
      <c r="G40" s="2">
        <v>9.58</v>
      </c>
    </row>
    <row r="41" spans="1:7" x14ac:dyDescent="0.25">
      <c r="A41" s="2">
        <v>17</v>
      </c>
      <c r="B41" s="2">
        <v>8.8891477548145055</v>
      </c>
      <c r="C41" s="2">
        <v>1.2008522451854944</v>
      </c>
      <c r="D41" s="2">
        <v>1.3780993076974632</v>
      </c>
      <c r="F41" s="2">
        <v>66</v>
      </c>
      <c r="G41" s="2">
        <v>10.09</v>
      </c>
    </row>
    <row r="42" spans="1:7" x14ac:dyDescent="0.25">
      <c r="A42" s="2">
        <v>18</v>
      </c>
      <c r="B42" s="2">
        <v>8.0349807363839414</v>
      </c>
      <c r="C42" s="2">
        <v>7.5019263616058041E-2</v>
      </c>
      <c r="D42" s="2">
        <v>8.6092186334958687E-2</v>
      </c>
      <c r="F42" s="2">
        <v>70</v>
      </c>
      <c r="G42" s="2">
        <v>10.36</v>
      </c>
    </row>
    <row r="43" spans="1:7" x14ac:dyDescent="0.25">
      <c r="A43" s="2">
        <v>19</v>
      </c>
      <c r="B43" s="2">
        <v>8.0349807363839414</v>
      </c>
      <c r="C43" s="2">
        <v>-1.2049807363839413</v>
      </c>
      <c r="D43" s="2">
        <v>-1.3828371685668792</v>
      </c>
      <c r="F43" s="2">
        <v>74</v>
      </c>
      <c r="G43" s="2">
        <v>10.94</v>
      </c>
    </row>
    <row r="44" spans="1:7" x14ac:dyDescent="0.25">
      <c r="A44" s="2">
        <v>20</v>
      </c>
      <c r="B44" s="2">
        <v>7.675751616483236</v>
      </c>
      <c r="C44" s="2">
        <v>1.2042483835167648</v>
      </c>
      <c r="D44" s="2">
        <v>1.3819967196412994</v>
      </c>
      <c r="F44" s="2">
        <v>78</v>
      </c>
      <c r="G44" s="2">
        <v>10.98</v>
      </c>
    </row>
    <row r="45" spans="1:7" x14ac:dyDescent="0.25">
      <c r="A45" s="2">
        <v>21</v>
      </c>
      <c r="B45" s="2">
        <v>7.8673404804302791</v>
      </c>
      <c r="C45" s="2">
        <v>-0.1873404804302794</v>
      </c>
      <c r="D45" s="2">
        <v>-0.21499213364488348</v>
      </c>
      <c r="F45" s="2">
        <v>82</v>
      </c>
      <c r="G45" s="2">
        <v>11.08</v>
      </c>
    </row>
    <row r="46" spans="1:7" x14ac:dyDescent="0.25">
      <c r="A46" s="2">
        <v>22</v>
      </c>
      <c r="B46" s="2">
        <v>8.984942186788027</v>
      </c>
      <c r="C46" s="2">
        <v>-0.51494218678802639</v>
      </c>
      <c r="D46" s="2">
        <v>-0.5909481986330295</v>
      </c>
      <c r="F46" s="2">
        <v>86</v>
      </c>
      <c r="G46" s="2">
        <v>11.13</v>
      </c>
    </row>
    <row r="47" spans="1:7" x14ac:dyDescent="0.25">
      <c r="A47" s="2">
        <v>23</v>
      </c>
      <c r="B47" s="2">
        <v>10.062629546490141</v>
      </c>
      <c r="C47" s="2">
        <v>-1.202629546490142</v>
      </c>
      <c r="D47" s="2">
        <v>-1.3801389405559805</v>
      </c>
      <c r="F47" s="2">
        <v>90</v>
      </c>
      <c r="G47" s="2">
        <v>11.88</v>
      </c>
    </row>
    <row r="48" spans="1:7" x14ac:dyDescent="0.25">
      <c r="A48" s="2">
        <v>24</v>
      </c>
      <c r="B48" s="2">
        <v>10.956710911576341</v>
      </c>
      <c r="C48" s="2">
        <v>-0.59671091157634137</v>
      </c>
      <c r="D48" s="2">
        <v>-0.68478607375369005</v>
      </c>
      <c r="F48" s="2">
        <v>94</v>
      </c>
      <c r="G48" s="2">
        <v>12.19</v>
      </c>
    </row>
    <row r="49" spans="1:7" ht="15.75" thickBot="1" x14ac:dyDescent="0.3">
      <c r="A49" s="3">
        <v>25</v>
      </c>
      <c r="B49" s="3">
        <v>11.339888639470425</v>
      </c>
      <c r="C49" s="3">
        <v>-0.25988863947042518</v>
      </c>
      <c r="D49" s="3">
        <v>-0.29824847775281893</v>
      </c>
      <c r="F49" s="3">
        <v>98</v>
      </c>
      <c r="G49" s="3">
        <v>12.51</v>
      </c>
    </row>
  </sheetData>
  <sortState ref="G25:G49">
    <sortCondition ref="G25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 Regression by Hand</vt:lpstr>
      <vt:lpstr>Linear Regression in Excel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2019-04-18T06:04:28Z</dcterms:modified>
</cp:coreProperties>
</file>