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edule" sheetId="1" state="visible" r:id="rId2"/>
    <sheet name="AMT" sheetId="2" state="visible" r:id="rId3"/>
    <sheet name="ISO" sheetId="3" state="visible" r:id="rId4"/>
    <sheet name="Scenarios" sheetId="4" state="visible" r:id="rId5"/>
    <sheet name="NQSO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<sst xmlns="http://schemas.openxmlformats.org/spreadsheetml/2006/main" count="341" uniqueCount="120">
  <si>
    <t xml:space="preserve">STOCK PRICE</t>
  </si>
  <si>
    <t xml:space="preserve">MONTHLY AWARDS</t>
  </si>
  <si>
    <t xml:space="preserve">Strategies</t>
  </si>
  <si>
    <t xml:space="preserve">Grant Name</t>
  </si>
  <si>
    <t xml:space="preserve">Shares</t>
  </si>
  <si>
    <t xml:space="preserve">$$$</t>
  </si>
  <si>
    <t xml:space="preserve">First Award</t>
  </si>
  <si>
    <t xml:space="preserve">Last Award</t>
  </si>
  <si>
    <t xml:space="preserve">- Sell RSUs immediately. Already taxed as income</t>
  </si>
  <si>
    <t xml:space="preserve">Dec 13 2018</t>
  </si>
  <si>
    <t xml:space="preserve">- Hold onto options until 2023 &amp;&amp; Long-Term, then sell</t>
  </si>
  <si>
    <t xml:space="preserve">May 17 2019</t>
  </si>
  <si>
    <t xml:space="preserve">- Utilize ESPP and hold for long-term</t>
  </si>
  <si>
    <t xml:space="preserve">March 3 2020</t>
  </si>
  <si>
    <t xml:space="preserve">- Don't exceed WA capital gain threshold of $250K</t>
  </si>
  <si>
    <t xml:space="preserve">Feb 17 2021*</t>
  </si>
  <si>
    <t xml:space="preserve">- Exercise ASAP; AMT now + LT is better than ST later</t>
  </si>
  <si>
    <t xml:space="preserve">SUM</t>
  </si>
  <si>
    <t xml:space="preserve">Annual</t>
  </si>
  <si>
    <t xml:space="preserve">DATE TO USE</t>
  </si>
  <si>
    <t xml:space="preserve">SCHEDULE</t>
  </si>
  <si>
    <t xml:space="preserve">SHARES</t>
  </si>
  <si>
    <t xml:space="preserve">TAX</t>
  </si>
  <si>
    <t xml:space="preserve">NET</t>
  </si>
  <si>
    <t xml:space="preserve">Jan 1, 2022: Exercise options up to AMT budget</t>
  </si>
  <si>
    <t xml:space="preserve">First: Sell (LT) exercised options</t>
  </si>
  <si>
    <t xml:space="preserve">First: Sell RSU Grant</t>
  </si>
  <si>
    <t xml:space="preserve">Window Post June 10, 2022: Sell RSU Grant</t>
  </si>
  <si>
    <t xml:space="preserve">Window Post Sept 10, 2022: Sell RSU Grant</t>
  </si>
  <si>
    <t xml:space="preserve">Window Post Dec 10, 2022: Sell RSU Grant</t>
  </si>
  <si>
    <t xml:space="preserve">Jan 1, 2023: Exercise options up to AMT budget</t>
  </si>
  <si>
    <t xml:space="preserve">Window Post Jan 01 2023: Sell (LT) exercised options</t>
  </si>
  <si>
    <t xml:space="preserve">Window Post Mar 10, 2023: Sell RSU Grant</t>
  </si>
  <si>
    <t xml:space="preserve">Window Post Jun 10, 2023: Sell RSU Grant</t>
  </si>
  <si>
    <t xml:space="preserve">Window Post Sept 10, 2023: Sell RSU Grant</t>
  </si>
  <si>
    <t xml:space="preserve">Window Post Dec 10, 2023: Sell RSU Grant</t>
  </si>
  <si>
    <t xml:space="preserve">Jan 1, 2024: Exercise options up to AMT budget</t>
  </si>
  <si>
    <t xml:space="preserve">Window Post Jan 01 2024: Sell (LT) exercised options</t>
  </si>
  <si>
    <t xml:space="preserve">Window Post Mar 10, 2024: Sell RSU Grant</t>
  </si>
  <si>
    <t xml:space="preserve">Jan 1, 2025: Exercise options up to AMT budget</t>
  </si>
  <si>
    <t xml:space="preserve">Window Post Jan 01 2025: Sell (LT) exercised options</t>
  </si>
  <si>
    <t xml:space="preserve">SUMMATION</t>
  </si>
  <si>
    <t xml:space="preserve">Options Left</t>
  </si>
  <si>
    <t xml:space="preserve">Worth</t>
  </si>
  <si>
    <t xml:space="preserve">Std Deduct</t>
  </si>
  <si>
    <t xml:space="preserve">ORDINARY</t>
  </si>
  <si>
    <t xml:space="preserve">AMT Exemption</t>
  </si>
  <si>
    <t xml:space="preserve">Rate</t>
  </si>
  <si>
    <t xml:space="preserve">Singles</t>
  </si>
  <si>
    <t xml:space="preserve">Pay</t>
  </si>
  <si>
    <t xml:space="preserve">Threshold</t>
  </si>
  <si>
    <t xml:space="preserve">10%</t>
  </si>
  <si>
    <t xml:space="preserve">Wages</t>
  </si>
  <si>
    <t xml:space="preserve">Phaseout Rate</t>
  </si>
  <si>
    <t xml:space="preserve">12%</t>
  </si>
  <si>
    <t xml:space="preserve">LT Gains</t>
  </si>
  <si>
    <t xml:space="preserve">April Exercise</t>
  </si>
  <si>
    <t xml:space="preserve">22%</t>
  </si>
  <si>
    <t xml:space="preserve">AGI</t>
  </si>
  <si>
    <t xml:space="preserve">Orig Shares</t>
  </si>
  <si>
    <t xml:space="preserve">Inflation</t>
  </si>
  <si>
    <t xml:space="preserve">24%</t>
  </si>
  <si>
    <t xml:space="preserve">Taxable</t>
  </si>
  <si>
    <t xml:space="preserve">32%</t>
  </si>
  <si>
    <t xml:space="preserve">Ordinary</t>
  </si>
  <si>
    <t xml:space="preserve">Cost</t>
  </si>
  <si>
    <t xml:space="preserve">35%</t>
  </si>
  <si>
    <t xml:space="preserve">Invest Tax</t>
  </si>
  <si>
    <t xml:space="preserve">FMV</t>
  </si>
  <si>
    <t xml:space="preserve">37%</t>
  </si>
  <si>
    <t xml:space="preserve">&gt;</t>
  </si>
  <si>
    <t xml:space="preserve">LONG-TERM CAPITAL GAINS</t>
  </si>
  <si>
    <t xml:space="preserve">Benefit</t>
  </si>
  <si>
    <t xml:space="preserve">AMTI</t>
  </si>
  <si>
    <t xml:space="preserve">Phased</t>
  </si>
  <si>
    <t xml:space="preserve">MEDICARE SURTAX</t>
  </si>
  <si>
    <t xml:space="preserve">FAMTI</t>
  </si>
  <si>
    <t xml:space="preserve">AMT</t>
  </si>
  <si>
    <t xml:space="preserve">Budget</t>
  </si>
  <si>
    <t xml:space="preserve">26%</t>
  </si>
  <si>
    <t xml:space="preserve">Shares to exercise</t>
  </si>
  <si>
    <t xml:space="preserve">28%</t>
  </si>
  <si>
    <t xml:space="preserve">GRANTS</t>
  </si>
  <si>
    <t xml:space="preserve">PURCHASES</t>
  </si>
  <si>
    <t xml:space="preserve">GRANT DATE</t>
  </si>
  <si>
    <t xml:space="preserve">PRICE</t>
  </si>
  <si>
    <t xml:space="preserve">VESTING</t>
  </si>
  <si>
    <t xml:space="preserve">MO</t>
  </si>
  <si>
    <t xml:space="preserve"># VESTED</t>
  </si>
  <si>
    <t xml:space="preserve"># OWNED</t>
  </si>
  <si>
    <t xml:space="preserve">PER MO</t>
  </si>
  <si>
    <t xml:space="preserve">COMPLETE</t>
  </si>
  <si>
    <t xml:space="preserve">EXERCISED</t>
  </si>
  <si>
    <t xml:space="preserve">COST</t>
  </si>
  <si>
    <t xml:space="preserve">VALUE</t>
  </si>
  <si>
    <t xml:space="preserve">L-T DATE</t>
  </si>
  <si>
    <t xml:space="preserve">25% @ 1yr -&gt; 1/48/mo</t>
  </si>
  <si>
    <t xml:space="preserve">35% now -&gt; 1/36/mo</t>
  </si>
  <si>
    <t xml:space="preserve">50% @ open, 1/36/mo</t>
  </si>
  <si>
    <t xml:space="preserve">UNREALIZED GAINS</t>
  </si>
  <si>
    <t xml:space="preserve">Vesting/Month</t>
  </si>
  <si>
    <t xml:space="preserve">ESTIMATED TAX OWED</t>
  </si>
  <si>
    <t xml:space="preserve">Day</t>
  </si>
  <si>
    <t xml:space="preserve">TAKEAWAY</t>
  </si>
  <si>
    <t xml:space="preserve">UNEXERCISED VALUE (65%)</t>
  </si>
  <si>
    <t xml:space="preserve">ST Gains</t>
  </si>
  <si>
    <t xml:space="preserve">Total Income</t>
  </si>
  <si>
    <t xml:space="preserve">IPO Date</t>
  </si>
  <si>
    <t xml:space="preserve">Lock Out Days</t>
  </si>
  <si>
    <t xml:space="preserve">AMT Income</t>
  </si>
  <si>
    <t xml:space="preserve">Open Date</t>
  </si>
  <si>
    <t xml:space="preserve">Phased Out</t>
  </si>
  <si>
    <t xml:space="preserve">Income</t>
  </si>
  <si>
    <t xml:space="preserve">LONG-TERM CAPITAL</t>
  </si>
  <si>
    <t xml:space="preserve">ISO?</t>
  </si>
  <si>
    <t xml:space="preserve">YR</t>
  </si>
  <si>
    <t xml:space="preserve">%</t>
  </si>
  <si>
    <t xml:space="preserve">FULL VEST DATE</t>
  </si>
  <si>
    <t xml:space="preserve">N/A</t>
  </si>
  <si>
    <t xml:space="preserve">UNVESTED VALUE</t>
  </si>
</sst>
</file>

<file path=xl/styles.xml><?xml version="1.0" encoding="utf-8"?>
<styleSheet xmlns="http://schemas.openxmlformats.org/spreadsheetml/2006/main">
  <numFmts count="20">
    <numFmt numFmtId="164" formatCode="General"/>
    <numFmt numFmtId="165" formatCode="@"/>
    <numFmt numFmtId="166" formatCode="[$$-409]#,##0;\-[$$-409]#,##0"/>
    <numFmt numFmtId="167" formatCode="MM/DD/YY"/>
    <numFmt numFmtId="168" formatCode="#,##0"/>
    <numFmt numFmtId="169" formatCode="[$$-409]#,##0;[RED]\-[$$-409]#,##0"/>
    <numFmt numFmtId="170" formatCode="0.00%"/>
    <numFmt numFmtId="171" formatCode="[$$-409]#,##0.00;[RED]\-[$$-409]#,##0.00"/>
    <numFmt numFmtId="172" formatCode="0%"/>
    <numFmt numFmtId="173" formatCode="0.0%"/>
    <numFmt numFmtId="174" formatCode="0.000"/>
    <numFmt numFmtId="175" formatCode="DD\-MMM\-YYYY"/>
    <numFmt numFmtId="176" formatCode="\$#,##0.0000"/>
    <numFmt numFmtId="177" formatCode="#,##0.0"/>
    <numFmt numFmtId="178" formatCode="0.0"/>
    <numFmt numFmtId="179" formatCode="0.00"/>
    <numFmt numFmtId="180" formatCode="#,##0.00"/>
    <numFmt numFmtId="181" formatCode="0.0000%"/>
    <numFmt numFmtId="182" formatCode="0.0000"/>
    <numFmt numFmtId="183" formatCode="0"/>
  </numFmts>
  <fonts count="2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Arial"/>
      <family val="0"/>
      <charset val="1"/>
    </font>
    <font>
      <sz val="14"/>
      <color rgb="FF000000"/>
      <name val="Arial"/>
      <family val="0"/>
      <charset val="1"/>
    </font>
    <font>
      <sz val="14"/>
      <name val="Arial"/>
      <family val="0"/>
      <charset val="1"/>
    </font>
    <font>
      <b val="true"/>
      <sz val="10"/>
      <name val="Arial"/>
      <family val="0"/>
      <charset val="1"/>
    </font>
    <font>
      <b val="true"/>
      <i val="true"/>
      <sz val="10"/>
      <color rgb="FF21409A"/>
      <name val="Arial"/>
      <family val="0"/>
      <charset val="1"/>
    </font>
    <font>
      <b val="true"/>
      <sz val="10"/>
      <color rgb="FF009353"/>
      <name val="Arial"/>
      <family val="0"/>
      <charset val="1"/>
    </font>
    <font>
      <b val="true"/>
      <sz val="10"/>
      <color rgb="FF00A65D"/>
      <name val="Arial"/>
      <family val="0"/>
      <charset val="1"/>
    </font>
    <font>
      <b val="true"/>
      <sz val="14"/>
      <name val="Arial"/>
      <family val="0"/>
      <charset val="1"/>
    </font>
    <font>
      <b val="true"/>
      <sz val="18"/>
      <color rgb="FF000000"/>
      <name val="Arial"/>
      <family val="0"/>
      <charset val="1"/>
    </font>
    <font>
      <b val="true"/>
      <sz val="18"/>
      <color rgb="FF006C3B"/>
      <name val="Arial"/>
      <family val="0"/>
      <charset val="1"/>
    </font>
    <font>
      <b val="true"/>
      <sz val="16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21409A"/>
      <name val="Arial"/>
      <family val="2"/>
      <charset val="1"/>
    </font>
    <font>
      <b val="true"/>
      <sz val="12"/>
      <color rgb="FFBA131A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8"/>
      <color rgb="FF006C3B"/>
      <name val="Arial"/>
      <family val="2"/>
      <charset val="1"/>
    </font>
    <font>
      <b val="true"/>
      <i val="true"/>
      <sz val="12"/>
      <color rgb="FF512480"/>
      <name val="Arial"/>
      <family val="2"/>
      <charset val="1"/>
    </font>
    <font>
      <sz val="10"/>
      <color rgb="FF999999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999999"/>
        <bgColor rgb="FF80808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2" fontId="0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0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1" fontId="0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1" fontId="0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0" borderId="1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3" fillId="0" borderId="1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3" fillId="0" borderId="1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2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6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2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6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16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16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6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6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7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16" fillId="0" borderId="2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2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16" fillId="0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6" fillId="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8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18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8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18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8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18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8" fillId="2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0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8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18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8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8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1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3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4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1" fontId="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73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6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2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8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18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8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C3B"/>
      <rgbColor rgb="FF000080"/>
      <rgbColor rgb="FF808000"/>
      <rgbColor rgb="FF800080"/>
      <rgbColor rgb="FF009353"/>
      <rgbColor rgb="FFC0C0C0"/>
      <rgbColor rgb="FF808080"/>
      <rgbColor rgb="FF9999FF"/>
      <rgbColor rgb="FF993366"/>
      <rgbColor rgb="FFFFFFCC"/>
      <rgbColor rgb="FFCCFFFF"/>
      <rgbColor rgb="FF512480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00A65D"/>
      <rgbColor rgb="FF003300"/>
      <rgbColor rgb="FF333300"/>
      <rgbColor rgb="FFBA131A"/>
      <rgbColor rgb="FF993366"/>
      <rgbColor rgb="FF21409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45" activeCellId="0" sqref="G45"/>
    </sheetView>
  </sheetViews>
  <sheetFormatPr defaultRowHeight="12.8" zeroHeight="false" outlineLevelRow="0" outlineLevelCol="0"/>
  <cols>
    <col collapsed="false" customWidth="true" hidden="false" outlineLevel="0" max="1" min="1" style="0" width="13.63"/>
    <col collapsed="false" customWidth="true" hidden="false" outlineLevel="0" max="2" min="2" style="0" width="8.66"/>
    <col collapsed="false" customWidth="true" hidden="false" outlineLevel="0" max="3" min="3" style="0" width="7.15"/>
    <col collapsed="false" customWidth="true" hidden="false" outlineLevel="0" max="4" min="4" style="0" width="11.43"/>
    <col collapsed="false" customWidth="true" hidden="false" outlineLevel="0" max="5" min="5" style="0" width="11.32"/>
    <col collapsed="false" customWidth="true" hidden="false" outlineLevel="0" max="6" min="6" style="0" width="3.37"/>
    <col collapsed="false" customWidth="false" hidden="false" outlineLevel="0" max="10" min="7" style="0" width="11.52"/>
    <col collapsed="false" customWidth="true" hidden="false" outlineLevel="0" max="11" min="11" style="0" width="7.73"/>
    <col collapsed="false" customWidth="false" hidden="false" outlineLevel="0" max="1025" min="12" style="0" width="11.52"/>
  </cols>
  <sheetData>
    <row r="1" customFormat="false" ht="25.6" hidden="false" customHeight="true" outlineLevel="0" collapsed="false">
      <c r="A1" s="1" t="n">
        <v>9</v>
      </c>
      <c r="B1" s="1"/>
      <c r="C1" s="2" t="s">
        <v>0</v>
      </c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="6" customFormat="true" ht="16.25" hidden="false" customHeight="true" outlineLevel="0" collapsed="false">
      <c r="A2" s="4" t="s">
        <v>1</v>
      </c>
      <c r="B2" s="4"/>
      <c r="C2" s="4"/>
      <c r="D2" s="4"/>
      <c r="E2" s="4"/>
      <c r="F2" s="5"/>
      <c r="G2" s="4" t="s">
        <v>2</v>
      </c>
      <c r="H2" s="4"/>
      <c r="I2" s="4"/>
      <c r="J2" s="4"/>
      <c r="K2" s="5"/>
      <c r="L2" s="5"/>
      <c r="M2" s="5"/>
      <c r="N2" s="5"/>
      <c r="O2" s="5"/>
      <c r="P2" s="5"/>
      <c r="Q2" s="5"/>
      <c r="R2" s="5"/>
      <c r="S2" s="5"/>
    </row>
    <row r="3" customFormat="false" ht="12.8" hidden="false" customHeight="false" outlineLevel="0" collapsed="false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G3" s="8" t="s">
        <v>8</v>
      </c>
      <c r="H3" s="8"/>
      <c r="I3" s="8"/>
      <c r="J3" s="8"/>
    </row>
    <row r="4" customFormat="false" ht="12.8" hidden="false" customHeight="false" outlineLevel="0" collapsed="false">
      <c r="A4" s="9" t="s">
        <v>9</v>
      </c>
      <c r="B4" s="0" t="n">
        <f aca="false">IF($B$11&lt;E4, 203, 0)</f>
        <v>203</v>
      </c>
      <c r="C4" s="10" t="n">
        <f aca="false">B4*$A$1</f>
        <v>1827</v>
      </c>
      <c r="D4" s="11" t="n">
        <v>43831</v>
      </c>
      <c r="E4" s="11" t="n">
        <v>44543</v>
      </c>
      <c r="G4" s="8" t="s">
        <v>10</v>
      </c>
      <c r="H4" s="8"/>
      <c r="I4" s="8"/>
      <c r="J4" s="8"/>
    </row>
    <row r="5" customFormat="false" ht="12.8" hidden="false" customHeight="false" outlineLevel="0" collapsed="false">
      <c r="A5" s="12" t="s">
        <v>11</v>
      </c>
      <c r="B5" s="0" t="n">
        <f aca="false">IF($B$11&lt;E5, 73, 0)</f>
        <v>73</v>
      </c>
      <c r="C5" s="10" t="n">
        <f aca="false">B5*$A$1</f>
        <v>657</v>
      </c>
      <c r="D5" s="11" t="n">
        <v>43831</v>
      </c>
      <c r="E5" s="11" t="n">
        <v>45063</v>
      </c>
      <c r="G5" s="8" t="s">
        <v>12</v>
      </c>
      <c r="H5" s="8"/>
      <c r="I5" s="8"/>
      <c r="J5" s="8"/>
    </row>
    <row r="6" customFormat="false" ht="12.8" hidden="false" customHeight="false" outlineLevel="0" collapsed="false">
      <c r="A6" s="12" t="s">
        <v>13</v>
      </c>
      <c r="B6" s="0" t="n">
        <f aca="false">IF($B$11&lt;E6, 264, 0)</f>
        <v>264</v>
      </c>
      <c r="C6" s="10" t="n">
        <f aca="false">B6*$A$1</f>
        <v>2376</v>
      </c>
      <c r="D6" s="11" t="n">
        <v>43831</v>
      </c>
      <c r="E6" s="11" t="n">
        <v>45230</v>
      </c>
      <c r="G6" s="8" t="s">
        <v>14</v>
      </c>
      <c r="H6" s="8"/>
      <c r="I6" s="8"/>
      <c r="J6" s="8"/>
    </row>
    <row r="7" customFormat="false" ht="12.8" hidden="false" customHeight="false" outlineLevel="0" collapsed="false">
      <c r="A7" s="12" t="s">
        <v>15</v>
      </c>
      <c r="B7" s="0" t="n">
        <f aca="false">IF($B$11&lt;E7, IF($B$11&gt;=D7, 1881/3, 0),0)</f>
        <v>0</v>
      </c>
      <c r="C7" s="10" t="n">
        <f aca="false">B7*$A$1</f>
        <v>0</v>
      </c>
      <c r="D7" s="11" t="n">
        <v>44722</v>
      </c>
      <c r="E7" s="11" t="n">
        <v>45361</v>
      </c>
      <c r="G7" s="8" t="s">
        <v>16</v>
      </c>
      <c r="H7" s="8"/>
      <c r="I7" s="8"/>
      <c r="J7" s="8"/>
    </row>
    <row r="8" customFormat="false" ht="12.8" hidden="false" customHeight="false" outlineLevel="0" collapsed="false">
      <c r="C8" s="10"/>
    </row>
    <row r="9" customFormat="false" ht="12.8" hidden="false" customHeight="false" outlineLevel="0" collapsed="false">
      <c r="C9" s="10"/>
    </row>
    <row r="10" customFormat="false" ht="12.8" hidden="false" customHeight="false" outlineLevel="0" collapsed="false">
      <c r="A10" s="13" t="s">
        <v>17</v>
      </c>
      <c r="B10" s="14" t="n">
        <f aca="false">SUM(B4:B7)</f>
        <v>540</v>
      </c>
      <c r="C10" s="15" t="n">
        <f aca="false">SUM(C4:C7)</f>
        <v>4860</v>
      </c>
      <c r="D10" s="13" t="s">
        <v>18</v>
      </c>
      <c r="E10" s="16" t="n">
        <f aca="false">C10*12</f>
        <v>58320</v>
      </c>
    </row>
    <row r="11" customFormat="false" ht="12.8" hidden="false" customHeight="false" outlineLevel="0" collapsed="false">
      <c r="A11" s="17" t="s">
        <v>19</v>
      </c>
      <c r="B11" s="18" t="n">
        <f aca="true">TODAY()</f>
        <v>44538</v>
      </c>
    </row>
    <row r="14" customFormat="false" ht="12.8" hidden="false" customHeight="false" outlineLevel="0" collapsed="false">
      <c r="A14" s="19" t="s">
        <v>20</v>
      </c>
      <c r="B14" s="19"/>
      <c r="C14" s="19"/>
      <c r="D14" s="19"/>
      <c r="E14" s="19"/>
      <c r="F14" s="19"/>
      <c r="G14" s="7" t="s">
        <v>21</v>
      </c>
      <c r="H14" s="7" t="s">
        <v>5</v>
      </c>
      <c r="I14" s="7" t="s">
        <v>22</v>
      </c>
      <c r="J14" s="7" t="s">
        <v>23</v>
      </c>
    </row>
    <row r="15" customFormat="false" ht="12.8" hidden="false" customHeight="false" outlineLevel="0" collapsed="false">
      <c r="A15" s="8" t="s">
        <v>24</v>
      </c>
      <c r="B15" s="8"/>
      <c r="C15" s="8"/>
      <c r="D15" s="8"/>
      <c r="E15" s="8"/>
      <c r="F15" s="8"/>
      <c r="G15" s="20"/>
    </row>
    <row r="16" customFormat="false" ht="12.8" hidden="false" customHeight="false" outlineLevel="0" collapsed="false">
      <c r="A16" s="8" t="s">
        <v>25</v>
      </c>
      <c r="B16" s="8"/>
      <c r="C16" s="8"/>
      <c r="D16" s="8"/>
      <c r="E16" s="8"/>
      <c r="F16" s="8"/>
      <c r="G16" s="20" t="n">
        <v>14241</v>
      </c>
      <c r="H16" s="21" t="n">
        <f aca="false">G16*$A$1</f>
        <v>128169</v>
      </c>
      <c r="I16" s="21" t="n">
        <f aca="false">H16*0.15</f>
        <v>19225.35</v>
      </c>
      <c r="J16" s="21" t="n">
        <f aca="false">H16-I16</f>
        <v>108943.65</v>
      </c>
    </row>
    <row r="17" customFormat="false" ht="12.8" hidden="false" customHeight="false" outlineLevel="0" collapsed="false">
      <c r="A17" s="22" t="s">
        <v>26</v>
      </c>
      <c r="B17" s="23"/>
      <c r="C17" s="23"/>
      <c r="D17" s="23"/>
      <c r="E17" s="23"/>
      <c r="F17" s="23"/>
      <c r="G17" s="20" t="n">
        <v>15048</v>
      </c>
      <c r="H17" s="21" t="n">
        <f aca="false">G17*$A$1</f>
        <v>135432</v>
      </c>
      <c r="I17" s="21" t="n">
        <f aca="false">H17*0.35</f>
        <v>47401.2</v>
      </c>
      <c r="J17" s="21" t="n">
        <f aca="false">H17-I17</f>
        <v>88030.8</v>
      </c>
    </row>
    <row r="18" customFormat="false" ht="12.8" hidden="false" customHeight="false" outlineLevel="0" collapsed="false">
      <c r="A18" s="8" t="s">
        <v>27</v>
      </c>
      <c r="B18" s="8"/>
      <c r="C18" s="8"/>
      <c r="D18" s="8"/>
      <c r="E18" s="8"/>
      <c r="F18" s="8"/>
      <c r="G18" s="20" t="n">
        <v>1880</v>
      </c>
      <c r="H18" s="21" t="n">
        <f aca="false">G18*$A$1</f>
        <v>16920</v>
      </c>
      <c r="I18" s="21" t="n">
        <f aca="false">H18*0.35</f>
        <v>5922</v>
      </c>
      <c r="J18" s="21" t="n">
        <f aca="false">H18-I18</f>
        <v>10998</v>
      </c>
    </row>
    <row r="19" customFormat="false" ht="12.8" hidden="false" customHeight="false" outlineLevel="0" collapsed="false">
      <c r="A19" s="8" t="s">
        <v>28</v>
      </c>
      <c r="B19" s="8"/>
      <c r="C19" s="8"/>
      <c r="D19" s="8"/>
      <c r="E19" s="8"/>
      <c r="F19" s="8"/>
      <c r="G19" s="20" t="n">
        <v>1881</v>
      </c>
      <c r="H19" s="21" t="n">
        <f aca="false">G19*$A$1</f>
        <v>16929</v>
      </c>
      <c r="I19" s="21" t="n">
        <f aca="false">H19*0.35</f>
        <v>5925.15</v>
      </c>
      <c r="J19" s="21" t="n">
        <f aca="false">H19-I19</f>
        <v>11003.85</v>
      </c>
    </row>
    <row r="20" customFormat="false" ht="12.8" hidden="false" customHeight="false" outlineLevel="0" collapsed="false">
      <c r="A20" s="8" t="s">
        <v>29</v>
      </c>
      <c r="B20" s="8"/>
      <c r="C20" s="8"/>
      <c r="D20" s="8"/>
      <c r="E20" s="8"/>
      <c r="F20" s="8"/>
      <c r="G20" s="20" t="n">
        <v>1881</v>
      </c>
      <c r="H20" s="21" t="n">
        <f aca="false">G20*$A$1</f>
        <v>16929</v>
      </c>
      <c r="I20" s="21" t="n">
        <f aca="false">H20*0.35</f>
        <v>5925.15</v>
      </c>
      <c r="J20" s="21" t="n">
        <f aca="false">H20-I20</f>
        <v>11003.85</v>
      </c>
    </row>
    <row r="21" customFormat="false" ht="12.8" hidden="false" customHeight="false" outlineLevel="0" collapsed="false">
      <c r="A21" s="8"/>
      <c r="B21" s="8"/>
      <c r="C21" s="8"/>
      <c r="D21" s="8"/>
      <c r="E21" s="8"/>
      <c r="F21" s="8"/>
      <c r="G21" s="20"/>
      <c r="H21" s="21"/>
      <c r="I21" s="21"/>
      <c r="J21" s="21"/>
    </row>
    <row r="22" customFormat="false" ht="12.8" hidden="false" customHeight="false" outlineLevel="0" collapsed="false">
      <c r="A22" s="8" t="s">
        <v>30</v>
      </c>
      <c r="B22" s="8"/>
      <c r="C22" s="8"/>
      <c r="D22" s="8"/>
      <c r="E22" s="8"/>
      <c r="F22" s="8"/>
      <c r="G22" s="20"/>
      <c r="H22" s="21"/>
      <c r="I22" s="21"/>
      <c r="J22" s="21"/>
    </row>
    <row r="23" customFormat="false" ht="12.8" hidden="false" customHeight="false" outlineLevel="0" collapsed="false">
      <c r="A23" s="8" t="s">
        <v>31</v>
      </c>
      <c r="B23" s="8"/>
      <c r="C23" s="8"/>
      <c r="D23" s="8"/>
      <c r="E23" s="8"/>
      <c r="F23" s="8"/>
      <c r="G23" s="20" t="n">
        <f aca="false">AMT!O26</f>
        <v>8496.89963675214</v>
      </c>
      <c r="H23" s="21" t="n">
        <f aca="false">G23*$A$1</f>
        <v>76472.0967307692</v>
      </c>
      <c r="I23" s="21" t="n">
        <f aca="false">H23*0.15</f>
        <v>11470.8145096154</v>
      </c>
      <c r="J23" s="21" t="n">
        <f aca="false">H23-I23</f>
        <v>65001.2822211539</v>
      </c>
    </row>
    <row r="24" customFormat="false" ht="12.8" hidden="false" customHeight="false" outlineLevel="0" collapsed="false">
      <c r="A24" s="8" t="s">
        <v>32</v>
      </c>
      <c r="B24" s="8"/>
      <c r="C24" s="8"/>
      <c r="D24" s="8"/>
      <c r="E24" s="8"/>
      <c r="F24" s="8"/>
      <c r="G24" s="20" t="n">
        <v>1881</v>
      </c>
      <c r="H24" s="21" t="n">
        <f aca="false">G24*$A$1</f>
        <v>16929</v>
      </c>
      <c r="I24" s="21" t="n">
        <f aca="false">H24*0.35</f>
        <v>5925.15</v>
      </c>
      <c r="J24" s="21" t="n">
        <f aca="false">H24-I24</f>
        <v>11003.85</v>
      </c>
    </row>
    <row r="25" customFormat="false" ht="12.8" hidden="false" customHeight="false" outlineLevel="0" collapsed="false">
      <c r="A25" s="8" t="s">
        <v>33</v>
      </c>
      <c r="B25" s="8"/>
      <c r="C25" s="8"/>
      <c r="D25" s="8"/>
      <c r="E25" s="8"/>
      <c r="F25" s="8"/>
      <c r="G25" s="20" t="n">
        <v>1881</v>
      </c>
      <c r="H25" s="21" t="n">
        <f aca="false">G25*$A$1</f>
        <v>16929</v>
      </c>
      <c r="I25" s="21" t="n">
        <f aca="false">H25*0.35</f>
        <v>5925.15</v>
      </c>
      <c r="J25" s="21" t="n">
        <f aca="false">H25-I25</f>
        <v>11003.85</v>
      </c>
    </row>
    <row r="26" customFormat="false" ht="12.8" hidden="false" customHeight="false" outlineLevel="0" collapsed="false">
      <c r="A26" s="8" t="s">
        <v>34</v>
      </c>
      <c r="B26" s="8"/>
      <c r="C26" s="8"/>
      <c r="D26" s="8"/>
      <c r="E26" s="8"/>
      <c r="F26" s="8"/>
      <c r="G26" s="20" t="n">
        <v>1881</v>
      </c>
      <c r="H26" s="21" t="n">
        <f aca="false">G26*$A$1</f>
        <v>16929</v>
      </c>
      <c r="I26" s="21" t="n">
        <f aca="false">H26*0.35</f>
        <v>5925.15</v>
      </c>
      <c r="J26" s="21" t="n">
        <f aca="false">H26-I26</f>
        <v>11003.85</v>
      </c>
    </row>
    <row r="27" customFormat="false" ht="12.8" hidden="false" customHeight="false" outlineLevel="0" collapsed="false">
      <c r="A27" s="8" t="s">
        <v>35</v>
      </c>
      <c r="B27" s="8"/>
      <c r="C27" s="8"/>
      <c r="D27" s="8"/>
      <c r="E27" s="8"/>
      <c r="F27" s="8"/>
      <c r="G27" s="20" t="n">
        <v>1881</v>
      </c>
      <c r="H27" s="21" t="n">
        <f aca="false">G27*$A$1</f>
        <v>16929</v>
      </c>
      <c r="I27" s="21" t="n">
        <f aca="false">H27*0.35</f>
        <v>5925.15</v>
      </c>
      <c r="J27" s="21" t="n">
        <f aca="false">H27-I27</f>
        <v>11003.85</v>
      </c>
    </row>
    <row r="28" customFormat="false" ht="12.8" hidden="false" customHeight="false" outlineLevel="0" collapsed="false">
      <c r="A28" s="8"/>
      <c r="B28" s="8"/>
      <c r="C28" s="8"/>
      <c r="D28" s="8"/>
      <c r="E28" s="8"/>
      <c r="F28" s="8"/>
      <c r="G28" s="20"/>
      <c r="H28" s="21"/>
      <c r="I28" s="21"/>
      <c r="J28" s="21"/>
    </row>
    <row r="29" customFormat="false" ht="12.8" hidden="false" customHeight="false" outlineLevel="0" collapsed="false">
      <c r="A29" s="8" t="s">
        <v>36</v>
      </c>
      <c r="B29" s="8"/>
      <c r="C29" s="8"/>
      <c r="D29" s="8"/>
      <c r="E29" s="8"/>
      <c r="F29" s="8"/>
      <c r="G29" s="20"/>
      <c r="H29" s="21"/>
      <c r="I29" s="21"/>
      <c r="J29" s="21"/>
    </row>
    <row r="30" customFormat="false" ht="12.8" hidden="false" customHeight="false" outlineLevel="0" collapsed="false">
      <c r="A30" s="8" t="s">
        <v>37</v>
      </c>
      <c r="B30" s="8"/>
      <c r="C30" s="8"/>
      <c r="D30" s="8"/>
      <c r="E30" s="8"/>
      <c r="F30" s="8"/>
      <c r="G30" s="20" t="n">
        <f aca="false">AMT!H52</f>
        <v>4759.60753999475</v>
      </c>
      <c r="H30" s="21" t="n">
        <f aca="false">G30*$A$1</f>
        <v>42836.4678599527</v>
      </c>
      <c r="I30" s="21" t="n">
        <f aca="false">H30*0.15</f>
        <v>6425.47017899291</v>
      </c>
      <c r="J30" s="21" t="n">
        <f aca="false">H30-I30</f>
        <v>36410.9976809598</v>
      </c>
    </row>
    <row r="31" customFormat="false" ht="12.8" hidden="false" customHeight="false" outlineLevel="0" collapsed="false">
      <c r="A31" s="8" t="s">
        <v>38</v>
      </c>
      <c r="B31" s="8"/>
      <c r="C31" s="8"/>
      <c r="D31" s="8"/>
      <c r="E31" s="8"/>
      <c r="F31" s="8"/>
      <c r="G31" s="20" t="n">
        <v>1881</v>
      </c>
      <c r="H31" s="21" t="n">
        <f aca="false">G31*$A$1</f>
        <v>16929</v>
      </c>
      <c r="I31" s="21" t="n">
        <f aca="false">H31*0.35</f>
        <v>5925.15</v>
      </c>
      <c r="J31" s="21" t="n">
        <f aca="false">H31-I31</f>
        <v>11003.85</v>
      </c>
    </row>
    <row r="33" customFormat="false" ht="12.8" hidden="false" customHeight="false" outlineLevel="0" collapsed="false">
      <c r="A33" s="8" t="s">
        <v>39</v>
      </c>
      <c r="B33" s="8"/>
      <c r="C33" s="8"/>
      <c r="D33" s="8"/>
      <c r="E33" s="8"/>
      <c r="F33" s="8"/>
      <c r="G33" s="20"/>
      <c r="H33" s="21"/>
      <c r="I33" s="21"/>
      <c r="J33" s="21"/>
    </row>
    <row r="34" customFormat="false" ht="12.8" hidden="false" customHeight="false" outlineLevel="0" collapsed="false">
      <c r="A34" s="8" t="s">
        <v>40</v>
      </c>
      <c r="B34" s="8"/>
      <c r="C34" s="8"/>
      <c r="D34" s="8"/>
      <c r="E34" s="8"/>
      <c r="F34" s="8"/>
      <c r="G34" s="20" t="n">
        <f aca="false">MIN(AMT!B10-G30-G23, AMT!O52)</f>
        <v>2674.49282325311</v>
      </c>
      <c r="H34" s="21" t="n">
        <f aca="false">G34*$A$1</f>
        <v>24070.435409278</v>
      </c>
      <c r="I34" s="21" t="n">
        <f aca="false">H34*0.15</f>
        <v>3610.5653113917</v>
      </c>
      <c r="J34" s="21" t="n">
        <f aca="false">H34-I34</f>
        <v>20459.8700978863</v>
      </c>
    </row>
    <row r="35" customFormat="false" ht="12.8" hidden="false" customHeight="false" outlineLevel="0" collapsed="false">
      <c r="A35" s="8"/>
      <c r="B35" s="8"/>
      <c r="C35" s="8"/>
      <c r="D35" s="8"/>
      <c r="E35" s="8"/>
      <c r="F35" s="8"/>
      <c r="G35" s="20"/>
      <c r="H35" s="21"/>
      <c r="I35" s="21"/>
      <c r="J35" s="21"/>
    </row>
    <row r="36" customFormat="false" ht="12.8" hidden="false" customHeight="false" outlineLevel="0" collapsed="false">
      <c r="A36" s="19" t="s">
        <v>41</v>
      </c>
      <c r="B36" s="19"/>
      <c r="C36" s="19"/>
      <c r="D36" s="19"/>
      <c r="E36" s="19"/>
      <c r="F36" s="19"/>
      <c r="G36" s="24" t="n">
        <f aca="false">SUM(G15:G34)</f>
        <v>60267</v>
      </c>
      <c r="H36" s="25" t="n">
        <f aca="false">SUM(H15:H34)</f>
        <v>542403</v>
      </c>
      <c r="I36" s="25" t="n">
        <f aca="false">SUM(I15:I34)</f>
        <v>135531.45</v>
      </c>
      <c r="J36" s="25" t="n">
        <f aca="false">SUM(J15:J34)</f>
        <v>406871.55</v>
      </c>
      <c r="K36" s="26"/>
    </row>
    <row r="37" customFormat="false" ht="12.8" hidden="false" customHeight="false" outlineLevel="0" collapsed="false">
      <c r="I37" s="26" t="n">
        <f aca="false">I36/H36</f>
        <v>0.249872235219938</v>
      </c>
    </row>
    <row r="38" customFormat="false" ht="12.8" hidden="false" customHeight="false" outlineLevel="0" collapsed="false">
      <c r="A38" s="0" t="s">
        <v>42</v>
      </c>
      <c r="B38" s="20" t="n">
        <f aca="false">AMT!B10-G23-G30-G34</f>
        <v>0</v>
      </c>
      <c r="C38" s="27" t="s">
        <v>43</v>
      </c>
      <c r="D38" s="10" t="n">
        <f aca="false">A1*B38</f>
        <v>0</v>
      </c>
    </row>
  </sheetData>
  <mergeCells count="27">
    <mergeCell ref="A1:B1"/>
    <mergeCell ref="C1:E1"/>
    <mergeCell ref="A2:E2"/>
    <mergeCell ref="G2:J2"/>
    <mergeCell ref="G3:J3"/>
    <mergeCell ref="G4:J4"/>
    <mergeCell ref="G5:J5"/>
    <mergeCell ref="G6:J6"/>
    <mergeCell ref="G7:J7"/>
    <mergeCell ref="A14:F14"/>
    <mergeCell ref="A15:F15"/>
    <mergeCell ref="A16:F16"/>
    <mergeCell ref="A18:F18"/>
    <mergeCell ref="A19:F19"/>
    <mergeCell ref="A20:F20"/>
    <mergeCell ref="A22:F22"/>
    <mergeCell ref="A23:F23"/>
    <mergeCell ref="A24:F24"/>
    <mergeCell ref="A25:F25"/>
    <mergeCell ref="A26:F26"/>
    <mergeCell ref="A27:F27"/>
    <mergeCell ref="A29:F29"/>
    <mergeCell ref="A30:F30"/>
    <mergeCell ref="A31:F31"/>
    <mergeCell ref="A33:F33"/>
    <mergeCell ref="A34:F34"/>
    <mergeCell ref="A36:F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5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T13" activeCellId="0" sqref="T13"/>
    </sheetView>
  </sheetViews>
  <sheetFormatPr defaultRowHeight="12.8" zeroHeight="false" outlineLevelRow="0" outlineLevelCol="0"/>
  <cols>
    <col collapsed="false" customWidth="true" hidden="false" outlineLevel="0" max="1" min="1" style="0" width="14.56"/>
    <col collapsed="false" customWidth="true" hidden="false" outlineLevel="0" max="2" min="2" style="0" width="13.43"/>
    <col collapsed="false" customWidth="true" hidden="false" outlineLevel="0" max="3" min="3" style="0" width="10.73"/>
    <col collapsed="false" customWidth="true" hidden="false" outlineLevel="0" max="4" min="4" style="0" width="5.16"/>
    <col collapsed="false" customWidth="true" hidden="false" outlineLevel="0" max="5" min="5" style="0" width="12.27"/>
    <col collapsed="false" customWidth="true" hidden="false" outlineLevel="0" max="6" min="6" style="21" width="9.85"/>
    <col collapsed="false" customWidth="true" hidden="false" outlineLevel="0" max="7" min="7" style="0" width="4.63"/>
    <col collapsed="false" customWidth="true" hidden="false" outlineLevel="0" max="8" min="8" style="0" width="9.13"/>
    <col collapsed="false" customWidth="true" hidden="false" outlineLevel="0" max="9" min="9" style="0" width="9.23"/>
    <col collapsed="false" customWidth="true" hidden="false" outlineLevel="0" max="10" min="10" style="0" width="2.77"/>
    <col collapsed="false" customWidth="true" hidden="false" outlineLevel="0" max="11" min="11" style="0" width="5.16"/>
    <col collapsed="false" customWidth="false" hidden="false" outlineLevel="0" max="12" min="12" style="0" width="11.52"/>
    <col collapsed="false" customWidth="true" hidden="false" outlineLevel="0" max="13" min="13" style="21" width="10.53"/>
    <col collapsed="false" customWidth="true" hidden="false" outlineLevel="0" max="14" min="14" style="0" width="4.63"/>
    <col collapsed="false" customWidth="false" hidden="false" outlineLevel="0" max="20" min="15" style="0" width="11.52"/>
    <col collapsed="false" customWidth="true" hidden="false" outlineLevel="0" max="21" min="21" style="0" width="18.43"/>
    <col collapsed="false" customWidth="false" hidden="false" outlineLevel="0" max="1025" min="22" style="0" width="11.52"/>
  </cols>
  <sheetData>
    <row r="2" customFormat="false" ht="12.8" hidden="false" customHeight="false" outlineLevel="0" collapsed="false">
      <c r="A2" s="0" t="s">
        <v>44</v>
      </c>
      <c r="B2" s="21" t="n">
        <v>12550</v>
      </c>
      <c r="D2" s="28" t="s">
        <v>45</v>
      </c>
      <c r="E2" s="28"/>
      <c r="F2" s="28"/>
      <c r="G2" s="29"/>
      <c r="H2" s="30" t="n">
        <v>2021</v>
      </c>
      <c r="I2" s="30"/>
      <c r="K2" s="31" t="s">
        <v>45</v>
      </c>
      <c r="L2" s="31"/>
      <c r="M2" s="31"/>
      <c r="N2" s="32"/>
      <c r="O2" s="33" t="n">
        <v>2022</v>
      </c>
      <c r="P2" s="33"/>
    </row>
    <row r="3" customFormat="false" ht="12.8" hidden="false" customHeight="false" outlineLevel="0" collapsed="false">
      <c r="A3" s="0" t="s">
        <v>46</v>
      </c>
      <c r="B3" s="10" t="n">
        <v>73600</v>
      </c>
      <c r="D3" s="34" t="s">
        <v>47</v>
      </c>
      <c r="E3" s="35" t="s">
        <v>48</v>
      </c>
      <c r="F3" s="36" t="s">
        <v>49</v>
      </c>
      <c r="G3" s="35"/>
      <c r="H3" s="30"/>
      <c r="I3" s="30"/>
      <c r="K3" s="37" t="s">
        <v>47</v>
      </c>
      <c r="L3" s="35" t="s">
        <v>48</v>
      </c>
      <c r="M3" s="36" t="s">
        <v>49</v>
      </c>
      <c r="O3" s="33"/>
      <c r="P3" s="33"/>
    </row>
    <row r="4" customFormat="false" ht="12.8" hidden="false" customHeight="false" outlineLevel="0" collapsed="false">
      <c r="A4" s="0" t="s">
        <v>50</v>
      </c>
      <c r="B4" s="10" t="n">
        <v>523600</v>
      </c>
      <c r="D4" s="38" t="s">
        <v>51</v>
      </c>
      <c r="E4" s="39" t="n">
        <v>9950</v>
      </c>
      <c r="F4" s="39" t="n">
        <f aca="false">IF((I7-I5)&gt;E4,(E4-0)*D4,((I7-I5)-0)*D4)</f>
        <v>995</v>
      </c>
      <c r="G4" s="40"/>
      <c r="H4" s="0" t="s">
        <v>52</v>
      </c>
      <c r="I4" s="41" t="n">
        <v>160000</v>
      </c>
      <c r="K4" s="42" t="s">
        <v>51</v>
      </c>
      <c r="L4" s="39" t="n">
        <v>10275</v>
      </c>
      <c r="M4" s="39" t="n">
        <f aca="false">IF((P7-P5)&gt;L4,(L4-0)*K4,((P7-P5)-0)*K4)</f>
        <v>1027.5</v>
      </c>
      <c r="O4" s="0" t="s">
        <v>52</v>
      </c>
      <c r="P4" s="41" t="n">
        <f aca="false">175000+SUM(Schedule!H17:H20)</f>
        <v>361210</v>
      </c>
    </row>
    <row r="5" customFormat="false" ht="12.8" hidden="false" customHeight="false" outlineLevel="0" collapsed="false">
      <c r="A5" s="0" t="s">
        <v>53</v>
      </c>
      <c r="B5" s="27" t="n">
        <v>0.25</v>
      </c>
      <c r="D5" s="38" t="s">
        <v>54</v>
      </c>
      <c r="E5" s="39" t="n">
        <v>40525</v>
      </c>
      <c r="F5" s="39" t="n">
        <f aca="false">MAX(0,IF((I$7-I$5)&gt;E4,MIN((E5-E4),((I$7-I$5)-E4))*D5, 0))</f>
        <v>3669</v>
      </c>
      <c r="G5" s="40"/>
      <c r="H5" s="0" t="s">
        <v>55</v>
      </c>
      <c r="I5" s="41" t="n">
        <v>0</v>
      </c>
      <c r="K5" s="42" t="s">
        <v>54</v>
      </c>
      <c r="L5" s="39" t="n">
        <v>41775</v>
      </c>
      <c r="M5" s="39" t="n">
        <f aca="false">MAX(0,IF((P$7-P$5)&gt;L4,MIN((L5-L4),((P$7-P$5)-L4))*K5, 0))</f>
        <v>3780</v>
      </c>
      <c r="O5" s="0" t="s">
        <v>55</v>
      </c>
      <c r="P5" s="41" t="n">
        <f aca="false">Schedule!H16+5000</f>
        <v>133169</v>
      </c>
      <c r="S5" s="43" t="s">
        <v>56</v>
      </c>
      <c r="T5" s="43"/>
    </row>
    <row r="6" customFormat="false" ht="12.8" hidden="false" customHeight="false" outlineLevel="0" collapsed="false">
      <c r="D6" s="38" t="s">
        <v>57</v>
      </c>
      <c r="E6" s="39" t="n">
        <v>86375</v>
      </c>
      <c r="F6" s="39" t="n">
        <f aca="false">MAX(0,IF((I$7-I$5)&gt;E5,MIN((E6-E5),((I$7-I$5)-E5))*D6, 0))</f>
        <v>10087</v>
      </c>
      <c r="G6" s="40"/>
      <c r="H6" s="0" t="s">
        <v>58</v>
      </c>
      <c r="I6" s="41" t="n">
        <f aca="false">I4+I5</f>
        <v>160000</v>
      </c>
      <c r="K6" s="42" t="s">
        <v>57</v>
      </c>
      <c r="L6" s="39" t="n">
        <v>89075</v>
      </c>
      <c r="M6" s="39" t="n">
        <f aca="false">MAX(0,IF((P$7-P$5)&gt;L5,MIN((L6-L5),((P$7-P$5)-L5))*K6, 0))</f>
        <v>10406</v>
      </c>
      <c r="O6" s="0" t="s">
        <v>58</v>
      </c>
      <c r="P6" s="41" t="n">
        <f aca="false">P4+P5</f>
        <v>494379</v>
      </c>
      <c r="S6" s="0" t="s">
        <v>59</v>
      </c>
      <c r="T6" s="0" t="n">
        <v>32400</v>
      </c>
    </row>
    <row r="7" customFormat="false" ht="12.8" hidden="false" customHeight="false" outlineLevel="0" collapsed="false">
      <c r="A7" s="0" t="s">
        <v>60</v>
      </c>
      <c r="B7" s="0" t="n">
        <v>1.0313</v>
      </c>
      <c r="D7" s="38" t="s">
        <v>61</v>
      </c>
      <c r="E7" s="39" t="n">
        <v>164925</v>
      </c>
      <c r="F7" s="39" t="n">
        <f aca="false">MAX(0,IF((I$7-I$5)&gt;E6,MIN((E7-E6),((I$7-I$5)-E6))*D7, 0))</f>
        <v>14658</v>
      </c>
      <c r="G7" s="40"/>
      <c r="H7" s="0" t="s">
        <v>62</v>
      </c>
      <c r="I7" s="41" t="n">
        <f aca="false">I6-$B$2</f>
        <v>147450</v>
      </c>
      <c r="K7" s="42" t="s">
        <v>61</v>
      </c>
      <c r="L7" s="39" t="n">
        <v>170050</v>
      </c>
      <c r="M7" s="39" t="n">
        <f aca="false">MAX(0,IF((P$7-P$5)&gt;L6,MIN((L7-L6),((P$7-P$5)-L6))*K7, 0))</f>
        <v>19434</v>
      </c>
      <c r="O7" s="0" t="s">
        <v>62</v>
      </c>
      <c r="P7" s="41" t="n">
        <f aca="false">P6-($B$2*$B$7)</f>
        <v>481436.185</v>
      </c>
      <c r="S7" s="0" t="s">
        <v>4</v>
      </c>
      <c r="T7" s="44" t="n">
        <f aca="false">(1831+656+468)</f>
        <v>2955</v>
      </c>
    </row>
    <row r="8" customFormat="false" ht="12.8" hidden="false" customHeight="false" outlineLevel="0" collapsed="false">
      <c r="D8" s="38" t="s">
        <v>63</v>
      </c>
      <c r="E8" s="39" t="n">
        <v>209425</v>
      </c>
      <c r="F8" s="39" t="n">
        <f aca="false">MAX(0,IF((I$7-I$5)&gt;E7,MIN((E8-E7),((I$7-I$5)-E7))*D8, 0))</f>
        <v>0</v>
      </c>
      <c r="G8" s="40"/>
      <c r="H8" s="0" t="s">
        <v>64</v>
      </c>
      <c r="I8" s="25" t="n">
        <f aca="false">SUM(F4:F10)</f>
        <v>29409</v>
      </c>
      <c r="K8" s="42" t="s">
        <v>63</v>
      </c>
      <c r="L8" s="39" t="n">
        <v>215950</v>
      </c>
      <c r="M8" s="39" t="n">
        <f aca="false">MAX(0,IF((P$7-P$5)&gt;L7,MIN((L8-L7),((P$7-P$5)-L7))*K8, 0))</f>
        <v>14688</v>
      </c>
      <c r="O8" s="0" t="s">
        <v>64</v>
      </c>
      <c r="P8" s="25" t="n">
        <f aca="false">SUM(M4:M10)</f>
        <v>95646.51475</v>
      </c>
      <c r="S8" s="0" t="s">
        <v>65</v>
      </c>
      <c r="T8" s="0" t="n">
        <v>35.64</v>
      </c>
    </row>
    <row r="9" customFormat="false" ht="12.8" hidden="false" customHeight="false" outlineLevel="0" collapsed="false">
      <c r="D9" s="38" t="s">
        <v>66</v>
      </c>
      <c r="E9" s="39" t="n">
        <v>523600</v>
      </c>
      <c r="F9" s="39" t="n">
        <f aca="false">MAX(0,IF((I$7-I$5)&gt;E8,MIN((E9-E8),((I$7-I$5)-E8))*D9, 0))</f>
        <v>0</v>
      </c>
      <c r="G9" s="40"/>
      <c r="H9" s="0" t="s">
        <v>67</v>
      </c>
      <c r="I9" s="45" t="n">
        <f aca="false">SUM(F14:F16)+SUM(F20:F21)</f>
        <v>0</v>
      </c>
      <c r="K9" s="42" t="s">
        <v>66</v>
      </c>
      <c r="L9" s="39" t="n">
        <v>539900</v>
      </c>
      <c r="M9" s="39" t="n">
        <f aca="false">MAX(0,IF((P$7-P$5)&gt;L8,MIN((L9-L8),((P$7-P$5)-L8))*K9, 0))</f>
        <v>46311.01475</v>
      </c>
      <c r="O9" s="0" t="s">
        <v>67</v>
      </c>
      <c r="P9" s="45" t="n">
        <f aca="false">SUM(M14:M16)+SUM(M20:M21)</f>
        <v>26633.8</v>
      </c>
      <c r="S9" s="0" t="s">
        <v>68</v>
      </c>
      <c r="T9" s="0" t="n">
        <f aca="false">T6*0.752</f>
        <v>24364.8</v>
      </c>
    </row>
    <row r="10" customFormat="false" ht="12.8" hidden="false" customHeight="false" outlineLevel="0" collapsed="false">
      <c r="A10" s="0" t="s">
        <v>42</v>
      </c>
      <c r="B10" s="0" t="n">
        <f aca="false">8344+7587</f>
        <v>15931</v>
      </c>
      <c r="D10" s="38" t="s">
        <v>69</v>
      </c>
      <c r="E10" s="46" t="s">
        <v>70</v>
      </c>
      <c r="F10" s="39" t="n">
        <f aca="false">MAX(0,IF((I$7-I$5)&gt;E9,((I$7-I$5)-E9)*D10, 0))</f>
        <v>0</v>
      </c>
      <c r="G10" s="40"/>
      <c r="H10" s="0" t="s">
        <v>47</v>
      </c>
      <c r="I10" s="47" t="n">
        <f aca="false">(I8+I9)/I6</f>
        <v>0.18380625</v>
      </c>
      <c r="K10" s="42" t="s">
        <v>69</v>
      </c>
      <c r="L10" s="46" t="s">
        <v>70</v>
      </c>
      <c r="M10" s="39" t="n">
        <f aca="false">MAX(0,IF((P$7-P$5)&gt;L9,((P$7-P$5)-L9)*K10, 0))</f>
        <v>0</v>
      </c>
      <c r="O10" s="0" t="s">
        <v>47</v>
      </c>
      <c r="P10" s="47" t="n">
        <f aca="false">(P8+P9)/P6</f>
        <v>0.247341239716897</v>
      </c>
    </row>
    <row r="11" customFormat="false" ht="12.8" hidden="false" customHeight="false" outlineLevel="0" collapsed="false">
      <c r="D11" s="48"/>
      <c r="K11" s="49"/>
      <c r="P11" s="47"/>
      <c r="R11" s="50"/>
    </row>
    <row r="12" customFormat="false" ht="12.8" hidden="false" customHeight="false" outlineLevel="0" collapsed="false">
      <c r="D12" s="51" t="s">
        <v>71</v>
      </c>
      <c r="E12" s="51"/>
      <c r="F12" s="51"/>
      <c r="I12" s="52"/>
      <c r="K12" s="53" t="s">
        <v>71</v>
      </c>
      <c r="L12" s="53"/>
      <c r="M12" s="53"/>
      <c r="P12" s="54"/>
      <c r="R12" s="50"/>
    </row>
    <row r="13" customFormat="false" ht="12.8" hidden="false" customHeight="false" outlineLevel="0" collapsed="false">
      <c r="D13" s="34" t="s">
        <v>47</v>
      </c>
      <c r="E13" s="35" t="s">
        <v>48</v>
      </c>
      <c r="F13" s="55" t="s">
        <v>49</v>
      </c>
      <c r="I13" s="52"/>
      <c r="K13" s="37" t="s">
        <v>47</v>
      </c>
      <c r="L13" s="35" t="s">
        <v>48</v>
      </c>
      <c r="M13" s="55" t="s">
        <v>49</v>
      </c>
      <c r="P13" s="54"/>
    </row>
    <row r="14" customFormat="false" ht="12.8" hidden="false" customHeight="false" outlineLevel="0" collapsed="false">
      <c r="B14" s="56"/>
      <c r="D14" s="57" t="n">
        <v>0</v>
      </c>
      <c r="E14" s="39" t="n">
        <v>40400</v>
      </c>
      <c r="F14" s="21" t="n">
        <f aca="false">IF(I$6&lt;=E14, I$5*D14, 0)</f>
        <v>0</v>
      </c>
      <c r="I14" s="52"/>
      <c r="K14" s="58" t="n">
        <v>0</v>
      </c>
      <c r="L14" s="39" t="n">
        <v>41675</v>
      </c>
      <c r="M14" s="21" t="n">
        <f aca="false">IF(P$6&lt;=L14, P$5*K14, 0)</f>
        <v>0</v>
      </c>
      <c r="P14" s="54"/>
    </row>
    <row r="15" customFormat="false" ht="12.8" hidden="false" customHeight="false" outlineLevel="0" collapsed="false">
      <c r="D15" s="57" t="n">
        <v>0.15</v>
      </c>
      <c r="E15" s="39" t="n">
        <v>445850</v>
      </c>
      <c r="F15" s="21" t="n">
        <f aca="false">IF(I$6&gt;E14,IF(I$6&lt;=E15, I$5*D15, 0),0)</f>
        <v>0</v>
      </c>
      <c r="H15" s="0" t="s">
        <v>72</v>
      </c>
      <c r="I15" s="41" t="n">
        <f aca="false">T9-T8</f>
        <v>24329.16</v>
      </c>
      <c r="K15" s="58" t="n">
        <v>0.15</v>
      </c>
      <c r="L15" s="39" t="n">
        <v>459750</v>
      </c>
      <c r="M15" s="21" t="n">
        <f aca="false">IF(P$6&gt;L14,IF(P$6&lt;=L15, P$5*K15, 0),0)</f>
        <v>0</v>
      </c>
      <c r="O15" s="0" t="s">
        <v>72</v>
      </c>
      <c r="P15" s="59" t="n">
        <v>0</v>
      </c>
    </row>
    <row r="16" customFormat="false" ht="12.8" hidden="false" customHeight="false" outlineLevel="0" collapsed="false">
      <c r="D16" s="60" t="n">
        <v>0.2</v>
      </c>
      <c r="E16" s="46" t="s">
        <v>70</v>
      </c>
      <c r="F16" s="21" t="n">
        <f aca="false">IF(I$6&gt;E15,I$5*D16, 0)</f>
        <v>0</v>
      </c>
      <c r="H16" s="0" t="s">
        <v>73</v>
      </c>
      <c r="I16" s="41" t="n">
        <f aca="false">I6+I15</f>
        <v>184329.16</v>
      </c>
      <c r="K16" s="61" t="n">
        <v>0.2</v>
      </c>
      <c r="L16" s="46" t="s">
        <v>70</v>
      </c>
      <c r="M16" s="21" t="n">
        <f aca="false">IF(P$6&gt;L15,P$5*K16, 0)</f>
        <v>26633.8</v>
      </c>
      <c r="O16" s="0" t="s">
        <v>73</v>
      </c>
      <c r="P16" s="59" t="n">
        <f aca="false">P6+P15</f>
        <v>494379</v>
      </c>
    </row>
    <row r="17" customFormat="false" ht="12.8" hidden="false" customHeight="false" outlineLevel="0" collapsed="false">
      <c r="D17" s="48"/>
      <c r="H17" s="0" t="s">
        <v>74</v>
      </c>
      <c r="I17" s="41" t="n">
        <f aca="false">MIN(B3,MAX(0,B5*(I16-B4)))</f>
        <v>0</v>
      </c>
      <c r="K17" s="49"/>
      <c r="O17" s="0" t="s">
        <v>74</v>
      </c>
      <c r="P17" s="59" t="n">
        <f aca="false">MIN($B3,MAX(0,$B5*(P16-$B4)))</f>
        <v>0</v>
      </c>
    </row>
    <row r="18" customFormat="false" ht="12.8" hidden="false" customHeight="false" outlineLevel="0" collapsed="false">
      <c r="D18" s="51" t="s">
        <v>75</v>
      </c>
      <c r="E18" s="51"/>
      <c r="F18" s="51"/>
      <c r="H18" s="40" t="s">
        <v>76</v>
      </c>
      <c r="I18" s="41" t="n">
        <f aca="false">I16-B3+I17-I5</f>
        <v>110729.16</v>
      </c>
      <c r="K18" s="53" t="s">
        <v>75</v>
      </c>
      <c r="L18" s="53"/>
      <c r="M18" s="53"/>
      <c r="O18" s="40" t="s">
        <v>76</v>
      </c>
      <c r="P18" s="59" t="n">
        <f aca="false">P16+P17-($B3*$B$7)-P5</f>
        <v>285306.32</v>
      </c>
    </row>
    <row r="19" customFormat="false" ht="12.8" hidden="false" customHeight="false" outlineLevel="0" collapsed="false">
      <c r="D19" s="34" t="s">
        <v>47</v>
      </c>
      <c r="E19" s="35" t="s">
        <v>48</v>
      </c>
      <c r="F19" s="55" t="s">
        <v>49</v>
      </c>
      <c r="H19" s="40" t="s">
        <v>77</v>
      </c>
      <c r="I19" s="45" t="n">
        <f aca="false">F25+F26</f>
        <v>28789.5816</v>
      </c>
      <c r="K19" s="37" t="s">
        <v>47</v>
      </c>
      <c r="L19" s="35" t="s">
        <v>48</v>
      </c>
      <c r="M19" s="55" t="s">
        <v>49</v>
      </c>
      <c r="O19" s="40" t="s">
        <v>77</v>
      </c>
      <c r="P19" s="62" t="n">
        <f aca="false">M25+M26</f>
        <v>75763.7696</v>
      </c>
    </row>
    <row r="20" customFormat="false" ht="12.8" hidden="false" customHeight="false" outlineLevel="0" collapsed="false">
      <c r="D20" s="63" t="n">
        <v>0</v>
      </c>
      <c r="E20" s="39" t="n">
        <v>200000</v>
      </c>
      <c r="F20" s="21" t="n">
        <f aca="false">IF((I$7-I$5)&lt;=E20, I$5*D20, 0)</f>
        <v>0</v>
      </c>
      <c r="H20" s="0" t="s">
        <v>67</v>
      </c>
      <c r="I20" s="25" t="n">
        <f aca="false">I9</f>
        <v>0</v>
      </c>
      <c r="K20" s="64" t="n">
        <v>0</v>
      </c>
      <c r="L20" s="39" t="n">
        <v>200000</v>
      </c>
      <c r="M20" s="21" t="n">
        <f aca="false">IF((P$7-P$5)&lt;=L20, P$5*K20, 0)</f>
        <v>0</v>
      </c>
      <c r="O20" s="0" t="s">
        <v>67</v>
      </c>
      <c r="P20" s="25" t="n">
        <f aca="false">P9</f>
        <v>26633.8</v>
      </c>
    </row>
    <row r="21" customFormat="false" ht="12.8" hidden="false" customHeight="false" outlineLevel="0" collapsed="false">
      <c r="D21" s="63" t="n">
        <v>0.038</v>
      </c>
      <c r="E21" s="46" t="s">
        <v>70</v>
      </c>
      <c r="F21" s="21" t="n">
        <f aca="false">MAX(0,IF((I$7-I$5)&gt;E20,(I$5-E20)*D21, 0))</f>
        <v>0</v>
      </c>
      <c r="H21" s="40" t="s">
        <v>47</v>
      </c>
      <c r="I21" s="47" t="n">
        <f aca="false">(I19+I20)/I16</f>
        <v>0.156185714729021</v>
      </c>
      <c r="K21" s="64" t="n">
        <v>0.038</v>
      </c>
      <c r="L21" s="46" t="s">
        <v>70</v>
      </c>
      <c r="M21" s="21" t="n">
        <f aca="false">MAX(0,IF((P$7-P$5)&gt;L20,(P$5-L20)*K21, 0))</f>
        <v>0</v>
      </c>
      <c r="O21" s="40" t="s">
        <v>47</v>
      </c>
      <c r="P21" s="47" t="n">
        <f aca="false">(P19+P20)/P16</f>
        <v>0.207123622969422</v>
      </c>
    </row>
    <row r="22" customFormat="false" ht="12.8" hidden="false" customHeight="false" outlineLevel="0" collapsed="false">
      <c r="D22" s="48"/>
      <c r="H22" s="40" t="s">
        <v>78</v>
      </c>
      <c r="I22" s="41" t="n">
        <f aca="false">IF(I8&gt;I19,((I8+I9)-(I19+I20))/D25,0)</f>
        <v>2382.37846153846</v>
      </c>
      <c r="K22" s="49"/>
      <c r="O22" s="40" t="s">
        <v>78</v>
      </c>
      <c r="P22" s="41" t="n">
        <f aca="false">IF(P8&gt;P19,((P8+P9)-(P19+P20))/K25,0)</f>
        <v>76472.0967307692</v>
      </c>
    </row>
    <row r="23" customFormat="false" ht="12.8" hidden="false" customHeight="false" outlineLevel="0" collapsed="false">
      <c r="D23" s="51" t="s">
        <v>77</v>
      </c>
      <c r="E23" s="51"/>
      <c r="F23" s="51"/>
      <c r="I23" s="52"/>
      <c r="K23" s="53" t="s">
        <v>77</v>
      </c>
      <c r="L23" s="53"/>
      <c r="M23" s="53"/>
      <c r="P23" s="54"/>
    </row>
    <row r="24" customFormat="false" ht="12.8" hidden="false" customHeight="false" outlineLevel="0" collapsed="false">
      <c r="D24" s="34" t="s">
        <v>47</v>
      </c>
      <c r="E24" s="35" t="s">
        <v>48</v>
      </c>
      <c r="F24" s="55" t="s">
        <v>49</v>
      </c>
      <c r="I24" s="52"/>
      <c r="K24" s="37" t="s">
        <v>47</v>
      </c>
      <c r="L24" s="35" t="s">
        <v>48</v>
      </c>
      <c r="M24" s="55" t="s">
        <v>49</v>
      </c>
      <c r="P24" s="54"/>
    </row>
    <row r="25" customFormat="false" ht="12.8" hidden="false" customHeight="false" outlineLevel="0" collapsed="false">
      <c r="D25" s="38" t="s">
        <v>79</v>
      </c>
      <c r="E25" s="39" t="n">
        <v>199900</v>
      </c>
      <c r="F25" s="21" t="n">
        <f aca="false">MIN((MIN(I18,E25)*D25),((I7-I5)*D25+I9))</f>
        <v>28789.5816</v>
      </c>
      <c r="H25" s="65" t="s">
        <v>80</v>
      </c>
      <c r="I25" s="65"/>
      <c r="K25" s="42" t="s">
        <v>79</v>
      </c>
      <c r="L25" s="39" t="n">
        <v>206100</v>
      </c>
      <c r="M25" s="21" t="n">
        <f aca="false">MIN(P18,L25)*K25</f>
        <v>53586</v>
      </c>
      <c r="O25" s="66" t="s">
        <v>80</v>
      </c>
      <c r="P25" s="66"/>
    </row>
    <row r="26" customFormat="false" ht="12.8" hidden="false" customHeight="false" outlineLevel="0" collapsed="false">
      <c r="D26" s="67" t="s">
        <v>81</v>
      </c>
      <c r="E26" s="68" t="s">
        <v>70</v>
      </c>
      <c r="F26" s="69" t="n">
        <f aca="false">MIN(IF(I18&gt;E25,(I18-E25)*D26, 0),IF((I5-I18)&gt;E25,(I5*D26),0))</f>
        <v>0</v>
      </c>
      <c r="G26" s="70"/>
      <c r="H26" s="71" t="n">
        <f aca="false">I22/Schedule!A1</f>
        <v>264.708717948717</v>
      </c>
      <c r="I26" s="71"/>
      <c r="K26" s="72" t="s">
        <v>81</v>
      </c>
      <c r="L26" s="73" t="s">
        <v>70</v>
      </c>
      <c r="M26" s="69" t="n">
        <f aca="false">IF(P18&gt;L25,(P18-L25)*K26, 0)</f>
        <v>22177.7696</v>
      </c>
      <c r="N26" s="74"/>
      <c r="O26" s="75" t="n">
        <f aca="false">P22/Schedule!A1</f>
        <v>8496.89963675214</v>
      </c>
      <c r="P26" s="75"/>
    </row>
    <row r="28" customFormat="false" ht="12.8" hidden="false" customHeight="false" outlineLevel="0" collapsed="false">
      <c r="D28" s="31" t="s">
        <v>45</v>
      </c>
      <c r="E28" s="31"/>
      <c r="F28" s="31"/>
      <c r="G28" s="32"/>
      <c r="H28" s="33" t="n">
        <v>2023</v>
      </c>
      <c r="I28" s="33"/>
      <c r="K28" s="31" t="s">
        <v>45</v>
      </c>
      <c r="L28" s="31"/>
      <c r="M28" s="31"/>
      <c r="N28" s="32"/>
      <c r="O28" s="33" t="n">
        <v>2024</v>
      </c>
      <c r="P28" s="33"/>
    </row>
    <row r="29" customFormat="false" ht="12.8" hidden="false" customHeight="false" outlineLevel="0" collapsed="false">
      <c r="D29" s="37" t="s">
        <v>47</v>
      </c>
      <c r="E29" s="35" t="s">
        <v>48</v>
      </c>
      <c r="F29" s="36" t="s">
        <v>49</v>
      </c>
      <c r="H29" s="33"/>
      <c r="I29" s="33"/>
      <c r="K29" s="37" t="s">
        <v>47</v>
      </c>
      <c r="L29" s="35" t="s">
        <v>48</v>
      </c>
      <c r="M29" s="36" t="s">
        <v>49</v>
      </c>
      <c r="O29" s="33"/>
      <c r="P29" s="33"/>
    </row>
    <row r="30" customFormat="false" ht="12.8" hidden="false" customHeight="false" outlineLevel="0" collapsed="false">
      <c r="D30" s="42" t="s">
        <v>51</v>
      </c>
      <c r="E30" s="39" t="n">
        <f aca="false">L4*(L4/E4)</f>
        <v>10610.6155778894</v>
      </c>
      <c r="F30" s="39" t="n">
        <f aca="false">IF((I33-I31)&gt;E30,(E30-0)*D30,((I33-I31)-0)*D30)</f>
        <v>1061.06155778894</v>
      </c>
      <c r="H30" s="0" t="s">
        <v>52</v>
      </c>
      <c r="I30" s="41" t="n">
        <f aca="false">182500+SUM(Schedule!H24:H27)</f>
        <v>250216</v>
      </c>
      <c r="K30" s="42" t="s">
        <v>51</v>
      </c>
      <c r="L30" s="39" t="n">
        <f aca="false">E30*$B$7</f>
        <v>10942.7278454774</v>
      </c>
      <c r="M30" s="39" t="n">
        <f aca="false">IF((P33-P31)&gt;L30,(L30-0)*K30,((P33-P31)-0)*K30)</f>
        <v>1094.27278454774</v>
      </c>
      <c r="O30" s="0" t="s">
        <v>52</v>
      </c>
      <c r="P30" s="41" t="n">
        <f aca="false">190000+Schedule!H31</f>
        <v>206929</v>
      </c>
    </row>
    <row r="31" customFormat="false" ht="12.8" hidden="false" customHeight="false" outlineLevel="0" collapsed="false">
      <c r="D31" s="42" t="s">
        <v>54</v>
      </c>
      <c r="E31" s="39" t="n">
        <f aca="false">L5*(L5/E5)</f>
        <v>43063.5564466379</v>
      </c>
      <c r="F31" s="39" t="n">
        <f aca="false">MAX(0,IF((I$33-I$31)&gt;E30,MIN((E31-E30),((I$33-I$31)-E30))*D31, 0))</f>
        <v>3894.35290424982</v>
      </c>
      <c r="H31" s="0" t="s">
        <v>55</v>
      </c>
      <c r="I31" s="41" t="n">
        <f aca="false">Schedule!H23+5000</f>
        <v>81472.0967307692</v>
      </c>
      <c r="K31" s="42" t="s">
        <v>54</v>
      </c>
      <c r="L31" s="39" t="n">
        <f aca="false">E31*$B$7</f>
        <v>44411.4457634177</v>
      </c>
      <c r="M31" s="39" t="n">
        <f aca="false">MAX(0,IF((P$33-P$31)&gt;L30,MIN((L31-L30),((P$33-P$31)-L30))*K31, 0))</f>
        <v>4016.24615015284</v>
      </c>
      <c r="O31" s="0" t="s">
        <v>55</v>
      </c>
      <c r="P31" s="41" t="n">
        <f aca="false">Schedule!H30+5000</f>
        <v>47836.4678599527</v>
      </c>
    </row>
    <row r="32" customFormat="false" ht="12.8" hidden="false" customHeight="false" outlineLevel="0" collapsed="false">
      <c r="D32" s="42" t="s">
        <v>57</v>
      </c>
      <c r="E32" s="39" t="n">
        <f aca="false">L6*(L6/E6)</f>
        <v>91859.3994211288</v>
      </c>
      <c r="F32" s="39" t="n">
        <f aca="false">MAX(0,IF((I$33-I$31)&gt;E31,MIN((E32-E31),((I$33-I$31)-E31))*D32, 0))</f>
        <v>10735.085454388</v>
      </c>
      <c r="H32" s="0" t="s">
        <v>58</v>
      </c>
      <c r="I32" s="41" t="n">
        <f aca="false">I30+I31</f>
        <v>331688.096730769</v>
      </c>
      <c r="K32" s="42" t="s">
        <v>57</v>
      </c>
      <c r="L32" s="39" t="n">
        <f aca="false">E32*$B$7</f>
        <v>94734.5986230101</v>
      </c>
      <c r="M32" s="39" t="n">
        <f aca="false">MAX(0,IF((P$33-P$31)&gt;L31,MIN((L32-L31),((P$33-P$31)-L31))*K32, 0))</f>
        <v>11071.0936291103</v>
      </c>
      <c r="O32" s="0" t="s">
        <v>58</v>
      </c>
      <c r="P32" s="41" t="n">
        <f aca="false">P30+P31</f>
        <v>254765.467859953</v>
      </c>
    </row>
    <row r="33" customFormat="false" ht="12.8" hidden="false" customHeight="false" outlineLevel="0" collapsed="false">
      <c r="D33" s="42" t="s">
        <v>61</v>
      </c>
      <c r="E33" s="39" t="n">
        <f aca="false">L7*(L7/E7)</f>
        <v>175334.257996059</v>
      </c>
      <c r="F33" s="39" t="n">
        <f aca="false">MAX(0,IF((I$33-I$31)&gt;E32,MIN((E33-E32),((I$33-I$31)-E32))*D33, 0))</f>
        <v>20033.9660579832</v>
      </c>
      <c r="H33" s="0" t="s">
        <v>62</v>
      </c>
      <c r="I33" s="41" t="n">
        <f aca="false">I32-($B$2*$B$7^2)</f>
        <v>318340.171621269</v>
      </c>
      <c r="K33" s="42" t="s">
        <v>61</v>
      </c>
      <c r="L33" s="39" t="n">
        <f aca="false">E33*$B$7</f>
        <v>180822.220271335</v>
      </c>
      <c r="M33" s="39" t="n">
        <f aca="false">MAX(0,IF((P$33-P$31)&gt;L32,MIN((L33-L32),((P$33-P$31)-L32))*K33, 0))</f>
        <v>20661.029195598</v>
      </c>
      <c r="O33" s="0" t="s">
        <v>62</v>
      </c>
      <c r="P33" s="41" t="n">
        <f aca="false">P32-($B$2*$B$7^3)</f>
        <v>240999.752694525</v>
      </c>
    </row>
    <row r="34" customFormat="false" ht="12.8" hidden="false" customHeight="false" outlineLevel="0" collapsed="false">
      <c r="D34" s="42" t="s">
        <v>63</v>
      </c>
      <c r="E34" s="39" t="n">
        <f aca="false">L8*(L8/E8)</f>
        <v>222678.297719947</v>
      </c>
      <c r="F34" s="39" t="n">
        <f aca="false">MAX(0,IF((I$33-I$31)&gt;E33,MIN((E34-E33),((I$33-I$31)-E33))*D34, 0))</f>
        <v>15150.0927116442</v>
      </c>
      <c r="H34" s="0" t="s">
        <v>64</v>
      </c>
      <c r="I34" s="25" t="n">
        <f aca="false">SUM(F30:F36)</f>
        <v>55840.9806957477</v>
      </c>
      <c r="K34" s="42" t="s">
        <v>63</v>
      </c>
      <c r="L34" s="39" t="n">
        <f aca="false">E34*$B$7</f>
        <v>229648.128438582</v>
      </c>
      <c r="M34" s="39" t="n">
        <f aca="false">MAX(0,IF((P$33-P$31)&gt;L33,MIN((L34-L33),((P$33-P$31)-L33))*K34, 0))</f>
        <v>3949.14066023604</v>
      </c>
      <c r="O34" s="0" t="s">
        <v>64</v>
      </c>
      <c r="P34" s="25" t="n">
        <f aca="false">SUM(M30:M36)</f>
        <v>40791.7824196449</v>
      </c>
    </row>
    <row r="35" customFormat="false" ht="12.8" hidden="false" customHeight="false" outlineLevel="0" collapsed="false">
      <c r="D35" s="42" t="s">
        <v>66</v>
      </c>
      <c r="E35" s="39" t="n">
        <f aca="false">L9*(L9/E9)</f>
        <v>556707.42933537</v>
      </c>
      <c r="F35" s="39" t="n">
        <f aca="false">MAX(0,IF((I$33-I$31)&gt;E34,MIN((E35-E34),((I$33-I$31)-E34))*D35, 0))</f>
        <v>4966.42200969356</v>
      </c>
      <c r="H35" s="0" t="s">
        <v>67</v>
      </c>
      <c r="I35" s="45" t="n">
        <f aca="false">SUM(F40:F42)+SUM(F46:F47)</f>
        <v>12220.8145096154</v>
      </c>
      <c r="K35" s="42" t="s">
        <v>66</v>
      </c>
      <c r="L35" s="39" t="n">
        <f aca="false">E35*$B$7</f>
        <v>574132.371873568</v>
      </c>
      <c r="M35" s="39" t="n">
        <f aca="false">MAX(0,IF((P$33-P$31)&gt;L34,MIN((L35-L34),((P$33-P$31)-L34))*K35, 0))</f>
        <v>0</v>
      </c>
      <c r="O35" s="0" t="s">
        <v>67</v>
      </c>
      <c r="P35" s="45" t="n">
        <f aca="false">SUM(M40:M42)+SUM(M46:M47)</f>
        <v>7175.47017899291</v>
      </c>
    </row>
    <row r="36" customFormat="false" ht="12.8" hidden="false" customHeight="false" outlineLevel="0" collapsed="false">
      <c r="D36" s="42" t="s">
        <v>69</v>
      </c>
      <c r="E36" s="46" t="s">
        <v>70</v>
      </c>
      <c r="F36" s="39" t="n">
        <f aca="false">MAX(0,IF((I$33-I$31)&gt;E35,((I$33-I$31)-E35)*D36, 0))</f>
        <v>0</v>
      </c>
      <c r="H36" s="0" t="s">
        <v>47</v>
      </c>
      <c r="I36" s="47" t="n">
        <f aca="false">(I34+I35)/I32</f>
        <v>0.205198184306893</v>
      </c>
      <c r="K36" s="42" t="s">
        <v>69</v>
      </c>
      <c r="L36" s="46" t="s">
        <v>70</v>
      </c>
      <c r="M36" s="39" t="n">
        <f aca="false">MAX(0,IF((P$33-P$31)&gt;L35,((P$33-P$31)-L35)*K36, 0))</f>
        <v>0</v>
      </c>
      <c r="O36" s="0" t="s">
        <v>47</v>
      </c>
      <c r="P36" s="47" t="n">
        <f aca="false">(P34+P35)/P32</f>
        <v>0.188280040468459</v>
      </c>
    </row>
    <row r="37" customFormat="false" ht="12.8" hidden="false" customHeight="false" outlineLevel="0" collapsed="false">
      <c r="D37" s="49"/>
      <c r="I37" s="47"/>
      <c r="K37" s="49"/>
      <c r="P37" s="47"/>
    </row>
    <row r="38" customFormat="false" ht="12.8" hidden="false" customHeight="false" outlineLevel="0" collapsed="false">
      <c r="D38" s="53" t="s">
        <v>71</v>
      </c>
      <c r="E38" s="53"/>
      <c r="F38" s="53"/>
      <c r="I38" s="54"/>
      <c r="K38" s="53" t="s">
        <v>71</v>
      </c>
      <c r="L38" s="53"/>
      <c r="M38" s="53"/>
      <c r="P38" s="54"/>
    </row>
    <row r="39" customFormat="false" ht="12.8" hidden="false" customHeight="false" outlineLevel="0" collapsed="false">
      <c r="D39" s="37" t="s">
        <v>47</v>
      </c>
      <c r="E39" s="35" t="s">
        <v>48</v>
      </c>
      <c r="F39" s="55" t="s">
        <v>49</v>
      </c>
      <c r="I39" s="54"/>
      <c r="K39" s="37" t="s">
        <v>47</v>
      </c>
      <c r="L39" s="35" t="s">
        <v>48</v>
      </c>
      <c r="M39" s="55" t="s">
        <v>49</v>
      </c>
      <c r="P39" s="54"/>
    </row>
    <row r="40" customFormat="false" ht="12.8" hidden="false" customHeight="false" outlineLevel="0" collapsed="false">
      <c r="D40" s="58" t="n">
        <v>0</v>
      </c>
      <c r="E40" s="39" t="n">
        <f aca="false">L14*(L14/E14)</f>
        <v>42990.2382425743</v>
      </c>
      <c r="F40" s="21" t="n">
        <f aca="false">IF(I$32&lt;=E40, I$32*D40, 0)</f>
        <v>0</v>
      </c>
      <c r="I40" s="54"/>
      <c r="K40" s="58" t="n">
        <v>0</v>
      </c>
      <c r="L40" s="39" t="n">
        <f aca="false">E40*$B$7</f>
        <v>44335.8326995668</v>
      </c>
      <c r="M40" s="21" t="n">
        <f aca="false">IF(P$32&lt;=L40, P$32*K40, 0)</f>
        <v>0</v>
      </c>
      <c r="P40" s="54"/>
    </row>
    <row r="41" customFormat="false" ht="12.8" hidden="false" customHeight="false" outlineLevel="0" collapsed="false">
      <c r="D41" s="58" t="n">
        <v>0.15</v>
      </c>
      <c r="E41" s="39" t="n">
        <f aca="false">L15*(L15/E15)</f>
        <v>474083.352024223</v>
      </c>
      <c r="F41" s="21" t="n">
        <f aca="false">IF(I$32&gt;E40,IF(I$32&lt;=E41, I$31*D41, 0),0)</f>
        <v>12220.8145096154</v>
      </c>
      <c r="H41" s="0" t="s">
        <v>72</v>
      </c>
      <c r="I41" s="59" t="n">
        <v>0</v>
      </c>
      <c r="K41" s="58" t="n">
        <v>0.15</v>
      </c>
      <c r="L41" s="39" t="n">
        <f aca="false">E41*$B$7</f>
        <v>488922.160942582</v>
      </c>
      <c r="M41" s="21" t="n">
        <f aca="false">IF(P$32&gt;L40,IF(P$32&lt;=L41, P$31*K41, 0),0)</f>
        <v>7175.47017899291</v>
      </c>
      <c r="O41" s="0" t="s">
        <v>72</v>
      </c>
      <c r="P41" s="59" t="n">
        <v>0</v>
      </c>
    </row>
    <row r="42" customFormat="false" ht="12.8" hidden="false" customHeight="false" outlineLevel="0" collapsed="false">
      <c r="D42" s="61" t="n">
        <v>0.2</v>
      </c>
      <c r="E42" s="76" t="s">
        <v>70</v>
      </c>
      <c r="F42" s="21" t="n">
        <f aca="false">IF(I$32&gt;E41,I$31*D42, 0)</f>
        <v>0</v>
      </c>
      <c r="H42" s="0" t="s">
        <v>73</v>
      </c>
      <c r="I42" s="59" t="n">
        <f aca="false">I32+I41</f>
        <v>331688.096730769</v>
      </c>
      <c r="K42" s="61" t="n">
        <v>0.2</v>
      </c>
      <c r="L42" s="46" t="s">
        <v>70</v>
      </c>
      <c r="M42" s="21" t="n">
        <f aca="false">IF(P$32&gt;L41,P$31*K42, 0)</f>
        <v>0</v>
      </c>
      <c r="O42" s="0" t="s">
        <v>73</v>
      </c>
      <c r="P42" s="59" t="n">
        <f aca="false">P32+P41</f>
        <v>254765.467859953</v>
      </c>
    </row>
    <row r="43" customFormat="false" ht="12.8" hidden="false" customHeight="false" outlineLevel="0" collapsed="false">
      <c r="D43" s="49"/>
      <c r="H43" s="0" t="s">
        <v>74</v>
      </c>
      <c r="I43" s="59" t="n">
        <f aca="false">MIN($B3,MAX(0,$B5*(I42-$B4)))</f>
        <v>0</v>
      </c>
      <c r="K43" s="49"/>
      <c r="O43" s="0" t="s">
        <v>74</v>
      </c>
      <c r="P43" s="59" t="n">
        <f aca="false">MIN($B29,MAX(0,$B31*(P42-$B30)))</f>
        <v>0</v>
      </c>
    </row>
    <row r="44" customFormat="false" ht="12.8" hidden="false" customHeight="false" outlineLevel="0" collapsed="false">
      <c r="D44" s="53" t="s">
        <v>75</v>
      </c>
      <c r="E44" s="53"/>
      <c r="F44" s="53"/>
      <c r="H44" s="40" t="s">
        <v>76</v>
      </c>
      <c r="I44" s="59" t="n">
        <f aca="false">I42+I43-($B3*$B$7^2)-I31</f>
        <v>171936.534816</v>
      </c>
      <c r="K44" s="53" t="s">
        <v>75</v>
      </c>
      <c r="L44" s="53"/>
      <c r="M44" s="53"/>
      <c r="O44" s="40" t="s">
        <v>76</v>
      </c>
      <c r="P44" s="59" t="n">
        <f aca="false">P42+P43-($B3*$B$7^3)-P31</f>
        <v>126199.387555741</v>
      </c>
    </row>
    <row r="45" customFormat="false" ht="12.8" hidden="false" customHeight="false" outlineLevel="0" collapsed="false">
      <c r="D45" s="37" t="s">
        <v>47</v>
      </c>
      <c r="E45" s="35" t="s">
        <v>48</v>
      </c>
      <c r="F45" s="55" t="s">
        <v>49</v>
      </c>
      <c r="H45" s="40" t="s">
        <v>77</v>
      </c>
      <c r="I45" s="62" t="n">
        <f aca="false">F51+F52</f>
        <v>44703.49905216</v>
      </c>
      <c r="K45" s="37" t="s">
        <v>47</v>
      </c>
      <c r="L45" s="35" t="s">
        <v>48</v>
      </c>
      <c r="M45" s="55" t="s">
        <v>49</v>
      </c>
      <c r="O45" s="40" t="s">
        <v>77</v>
      </c>
      <c r="P45" s="62" t="n">
        <f aca="false">M51+M52</f>
        <v>32811.8407644926</v>
      </c>
    </row>
    <row r="46" customFormat="false" ht="12.8" hidden="false" customHeight="false" outlineLevel="0" collapsed="false">
      <c r="D46" s="64" t="n">
        <v>0</v>
      </c>
      <c r="E46" s="39" t="n">
        <v>200000</v>
      </c>
      <c r="F46" s="21" t="n">
        <f aca="false">IF((I$33-I$31)&lt;=E46, I$31*D46, 0)</f>
        <v>0</v>
      </c>
      <c r="H46" s="0" t="s">
        <v>67</v>
      </c>
      <c r="I46" s="25" t="n">
        <f aca="false">I35</f>
        <v>12220.8145096154</v>
      </c>
      <c r="K46" s="64" t="n">
        <v>0</v>
      </c>
      <c r="L46" s="39" t="n">
        <v>200000</v>
      </c>
      <c r="M46" s="21" t="n">
        <f aca="false">IF((P$33-P$31)&lt;=L46, P$31*K46, 0)</f>
        <v>0</v>
      </c>
      <c r="O46" s="0" t="s">
        <v>67</v>
      </c>
      <c r="P46" s="25" t="n">
        <f aca="false">P35</f>
        <v>7175.47017899291</v>
      </c>
    </row>
    <row r="47" customFormat="false" ht="12.8" hidden="false" customHeight="false" outlineLevel="0" collapsed="false">
      <c r="D47" s="64" t="n">
        <v>0.038</v>
      </c>
      <c r="E47" s="76" t="s">
        <v>70</v>
      </c>
      <c r="F47" s="21" t="n">
        <f aca="false">MAX(0,IF((I$33-I$31)&gt;E46,(I$31-E46)*D47, 0))</f>
        <v>0</v>
      </c>
      <c r="H47" s="40" t="s">
        <v>47</v>
      </c>
      <c r="I47" s="47" t="n">
        <f aca="false">I45/I42</f>
        <v>0.134775710954879</v>
      </c>
      <c r="K47" s="64" t="n">
        <v>0.038</v>
      </c>
      <c r="L47" s="46" t="s">
        <v>70</v>
      </c>
      <c r="M47" s="21" t="n">
        <f aca="false">MAX(0,IF((P$33-P$31)&gt;L46,(P$31-L46)*K47, 0))</f>
        <v>0</v>
      </c>
      <c r="O47" s="40" t="s">
        <v>47</v>
      </c>
      <c r="P47" s="47" t="n">
        <f aca="false">P45/P42</f>
        <v>0.128792340029888</v>
      </c>
    </row>
    <row r="48" customFormat="false" ht="12.8" hidden="false" customHeight="false" outlineLevel="0" collapsed="false">
      <c r="D48" s="49"/>
      <c r="H48" s="40" t="s">
        <v>78</v>
      </c>
      <c r="I48" s="41" t="n">
        <f aca="false">IF(I34&gt;I45,((I34+I35)-(I45+I46))/D51,0)</f>
        <v>42836.4678599527</v>
      </c>
      <c r="K48" s="49"/>
      <c r="O48" s="40" t="s">
        <v>78</v>
      </c>
      <c r="P48" s="41" t="n">
        <f aca="false">IF(P34&gt;P45,((P34+P35)-(P45+P46))/K51,0)</f>
        <v>30692.0832890473</v>
      </c>
    </row>
    <row r="49" customFormat="false" ht="12.8" hidden="false" customHeight="false" outlineLevel="0" collapsed="false">
      <c r="D49" s="53" t="s">
        <v>77</v>
      </c>
      <c r="E49" s="53"/>
      <c r="F49" s="53"/>
      <c r="I49" s="54"/>
      <c r="K49" s="53" t="s">
        <v>77</v>
      </c>
      <c r="L49" s="53"/>
      <c r="M49" s="53"/>
      <c r="P49" s="54"/>
    </row>
    <row r="50" customFormat="false" ht="12.8" hidden="false" customHeight="false" outlineLevel="0" collapsed="false">
      <c r="D50" s="37" t="s">
        <v>47</v>
      </c>
      <c r="E50" s="35" t="s">
        <v>48</v>
      </c>
      <c r="F50" s="55" t="s">
        <v>49</v>
      </c>
      <c r="I50" s="54"/>
      <c r="K50" s="37" t="s">
        <v>47</v>
      </c>
      <c r="L50" s="35" t="s">
        <v>48</v>
      </c>
      <c r="M50" s="55" t="s">
        <v>49</v>
      </c>
      <c r="P50" s="54"/>
    </row>
    <row r="51" customFormat="false" ht="12.8" hidden="false" customHeight="false" outlineLevel="0" collapsed="false">
      <c r="D51" s="42" t="s">
        <v>79</v>
      </c>
      <c r="E51" s="39" t="n">
        <f aca="false">L25*(L25/E25)</f>
        <v>212492.296148074</v>
      </c>
      <c r="F51" s="21" t="n">
        <f aca="false">MIN(I44,E51)*D51</f>
        <v>44703.49905216</v>
      </c>
      <c r="H51" s="66" t="s">
        <v>80</v>
      </c>
      <c r="I51" s="66"/>
      <c r="K51" s="42" t="s">
        <v>79</v>
      </c>
      <c r="L51" s="39" t="n">
        <f aca="false">E51*$B$7</f>
        <v>219143.305017509</v>
      </c>
      <c r="M51" s="21" t="n">
        <f aca="false">MIN(P44,L51)*K51</f>
        <v>32811.8407644926</v>
      </c>
      <c r="O51" s="66" t="s">
        <v>80</v>
      </c>
      <c r="P51" s="66"/>
    </row>
    <row r="52" customFormat="false" ht="12.8" hidden="false" customHeight="false" outlineLevel="0" collapsed="false">
      <c r="D52" s="72" t="s">
        <v>81</v>
      </c>
      <c r="E52" s="73" t="s">
        <v>70</v>
      </c>
      <c r="F52" s="69" t="n">
        <f aca="false">IF(I44&gt;E51,(I44-E51)*D52, 0)</f>
        <v>0</v>
      </c>
      <c r="G52" s="74"/>
      <c r="H52" s="75" t="n">
        <f aca="false">I48/Schedule!$A$1</f>
        <v>4759.60753999475</v>
      </c>
      <c r="I52" s="75"/>
      <c r="K52" s="72" t="s">
        <v>81</v>
      </c>
      <c r="L52" s="73" t="s">
        <v>70</v>
      </c>
      <c r="M52" s="69" t="n">
        <f aca="false">IF(P44&gt;L51,(P44-L51)*K52, 0)</f>
        <v>0</v>
      </c>
      <c r="N52" s="74"/>
      <c r="O52" s="75" t="n">
        <f aca="false">P48/Schedule!$A$1</f>
        <v>3410.23147656082</v>
      </c>
      <c r="P52" s="75"/>
    </row>
  </sheetData>
  <mergeCells count="29">
    <mergeCell ref="D2:F2"/>
    <mergeCell ref="H2:I3"/>
    <mergeCell ref="K2:M2"/>
    <mergeCell ref="O2:P3"/>
    <mergeCell ref="S5:T5"/>
    <mergeCell ref="D12:F12"/>
    <mergeCell ref="K12:M12"/>
    <mergeCell ref="D18:F18"/>
    <mergeCell ref="K18:M18"/>
    <mergeCell ref="D23:F23"/>
    <mergeCell ref="K23:M23"/>
    <mergeCell ref="H25:I25"/>
    <mergeCell ref="O25:P25"/>
    <mergeCell ref="H26:I26"/>
    <mergeCell ref="O26:P26"/>
    <mergeCell ref="D28:F28"/>
    <mergeCell ref="H28:I29"/>
    <mergeCell ref="K28:M28"/>
    <mergeCell ref="O28:P29"/>
    <mergeCell ref="D38:F38"/>
    <mergeCell ref="K38:M38"/>
    <mergeCell ref="D44:F44"/>
    <mergeCell ref="K44:M44"/>
    <mergeCell ref="D49:F49"/>
    <mergeCell ref="K49:M49"/>
    <mergeCell ref="H51:I51"/>
    <mergeCell ref="O51:P51"/>
    <mergeCell ref="H52:I52"/>
    <mergeCell ref="O52:P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7.95"/>
    <col collapsed="false" customWidth="true" hidden="false" outlineLevel="0" max="3" min="3" style="0" width="9.28"/>
    <col collapsed="false" customWidth="true" hidden="false" outlineLevel="0" max="4" min="4" style="0" width="18.88"/>
    <col collapsed="false" customWidth="true" hidden="false" outlineLevel="0" max="5" min="5" style="0" width="7.49"/>
    <col collapsed="false" customWidth="true" hidden="false" outlineLevel="0" max="6" min="6" style="0" width="11.11"/>
    <col collapsed="false" customWidth="true" hidden="false" outlineLevel="0" max="7" min="7" style="0" width="10.12"/>
    <col collapsed="false" customWidth="true" hidden="false" outlineLevel="0" max="8" min="8" style="0" width="9.69"/>
    <col collapsed="false" customWidth="true" hidden="false" outlineLevel="0" max="9" min="9" style="0" width="12.37"/>
    <col collapsed="false" customWidth="true" hidden="false" outlineLevel="0" max="10" min="10" style="0" width="2.43"/>
    <col collapsed="false" customWidth="true" hidden="false" outlineLevel="0" max="11" min="11" style="0" width="13.58"/>
    <col collapsed="false" customWidth="true" hidden="false" outlineLevel="0" max="12" min="12" style="0" width="12.26"/>
    <col collapsed="false" customWidth="true" hidden="false" outlineLevel="0" max="13" min="13" style="0" width="7.95"/>
    <col collapsed="false" customWidth="true" hidden="false" outlineLevel="0" max="14" min="14" style="0" width="9.13"/>
    <col collapsed="false" customWidth="true" hidden="false" outlineLevel="0" max="15" min="15" style="0" width="6.81"/>
    <col collapsed="false" customWidth="true" hidden="false" outlineLevel="0" max="16" min="16" style="0" width="12.25"/>
    <col collapsed="false" customWidth="true" hidden="false" outlineLevel="0" max="17" min="17" style="0" width="12.26"/>
    <col collapsed="false" customWidth="true" hidden="false" outlineLevel="0" max="18" min="18" style="0" width="11.78"/>
    <col collapsed="false" customWidth="false" hidden="false" outlineLevel="0" max="1025" min="19" style="0" width="11.52"/>
  </cols>
  <sheetData>
    <row r="1" customFormat="false" ht="22.05" hidden="false" customHeight="false" outlineLevel="0" collapsed="false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8"/>
      <c r="K1" s="79" t="n">
        <f aca="false">N1*Q1</f>
        <v>0.8436</v>
      </c>
      <c r="L1" s="79"/>
      <c r="M1" s="79"/>
      <c r="N1" s="79" t="n">
        <v>9.25</v>
      </c>
      <c r="O1" s="79"/>
      <c r="P1" s="79"/>
      <c r="Q1" s="80" t="n">
        <f aca="false">0.0912</f>
        <v>0.0912</v>
      </c>
      <c r="R1" s="80"/>
    </row>
    <row r="2" customFormat="false" ht="19.7" hidden="false" customHeight="false" outlineLevel="0" collapsed="false">
      <c r="A2" s="81" t="s">
        <v>82</v>
      </c>
      <c r="B2" s="81"/>
      <c r="C2" s="81"/>
      <c r="D2" s="81"/>
      <c r="E2" s="81"/>
      <c r="F2" s="81"/>
      <c r="G2" s="81"/>
      <c r="H2" s="81"/>
      <c r="I2" s="81"/>
      <c r="J2" s="81"/>
      <c r="K2" s="82" t="s">
        <v>83</v>
      </c>
      <c r="L2" s="82"/>
      <c r="M2" s="82"/>
      <c r="N2" s="82"/>
      <c r="O2" s="82"/>
      <c r="P2" s="82"/>
      <c r="Q2" s="82"/>
      <c r="R2" s="82"/>
    </row>
    <row r="3" customFormat="false" ht="12.8" hidden="false" customHeight="false" outlineLevel="0" collapsed="false">
      <c r="A3" s="83" t="s">
        <v>84</v>
      </c>
      <c r="B3" s="83" t="s">
        <v>85</v>
      </c>
      <c r="C3" s="83" t="s">
        <v>21</v>
      </c>
      <c r="D3" s="83" t="s">
        <v>86</v>
      </c>
      <c r="E3" s="83" t="s">
        <v>87</v>
      </c>
      <c r="F3" s="83" t="s">
        <v>88</v>
      </c>
      <c r="G3" s="83" t="s">
        <v>89</v>
      </c>
      <c r="H3" s="83" t="s">
        <v>90</v>
      </c>
      <c r="I3" s="83" t="s">
        <v>91</v>
      </c>
      <c r="J3" s="84"/>
      <c r="K3" s="83" t="s">
        <v>84</v>
      </c>
      <c r="L3" s="83" t="s">
        <v>92</v>
      </c>
      <c r="M3" s="83" t="s">
        <v>85</v>
      </c>
      <c r="N3" s="83" t="s">
        <v>21</v>
      </c>
      <c r="O3" s="83" t="s">
        <v>93</v>
      </c>
      <c r="P3" s="83" t="s">
        <v>94</v>
      </c>
      <c r="Q3" s="85" t="s">
        <v>95</v>
      </c>
      <c r="R3" s="85" t="s">
        <v>22</v>
      </c>
    </row>
    <row r="4" customFormat="false" ht="12.8" hidden="false" customHeight="false" outlineLevel="0" collapsed="false">
      <c r="A4" s="86" t="n">
        <v>42457</v>
      </c>
      <c r="B4" s="87" t="n">
        <v>0.0011</v>
      </c>
      <c r="C4" s="88" t="n">
        <v>30000</v>
      </c>
      <c r="D4" s="89" t="s">
        <v>96</v>
      </c>
      <c r="E4" s="90" t="n">
        <f aca="false">MAX(0,MIN(48*0.75,DATEDIF(A4,C18,"M")-12))</f>
        <v>36</v>
      </c>
      <c r="F4" s="91" t="n">
        <f aca="false">0.25*C4*IF(DATEDIF(A4,$C$18,"Y")&gt;=1, 1, 0) + 0.75*C4*IF(DATEDIF(A4,$C$18,"Y")&gt;=1, MIN(36,E4)/36, 0)</f>
        <v>30000</v>
      </c>
      <c r="G4" s="88" t="n">
        <v>30000</v>
      </c>
      <c r="H4" s="92" t="n">
        <f aca="false">IF(F4=C4, 0, IF(DATEDIF(A4,$C$18,"Y")&gt;=1, C4*0.75/48, 0))</f>
        <v>0</v>
      </c>
      <c r="I4" s="86" t="n">
        <f aca="false">DATE(YEAR(A4)+1, MONTH(A4)+(0.75*48), DAY(A4))</f>
        <v>43918</v>
      </c>
      <c r="J4" s="93"/>
      <c r="K4" s="86" t="n">
        <v>42457</v>
      </c>
      <c r="L4" s="86" t="n">
        <v>44001</v>
      </c>
      <c r="M4" s="87" t="n">
        <v>0.0011</v>
      </c>
      <c r="N4" s="88" t="n">
        <v>30000</v>
      </c>
      <c r="O4" s="94" t="n">
        <f aca="false">N4*M4</f>
        <v>33</v>
      </c>
      <c r="P4" s="95" t="n">
        <f aca="false">N4*K$1</f>
        <v>25308</v>
      </c>
      <c r="Q4" s="86" t="n">
        <f aca="false">MAX(DATE(YEAR(L4)+1,MONTH(L4),DAY(L4)),DATE(YEAR(K4)+2,MONTH(K4),DAY(K4)))</f>
        <v>44366</v>
      </c>
      <c r="R4" s="96" t="n">
        <f aca="false">IF($C$18&gt;Q4, P4*0.15, P4*0.35)</f>
        <v>3796.2</v>
      </c>
      <c r="T4" s="97" t="n">
        <v>0.000276</v>
      </c>
      <c r="U4" s="20" t="n">
        <f aca="false">N4/T4</f>
        <v>108695652.173913</v>
      </c>
    </row>
    <row r="5" customFormat="false" ht="12.8" hidden="false" customHeight="false" outlineLevel="0" collapsed="false">
      <c r="A5" s="86" t="n">
        <v>43447</v>
      </c>
      <c r="B5" s="87" t="n">
        <v>0.0011</v>
      </c>
      <c r="C5" s="88" t="n">
        <v>123519</v>
      </c>
      <c r="D5" s="89" t="s">
        <v>97</v>
      </c>
      <c r="E5" s="90" t="n">
        <f aca="false">MAX(0,MIN(36,DATEDIF(A5,C18,"M")))</f>
        <v>36</v>
      </c>
      <c r="F5" s="91" t="n">
        <f aca="false">C5*0.35+(C5*0.65)*MIN(36,E5)/36</f>
        <v>123519</v>
      </c>
      <c r="G5" s="98" t="n">
        <v>83375</v>
      </c>
      <c r="H5" s="92" t="n">
        <f aca="false">IF(F5=C5, 0, C5*0.65/36)</f>
        <v>0</v>
      </c>
      <c r="I5" s="86" t="n">
        <f aca="false">DATE(YEAR(A5), MONTH(A5)+36, DAY(A5))</f>
        <v>44543</v>
      </c>
      <c r="J5" s="99"/>
      <c r="K5" s="86" t="n">
        <v>43447</v>
      </c>
      <c r="L5" s="86" t="n">
        <v>44001</v>
      </c>
      <c r="M5" s="87" t="n">
        <v>0.0011</v>
      </c>
      <c r="N5" s="98" t="n">
        <v>83375</v>
      </c>
      <c r="O5" s="94" t="n">
        <f aca="false">M5*N5</f>
        <v>91.7125</v>
      </c>
      <c r="P5" s="95" t="n">
        <f aca="false">N5*K$1</f>
        <v>70335.15</v>
      </c>
      <c r="Q5" s="86" t="n">
        <f aca="false">MAX(DATE(YEAR(L5)+1,MONTH(L5),DAY(L5)),DATE(YEAR(K5)+2,MONTH(K5),DAY(K5)))</f>
        <v>44366</v>
      </c>
      <c r="R5" s="96" t="n">
        <f aca="false">IF($C$18&gt;Q5, P5*0.15, P5*0.35)</f>
        <v>10550.2725</v>
      </c>
      <c r="T5" s="97" t="n">
        <v>0.000766</v>
      </c>
      <c r="U5" s="20" t="n">
        <f aca="false">N5/T5</f>
        <v>108844647.519582</v>
      </c>
    </row>
    <row r="6" customFormat="false" ht="12.8" hidden="false" customHeight="false" outlineLevel="0" collapsed="false">
      <c r="A6" s="86" t="n">
        <v>43602</v>
      </c>
      <c r="B6" s="87" t="n">
        <v>0.0011</v>
      </c>
      <c r="C6" s="88" t="n">
        <v>38380</v>
      </c>
      <c r="D6" s="89" t="s">
        <v>96</v>
      </c>
      <c r="E6" s="90" t="n">
        <f aca="false">MAX(0,MIN(48*0.75,DATEDIF(A6,C$18,"M")-12))</f>
        <v>23</v>
      </c>
      <c r="F6" s="91" t="n">
        <f aca="false">0.25*C6*IF(DATEDIF(A6,$C$18,"Y")&gt;=1, 1, 0) + 0.75*C6*IF(DATEDIF(A6,$C$18,"Y")&gt;=1, MIN(36,E6)/36, 0)</f>
        <v>27985.4166666667</v>
      </c>
      <c r="G6" s="98" t="n">
        <v>10394</v>
      </c>
      <c r="H6" s="92" t="n">
        <f aca="false">IF(F6=C6, 0, IF(DATEDIF(A6,$C$18,"Y")&gt;=1, C6/48, 0))</f>
        <v>799.583333333333</v>
      </c>
      <c r="I6" s="86" t="n">
        <f aca="false">DATE(YEAR(A6)+1, MONTH(A6)+(48*0.75), DAY(A6))</f>
        <v>45063</v>
      </c>
      <c r="J6" s="99"/>
      <c r="K6" s="100" t="n">
        <v>43602</v>
      </c>
      <c r="L6" s="100" t="n">
        <v>44001</v>
      </c>
      <c r="M6" s="101" t="n">
        <v>0.0011</v>
      </c>
      <c r="N6" s="102" t="n">
        <v>10394</v>
      </c>
      <c r="O6" s="103" t="n">
        <f aca="false">M6*N6</f>
        <v>11.4334</v>
      </c>
      <c r="P6" s="104" t="n">
        <f aca="false">N6*K$1</f>
        <v>8768.3784</v>
      </c>
      <c r="Q6" s="100" t="n">
        <f aca="false">MAX(DATE(YEAR(L6)+1,MONTH(L6),DAY(L6)),DATE(YEAR(K6)+2,MONTH(K6),DAY(K6)))</f>
        <v>44366</v>
      </c>
      <c r="R6" s="105" t="n">
        <f aca="false">IF($C$18&gt;Q6, P6*0.15, P6*0.35)</f>
        <v>1315.25676</v>
      </c>
      <c r="T6" s="97" t="n">
        <v>9.6E-005</v>
      </c>
      <c r="U6" s="20" t="n">
        <f aca="false">N6/T6</f>
        <v>108270833.333333</v>
      </c>
    </row>
    <row r="7" customFormat="false" ht="12.8" hidden="false" customHeight="false" outlineLevel="0" collapsed="false">
      <c r="A7" s="86" t="n">
        <v>43769</v>
      </c>
      <c r="B7" s="87" t="n">
        <v>0.0011</v>
      </c>
      <c r="C7" s="88" t="n">
        <v>138965</v>
      </c>
      <c r="D7" s="89" t="s">
        <v>96</v>
      </c>
      <c r="E7" s="90" t="n">
        <f aca="false">MAX(0,MIN(48*0.75,DATEDIF(A7,C$18,"M")-12))</f>
        <v>17</v>
      </c>
      <c r="F7" s="91" t="n">
        <f aca="false">0.25*C7*IF(DATEDIF(A7,$C$18,"Y")&gt;=1, 1, 0) + 0.75*C7*IF(DATEDIF(A7,$C$18,"Y")&gt;=1, MIN(36,E7)/36, 0)</f>
        <v>83958.0208333333</v>
      </c>
      <c r="G7" s="88" t="n">
        <v>32400</v>
      </c>
      <c r="H7" s="92" t="n">
        <f aca="false">IF(F7=C7, 0, IF(DATEDIF(A7,$C$18,"Y")&gt;=1, C7/48, 0))</f>
        <v>2895.10416666667</v>
      </c>
      <c r="I7" s="86" t="n">
        <f aca="false">DATE(YEAR(A7)+1, MONTH(A7)+(48*0.75), DAY(A7))</f>
        <v>45230</v>
      </c>
      <c r="J7" s="93"/>
      <c r="Q7" s="106"/>
    </row>
    <row r="8" customFormat="false" ht="12.8" hidden="false" customHeight="false" outlineLevel="0" collapsed="false">
      <c r="A8" s="86" t="n">
        <v>44263</v>
      </c>
      <c r="B8" s="87" t="n">
        <v>0</v>
      </c>
      <c r="C8" s="88" t="n">
        <v>330000</v>
      </c>
      <c r="D8" s="107" t="s">
        <v>98</v>
      </c>
      <c r="E8" s="90" t="n">
        <f aca="false">MAX(0,MIN(48*0.75,DATEDIF(A8,C$18,"M")-12))</f>
        <v>1</v>
      </c>
      <c r="F8" s="91" t="n">
        <f aca="false">0.5*C8*IF($C$18 &gt;= DATE(2022,1,1), 1, 0) + 0.5*C8*IF(DATEDIF(A8,$C$18,"Y")&gt;=1, MIN(36,E8)/36, 0)</f>
        <v>169583.333333333</v>
      </c>
      <c r="G8" s="88" t="n">
        <v>0</v>
      </c>
      <c r="H8" s="92" t="n">
        <f aca="false">IF(F8=C8, 0, IF($C$18 &gt;= L9, C8*0.75/36, 0))</f>
        <v>6875</v>
      </c>
      <c r="I8" s="86" t="n">
        <f aca="false">DATE(YEAR(A8), MONTH(A8)+36, DAY(A8))</f>
        <v>45359</v>
      </c>
      <c r="J8" s="93"/>
      <c r="K8" s="86" t="n">
        <v>43769</v>
      </c>
      <c r="L8" s="108" t="n">
        <v>44324</v>
      </c>
      <c r="M8" s="87" t="n">
        <v>0.0011</v>
      </c>
      <c r="N8" s="88" t="n">
        <v>32400</v>
      </c>
      <c r="O8" s="94" t="n">
        <f aca="false">M8*N8</f>
        <v>35.64</v>
      </c>
      <c r="P8" s="95" t="n">
        <f aca="false">N8*$K$1</f>
        <v>27332.64</v>
      </c>
      <c r="Q8" s="106" t="n">
        <f aca="false">MAX(DATE(YEAR(L8)+1,MONTH(L8),DAY(L8)),DATE(YEAR(K8)+2,MONTH(K8),DAY(K8)))</f>
        <v>44689</v>
      </c>
      <c r="R8" s="96" t="n">
        <f aca="false">IF($C$18&gt;Q8, P8*0.15, P8*0.35)</f>
        <v>9566.424</v>
      </c>
    </row>
    <row r="9" customFormat="false" ht="12.8" hidden="false" customHeight="false" outlineLevel="0" collapsed="false">
      <c r="A9" s="90"/>
      <c r="B9" s="90"/>
      <c r="C9" s="90"/>
      <c r="D9" s="90"/>
      <c r="E9" s="90"/>
      <c r="F9" s="90"/>
      <c r="G9" s="90"/>
      <c r="H9" s="90"/>
      <c r="I9" s="90"/>
      <c r="J9" s="109"/>
      <c r="K9" s="86" t="n">
        <v>44263</v>
      </c>
      <c r="L9" s="108" t="n">
        <v>44642</v>
      </c>
      <c r="M9" s="87" t="n">
        <v>0</v>
      </c>
      <c r="N9" s="88" t="n">
        <v>165000</v>
      </c>
      <c r="O9" s="94" t="n">
        <f aca="false">M9*N9</f>
        <v>0</v>
      </c>
      <c r="P9" s="95" t="n">
        <f aca="false">N9*$K$1</f>
        <v>139194</v>
      </c>
      <c r="Q9" s="106" t="n">
        <f aca="false">MAX(DATE(YEAR(L9)+1,MONTH(L9),DAY(L9)),DATE(YEAR(K9)+2,MONTH(K9),DAY(K9)))</f>
        <v>45007</v>
      </c>
      <c r="R9" s="96" t="n">
        <f aca="false">IF($C$18&gt;Q9, P9*0.15, P9*0.35)</f>
        <v>48717.9</v>
      </c>
    </row>
    <row r="10" customFormat="false" ht="12.8" hidden="false" customHeight="false" outlineLevel="0" collapsed="false">
      <c r="A10" s="110"/>
      <c r="B10" s="90"/>
      <c r="C10" s="90"/>
      <c r="D10" s="90"/>
      <c r="E10" s="90"/>
      <c r="F10" s="90"/>
      <c r="G10" s="90"/>
      <c r="H10" s="90"/>
      <c r="I10" s="90"/>
      <c r="J10" s="109"/>
      <c r="K10" s="86"/>
      <c r="L10" s="108"/>
      <c r="M10" s="87"/>
      <c r="N10" s="88"/>
      <c r="O10" s="94"/>
      <c r="P10" s="95"/>
      <c r="Q10" s="86"/>
      <c r="R10" s="96"/>
    </row>
    <row r="11" customFormat="false" ht="12.8" hidden="false" customHeight="false" outlineLevel="0" collapsed="false">
      <c r="A11" s="88"/>
      <c r="B11" s="90"/>
      <c r="C11" s="90"/>
      <c r="D11" s="90"/>
      <c r="E11" s="90"/>
      <c r="F11" s="90"/>
      <c r="G11" s="90"/>
      <c r="H11" s="90"/>
      <c r="I11" s="90"/>
      <c r="J11" s="109"/>
      <c r="K11" s="90"/>
      <c r="L11" s="90"/>
      <c r="M11" s="90"/>
      <c r="N11" s="88"/>
      <c r="O11" s="94"/>
      <c r="P11" s="95"/>
      <c r="Q11" s="90"/>
      <c r="R11" s="90"/>
    </row>
    <row r="12" customFormat="false" ht="12.8" hidden="false" customHeight="false" outlineLevel="0" collapsed="false">
      <c r="A12" s="111"/>
      <c r="B12" s="110"/>
      <c r="C12" s="90"/>
      <c r="D12" s="90"/>
      <c r="E12" s="90"/>
      <c r="F12" s="90"/>
      <c r="G12" s="90"/>
      <c r="H12" s="90"/>
      <c r="I12" s="90"/>
      <c r="J12" s="109"/>
      <c r="K12" s="90"/>
      <c r="L12" s="90"/>
      <c r="M12" s="90"/>
      <c r="N12" s="95"/>
      <c r="O12" s="94"/>
      <c r="P12" s="90"/>
      <c r="Q12" s="90"/>
      <c r="R12" s="90"/>
    </row>
    <row r="13" customFormat="false" ht="12.8" hidden="false" customHeight="false" outlineLevel="0" collapsed="false">
      <c r="A13" s="112"/>
      <c r="B13" s="113"/>
      <c r="C13" s="85"/>
      <c r="D13" s="90"/>
      <c r="E13" s="90"/>
      <c r="F13" s="85"/>
      <c r="G13" s="85"/>
      <c r="H13" s="85"/>
      <c r="I13" s="85"/>
      <c r="J13" s="114"/>
      <c r="K13" s="90"/>
      <c r="L13" s="90"/>
      <c r="M13" s="90"/>
      <c r="N13" s="95"/>
      <c r="O13" s="94"/>
      <c r="P13" s="90"/>
      <c r="Q13" s="90"/>
      <c r="R13" s="90"/>
    </row>
    <row r="14" customFormat="false" ht="12.8" hidden="false" customHeight="false" outlineLevel="0" collapsed="false">
      <c r="A14" s="86"/>
      <c r="B14" s="87"/>
      <c r="C14" s="88"/>
      <c r="D14" s="90"/>
      <c r="E14" s="90"/>
      <c r="F14" s="90"/>
      <c r="G14" s="90"/>
      <c r="H14" s="90"/>
      <c r="I14" s="90"/>
      <c r="J14" s="109"/>
      <c r="K14" s="90"/>
      <c r="L14" s="90"/>
      <c r="M14" s="90"/>
      <c r="N14" s="95"/>
      <c r="O14" s="94"/>
      <c r="P14" s="90"/>
      <c r="Q14" s="90"/>
      <c r="R14" s="90"/>
    </row>
    <row r="15" customFormat="false" ht="12.8" hidden="false" customHeight="false" outlineLevel="0" collapsed="false">
      <c r="A15" s="86"/>
      <c r="B15" s="87"/>
      <c r="C15" s="88"/>
      <c r="D15" s="90"/>
      <c r="E15" s="90"/>
      <c r="F15" s="90"/>
      <c r="G15" s="90"/>
      <c r="H15" s="90"/>
      <c r="I15" s="90"/>
      <c r="J15" s="109"/>
      <c r="K15" s="90"/>
      <c r="L15" s="90"/>
      <c r="M15" s="90"/>
      <c r="N15" s="95"/>
      <c r="O15" s="90"/>
      <c r="P15" s="90"/>
      <c r="Q15" s="90"/>
      <c r="R15" s="90"/>
    </row>
    <row r="16" customFormat="false" ht="15" hidden="false" customHeight="false" outlineLevel="0" collapsed="false">
      <c r="A16" s="115" t="str">
        <f aca="false">"Grants: "&amp;COUNT(A4:A7)</f>
        <v>Grants: 4</v>
      </c>
      <c r="B16" s="116"/>
      <c r="C16" s="117" t="n">
        <f aca="false">SUM(C4:C14)</f>
        <v>660864</v>
      </c>
      <c r="D16" s="117"/>
      <c r="E16" s="118"/>
      <c r="F16" s="119" t="n">
        <f aca="false">SUM(F4:F14)</f>
        <v>435045.770833333</v>
      </c>
      <c r="G16" s="117" t="n">
        <f aca="false">SUM(G4:G14)</f>
        <v>156169</v>
      </c>
      <c r="H16" s="120" t="n">
        <f aca="false">SUM(H4:H8)*K1</f>
        <v>8916.588375</v>
      </c>
      <c r="I16" s="121"/>
      <c r="J16" s="122"/>
      <c r="K16" s="123" t="s">
        <v>99</v>
      </c>
      <c r="L16" s="123"/>
      <c r="M16" s="123"/>
      <c r="N16" s="123"/>
      <c r="O16" s="123"/>
      <c r="P16" s="124" t="n">
        <f aca="false">SUM(P4:P10)</f>
        <v>270938.1684</v>
      </c>
      <c r="Q16" s="124"/>
      <c r="R16" s="124"/>
    </row>
    <row r="17" customFormat="false" ht="15" hidden="false" customHeight="false" outlineLevel="0" collapsed="false">
      <c r="A17" s="125" t="s">
        <v>100</v>
      </c>
      <c r="B17" s="126"/>
      <c r="C17" s="127" t="n">
        <f aca="false">SUM(H4:H14)</f>
        <v>10569.6875</v>
      </c>
      <c r="D17" s="127"/>
      <c r="E17" s="128"/>
      <c r="F17" s="129" t="n">
        <f aca="false">F16/C16</f>
        <v>0.658298486274534</v>
      </c>
      <c r="G17" s="129" t="n">
        <f aca="false">G16/F16</f>
        <v>0.358971424319002</v>
      </c>
      <c r="H17" s="128"/>
      <c r="I17" s="128"/>
      <c r="J17" s="130"/>
      <c r="K17" s="123" t="s">
        <v>101</v>
      </c>
      <c r="L17" s="123"/>
      <c r="M17" s="123"/>
      <c r="N17" s="123"/>
      <c r="O17" s="123"/>
      <c r="P17" s="131" t="n">
        <f aca="false">SUM(R4:R10)</f>
        <v>73946.05326</v>
      </c>
      <c r="Q17" s="131"/>
      <c r="R17" s="131"/>
    </row>
    <row r="18" customFormat="false" ht="22.05" hidden="false" customHeight="false" outlineLevel="0" collapsed="false">
      <c r="A18" s="86"/>
      <c r="B18" s="85" t="s">
        <v>102</v>
      </c>
      <c r="C18" s="132" t="n">
        <v>44671</v>
      </c>
      <c r="D18" s="88"/>
      <c r="E18" s="90"/>
      <c r="F18" s="90"/>
      <c r="G18" s="90"/>
      <c r="H18" s="133" t="n">
        <f aca="false">H16*12</f>
        <v>106999.0605</v>
      </c>
      <c r="I18" s="90"/>
      <c r="J18" s="90"/>
      <c r="K18" s="134" t="s">
        <v>103</v>
      </c>
      <c r="L18" s="134"/>
      <c r="M18" s="134"/>
      <c r="N18" s="134"/>
      <c r="O18" s="134"/>
      <c r="P18" s="135" t="n">
        <f aca="false">P16-P17</f>
        <v>196992.11514</v>
      </c>
      <c r="Q18" s="135"/>
      <c r="R18" s="135"/>
    </row>
    <row r="19" customFormat="false" ht="15" hidden="false" customHeight="false" outlineLevel="0" collapsed="false">
      <c r="A19" s="86"/>
      <c r="B19" s="85"/>
      <c r="C19" s="132"/>
      <c r="D19" s="88"/>
      <c r="E19" s="90"/>
      <c r="F19" s="90"/>
      <c r="G19" s="90"/>
      <c r="H19" s="90"/>
      <c r="I19" s="90"/>
      <c r="J19" s="90"/>
      <c r="K19" s="136" t="s">
        <v>104</v>
      </c>
      <c r="L19" s="136"/>
      <c r="M19" s="136"/>
      <c r="N19" s="136"/>
      <c r="O19" s="136"/>
      <c r="P19" s="137" t="n">
        <f aca="false">(C16-G16)*K1*0.65</f>
        <v>276744.4563</v>
      </c>
      <c r="Q19" s="137"/>
      <c r="R19" s="137"/>
    </row>
    <row r="23" customFormat="false" ht="12.8" hidden="false" customHeight="false" outlineLevel="0" collapsed="false">
      <c r="N23" s="0" t="n">
        <f aca="false">948+7603+2735</f>
        <v>11286</v>
      </c>
    </row>
    <row r="24" customFormat="false" ht="12.8" hidden="false" customHeight="false" outlineLevel="0" collapsed="false">
      <c r="N24" s="0" t="n">
        <f aca="false">321169*0.0912</f>
        <v>29290.6128</v>
      </c>
    </row>
    <row r="26" customFormat="false" ht="12.8" hidden="false" customHeight="false" outlineLevel="0" collapsed="false">
      <c r="N26" s="0" t="n">
        <f aca="false">330864*Q1</f>
        <v>30174.7968</v>
      </c>
    </row>
  </sheetData>
  <mergeCells count="14">
    <mergeCell ref="A1:I1"/>
    <mergeCell ref="K1:M1"/>
    <mergeCell ref="N1:P1"/>
    <mergeCell ref="Q1:R1"/>
    <mergeCell ref="A2:I2"/>
    <mergeCell ref="K2:R2"/>
    <mergeCell ref="K16:O16"/>
    <mergeCell ref="P16:R16"/>
    <mergeCell ref="K17:O17"/>
    <mergeCell ref="P17:R17"/>
    <mergeCell ref="K18:O18"/>
    <mergeCell ref="P18:R18"/>
    <mergeCell ref="K19:O19"/>
    <mergeCell ref="P19:R19"/>
  </mergeCells>
  <conditionalFormatting sqref="I4:I8">
    <cfRule type="cellIs" priority="2" operator="lessThanOrEqual" aboveAverage="0" equalAverage="0" bottom="0" percent="0" rank="0" text="" dxfId="0">
      <formula>TODAY()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6" activeCellId="0" sqref="I6"/>
    </sheetView>
  </sheetViews>
  <sheetFormatPr defaultRowHeight="12.8" zeroHeight="false" outlineLevelRow="0" outlineLevelCol="0"/>
  <cols>
    <col collapsed="false" customWidth="true" hidden="false" outlineLevel="0" max="1" min="1" style="0" width="14.23"/>
    <col collapsed="false" customWidth="true" hidden="false" outlineLevel="0" max="2" min="2" style="0" width="13.09"/>
    <col collapsed="false" customWidth="true" hidden="false" outlineLevel="0" max="3" min="3" style="0" width="1.62"/>
    <col collapsed="false" customWidth="true" hidden="false" outlineLevel="0" max="4" min="4" style="0" width="11.9"/>
    <col collapsed="false" customWidth="true" hidden="false" outlineLevel="0" max="5" min="5" style="0" width="10.73"/>
    <col collapsed="false" customWidth="true" hidden="false" outlineLevel="0" max="6" min="6" style="0" width="1.62"/>
    <col collapsed="false" customWidth="true" hidden="false" outlineLevel="0" max="7" min="7" style="0" width="6.69"/>
    <col collapsed="false" customWidth="true" hidden="false" outlineLevel="0" max="8" min="8" style="0" width="5.16"/>
    <col collapsed="false" customWidth="true" hidden="false" outlineLevel="0" max="9" min="9" style="0" width="17.92"/>
    <col collapsed="false" customWidth="true" hidden="false" outlineLevel="0" max="10" min="10" style="0" width="7.73"/>
    <col collapsed="false" customWidth="true" hidden="false" outlineLevel="0" max="11" min="11" style="0" width="9.23"/>
    <col collapsed="false" customWidth="true" hidden="false" outlineLevel="0" max="12" min="12" style="0" width="7.73"/>
    <col collapsed="false" customWidth="true" hidden="false" outlineLevel="0" max="13" min="13" style="0" width="9.85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0" t="s">
        <v>44</v>
      </c>
      <c r="B1" s="21" t="n">
        <v>12550</v>
      </c>
      <c r="C1" s="138"/>
      <c r="D1" s="0" t="s">
        <v>58</v>
      </c>
      <c r="E1" s="21" t="n">
        <f aca="false">B8-B1+E2</f>
        <v>237450</v>
      </c>
      <c r="F1" s="139"/>
      <c r="I1" s="7" t="s">
        <v>45</v>
      </c>
      <c r="J1" s="7" t="s">
        <v>47</v>
      </c>
      <c r="K1" s="7" t="s">
        <v>77</v>
      </c>
      <c r="L1" s="7" t="s">
        <v>47</v>
      </c>
      <c r="M1" s="7" t="s">
        <v>78</v>
      </c>
    </row>
    <row r="2" customFormat="false" ht="12.8" hidden="false" customHeight="false" outlineLevel="0" collapsed="false">
      <c r="A2" s="0" t="s">
        <v>46</v>
      </c>
      <c r="B2" s="0" t="n">
        <v>73600</v>
      </c>
      <c r="C2" s="138"/>
      <c r="D2" s="0" t="s">
        <v>105</v>
      </c>
      <c r="E2" s="21"/>
      <c r="F2" s="139"/>
      <c r="I2" s="21" t="n">
        <f aca="false">MAX(0,E1-B18)*A19+MIN(B18-B17,MAX(0,E1-B17))*A18+MIN(B17-B16,MAX(0,E1-B16))*A17+MIN(B16-B15,MAX(0,E1-B15))*A16+MIN(B15-B14,MAX(0,E1-B14))*A15+MIN(B14-B13,MAX(0,E1-B13))*A14+MIN(B13,MAX(0,E1))*A13+MAX(0,IF(E4&gt;E13,(E4-E13)*D14, 0))+MAX(0,IF(E4&gt;B23,MIN((B24-B23),(E3-B23))*A24, 0))+MAX(0,IF(E4&gt;B24,(E3-B24)*A25, 0))</f>
        <v>59074.85</v>
      </c>
      <c r="J2" s="26" t="n">
        <f aca="false">I2/(E4)</f>
        <v>0.248788587070962</v>
      </c>
      <c r="K2" s="21" t="n">
        <f aca="false">MIN(E18,E8)*D18+MAX(0,IF(E8&gt;E18,(E8-E18)*D19, 0))</f>
        <v>45864</v>
      </c>
      <c r="L2" s="26" t="n">
        <f aca="false">K2/(E6)</f>
        <v>0.183456</v>
      </c>
      <c r="M2" s="21" t="n">
        <f aca="false">MAX(0,(I2-K2))/((D18+D19)/2)</f>
        <v>48929.0740740741</v>
      </c>
      <c r="N2" s="21" t="n">
        <f aca="false">MAX(0,(K2-I2))/0.35</f>
        <v>0</v>
      </c>
    </row>
    <row r="3" customFormat="false" ht="12.8" hidden="false" customHeight="false" outlineLevel="0" collapsed="false">
      <c r="A3" s="0" t="s">
        <v>50</v>
      </c>
      <c r="B3" s="0" t="n">
        <v>523600</v>
      </c>
      <c r="C3" s="138"/>
      <c r="D3" s="0" t="s">
        <v>55</v>
      </c>
      <c r="E3" s="21"/>
      <c r="F3" s="140"/>
    </row>
    <row r="4" customFormat="false" ht="12.8" hidden="false" customHeight="false" outlineLevel="0" collapsed="false">
      <c r="A4" s="0" t="s">
        <v>53</v>
      </c>
      <c r="B4" s="27" t="n">
        <v>0.25</v>
      </c>
      <c r="C4" s="138"/>
      <c r="D4" s="0" t="s">
        <v>106</v>
      </c>
      <c r="E4" s="21" t="n">
        <f aca="false">E1+E3</f>
        <v>237450</v>
      </c>
      <c r="F4" s="140"/>
    </row>
    <row r="5" customFormat="false" ht="12.8" hidden="false" customHeight="false" outlineLevel="0" collapsed="false">
      <c r="A5" s="0" t="s">
        <v>107</v>
      </c>
      <c r="B5" s="11" t="n">
        <v>44378</v>
      </c>
      <c r="C5" s="138"/>
      <c r="D5" s="0" t="s">
        <v>72</v>
      </c>
      <c r="E5" s="21" t="n">
        <v>0</v>
      </c>
      <c r="F5" s="139"/>
    </row>
    <row r="6" customFormat="false" ht="12.8" hidden="false" customHeight="false" outlineLevel="0" collapsed="false">
      <c r="A6" s="0" t="s">
        <v>108</v>
      </c>
      <c r="B6" s="0" t="n">
        <v>180</v>
      </c>
      <c r="C6" s="138"/>
      <c r="D6" s="0" t="s">
        <v>109</v>
      </c>
      <c r="E6" s="21" t="n">
        <f aca="false">B8+E2+E3+E5</f>
        <v>250000</v>
      </c>
      <c r="F6" s="139"/>
      <c r="I6" s="50"/>
      <c r="K6" s="50"/>
    </row>
    <row r="7" customFormat="false" ht="12.8" hidden="false" customHeight="false" outlineLevel="0" collapsed="false">
      <c r="A7" s="0" t="s">
        <v>110</v>
      </c>
      <c r="B7" s="11" t="n">
        <f aca="false">B5+B6</f>
        <v>44558</v>
      </c>
      <c r="C7" s="138"/>
      <c r="D7" s="0" t="s">
        <v>111</v>
      </c>
      <c r="E7" s="21" t="n">
        <f aca="false">MIN(B2,MAX(0,B4*(E6-B3)))</f>
        <v>0</v>
      </c>
      <c r="F7" s="139"/>
      <c r="I7" s="21"/>
    </row>
    <row r="8" customFormat="false" ht="12.8" hidden="false" customHeight="false" outlineLevel="0" collapsed="false">
      <c r="A8" s="7" t="s">
        <v>112</v>
      </c>
      <c r="B8" s="55" t="n">
        <v>250000</v>
      </c>
      <c r="C8" s="139"/>
      <c r="D8" s="40" t="s">
        <v>76</v>
      </c>
      <c r="E8" s="21" t="n">
        <f aca="false">E6-B2+E7</f>
        <v>176400</v>
      </c>
      <c r="F8" s="139"/>
      <c r="I8" s="21"/>
    </row>
    <row r="11" customFormat="false" ht="12.8" hidden="false" customHeight="false" outlineLevel="0" collapsed="false">
      <c r="A11" s="19" t="s">
        <v>45</v>
      </c>
      <c r="B11" s="19"/>
      <c r="C11" s="19"/>
      <c r="D11" s="19" t="s">
        <v>75</v>
      </c>
      <c r="E11" s="19"/>
      <c r="F11" s="21"/>
    </row>
    <row r="12" customFormat="false" ht="12.8" hidden="false" customHeight="false" outlineLevel="0" collapsed="false">
      <c r="A12" s="35" t="s">
        <v>47</v>
      </c>
      <c r="B12" s="35" t="s">
        <v>48</v>
      </c>
      <c r="C12" s="141"/>
      <c r="D12" s="35" t="s">
        <v>47</v>
      </c>
      <c r="E12" s="35" t="s">
        <v>48</v>
      </c>
      <c r="F12" s="21"/>
    </row>
    <row r="13" customFormat="false" ht="12.8" hidden="false" customHeight="false" outlineLevel="0" collapsed="false">
      <c r="A13" s="142" t="s">
        <v>51</v>
      </c>
      <c r="B13" s="39" t="n">
        <v>9950</v>
      </c>
      <c r="C13" s="143"/>
      <c r="D13" s="144" t="n">
        <v>0</v>
      </c>
      <c r="E13" s="39" t="n">
        <v>200000</v>
      </c>
      <c r="F13" s="21"/>
    </row>
    <row r="14" customFormat="false" ht="12.8" hidden="false" customHeight="false" outlineLevel="0" collapsed="false">
      <c r="A14" s="142" t="s">
        <v>54</v>
      </c>
      <c r="B14" s="39" t="n">
        <v>40525</v>
      </c>
      <c r="C14" s="143"/>
      <c r="D14" s="144" t="n">
        <v>0.038</v>
      </c>
      <c r="F14" s="21"/>
    </row>
    <row r="15" customFormat="false" ht="12.8" hidden="false" customHeight="false" outlineLevel="0" collapsed="false">
      <c r="A15" s="142" t="s">
        <v>57</v>
      </c>
      <c r="B15" s="39" t="n">
        <v>86375</v>
      </c>
      <c r="C15" s="143"/>
      <c r="F15" s="21"/>
    </row>
    <row r="16" customFormat="false" ht="12.8" hidden="false" customHeight="false" outlineLevel="0" collapsed="false">
      <c r="A16" s="142" t="s">
        <v>61</v>
      </c>
      <c r="B16" s="39" t="n">
        <v>164925</v>
      </c>
      <c r="C16" s="143"/>
      <c r="D16" s="19" t="s">
        <v>77</v>
      </c>
      <c r="E16" s="19"/>
      <c r="F16" s="25"/>
    </row>
    <row r="17" customFormat="false" ht="12.8" hidden="false" customHeight="false" outlineLevel="0" collapsed="false">
      <c r="A17" s="142" t="s">
        <v>63</v>
      </c>
      <c r="B17" s="39" t="n">
        <v>209425</v>
      </c>
      <c r="C17" s="143"/>
      <c r="D17" s="35" t="s">
        <v>47</v>
      </c>
      <c r="E17" s="35" t="s">
        <v>48</v>
      </c>
      <c r="F17" s="26"/>
      <c r="G17" s="50"/>
    </row>
    <row r="18" customFormat="false" ht="12.8" hidden="false" customHeight="false" outlineLevel="0" collapsed="false">
      <c r="A18" s="142" t="s">
        <v>66</v>
      </c>
      <c r="B18" s="39" t="n">
        <v>523600</v>
      </c>
      <c r="C18" s="143"/>
      <c r="D18" s="142" t="s">
        <v>79</v>
      </c>
      <c r="E18" s="39" t="n">
        <v>199900</v>
      </c>
    </row>
    <row r="19" customFormat="false" ht="12.8" hidden="false" customHeight="false" outlineLevel="0" collapsed="false">
      <c r="A19" s="142" t="s">
        <v>69</v>
      </c>
      <c r="B19" s="145"/>
      <c r="C19" s="143"/>
      <c r="D19" s="142" t="s">
        <v>81</v>
      </c>
      <c r="E19" s="145"/>
    </row>
    <row r="21" customFormat="false" ht="12.8" hidden="false" customHeight="false" outlineLevel="0" collapsed="false">
      <c r="A21" s="19" t="s">
        <v>113</v>
      </c>
      <c r="B21" s="19"/>
      <c r="C21" s="19"/>
    </row>
    <row r="22" customFormat="false" ht="12.8" hidden="false" customHeight="false" outlineLevel="0" collapsed="false">
      <c r="A22" s="35" t="s">
        <v>47</v>
      </c>
      <c r="B22" s="35" t="s">
        <v>48</v>
      </c>
      <c r="C22" s="43"/>
      <c r="F22" s="21"/>
    </row>
    <row r="23" customFormat="false" ht="12.8" hidden="false" customHeight="false" outlineLevel="0" collapsed="false">
      <c r="A23" s="146" t="n">
        <v>0</v>
      </c>
      <c r="B23" s="39" t="n">
        <v>40400</v>
      </c>
      <c r="C23" s="50"/>
      <c r="F23" s="21"/>
    </row>
    <row r="24" customFormat="false" ht="12.8" hidden="false" customHeight="false" outlineLevel="0" collapsed="false">
      <c r="A24" s="146" t="n">
        <v>0.15</v>
      </c>
      <c r="B24" s="145" t="n">
        <v>445850</v>
      </c>
      <c r="C24" s="50"/>
      <c r="F24" s="21"/>
    </row>
    <row r="25" customFormat="false" ht="12.8" hidden="false" customHeight="false" outlineLevel="0" collapsed="false">
      <c r="A25" s="147" t="n">
        <v>0.2</v>
      </c>
      <c r="C25" s="50"/>
      <c r="F25" s="21"/>
    </row>
  </sheetData>
  <mergeCells count="4">
    <mergeCell ref="A11:B11"/>
    <mergeCell ref="D11:E11"/>
    <mergeCell ref="D16:E16"/>
    <mergeCell ref="A21:B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D19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P8" activeCellId="0" sqref="P8"/>
    </sheetView>
  </sheetViews>
  <sheetFormatPr defaultRowHeight="12.8" zeroHeight="false" outlineLevelRow="0" outlineLevelCol="0"/>
  <cols>
    <col collapsed="false" customWidth="true" hidden="false" outlineLevel="0" max="1" min="1" style="148" width="13.1"/>
    <col collapsed="false" customWidth="true" hidden="false" outlineLevel="0" max="2" min="2" style="148" width="7.82"/>
    <col collapsed="false" customWidth="true" hidden="false" outlineLevel="0" max="3" min="3" style="148" width="11.43"/>
    <col collapsed="false" customWidth="true" hidden="false" outlineLevel="0" max="4" min="4" style="149" width="5.88"/>
    <col collapsed="false" customWidth="true" hidden="false" outlineLevel="0" max="5" min="5" style="148" width="18.38"/>
    <col collapsed="false" customWidth="true" hidden="false" outlineLevel="0" max="6" min="6" style="148" width="4.63"/>
    <col collapsed="false" customWidth="true" hidden="false" outlineLevel="0" max="7" min="7" style="148" width="4.48"/>
    <col collapsed="false" customWidth="true" hidden="false" outlineLevel="0" max="8" min="8" style="148" width="13.65"/>
    <col collapsed="false" customWidth="true" hidden="false" outlineLevel="0" max="9" min="9" style="148" width="11.43"/>
    <col collapsed="false" customWidth="true" hidden="false" outlineLevel="0" max="10" min="10" style="148" width="6.16"/>
    <col collapsed="false" customWidth="true" hidden="false" outlineLevel="0" max="11" min="11" style="148" width="16.87"/>
    <col collapsed="false" customWidth="true" hidden="false" outlineLevel="0" max="12" min="12" style="148" width="5.42"/>
    <col collapsed="false" customWidth="true" hidden="false" outlineLevel="0" max="13" min="13" style="148" width="13.1"/>
    <col collapsed="false" customWidth="true" hidden="false" outlineLevel="0" max="14" min="14" style="148" width="12.13"/>
    <col collapsed="false" customWidth="true" hidden="false" outlineLevel="0" max="15" min="15" style="148" width="7.68"/>
    <col collapsed="false" customWidth="true" hidden="false" outlineLevel="0" max="16" min="16" style="148" width="9.07"/>
    <col collapsed="false" customWidth="true" hidden="false" outlineLevel="0" max="17" min="17" style="148" width="6.98"/>
    <col collapsed="false" customWidth="true" hidden="false" outlineLevel="0" max="18" min="18" style="148" width="17.4"/>
    <col collapsed="false" customWidth="true" hidden="false" outlineLevel="0" max="1025" min="19" style="148" width="14.5"/>
  </cols>
  <sheetData>
    <row r="1" customFormat="false" ht="22.05" hidden="false" customHeight="false" outlineLevel="0" collapsed="false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8"/>
      <c r="M1" s="79" t="n">
        <v>2.5</v>
      </c>
      <c r="N1" s="79"/>
      <c r="O1" s="79"/>
      <c r="P1" s="79"/>
      <c r="Q1" s="79"/>
      <c r="R1" s="79"/>
      <c r="S1" s="79"/>
      <c r="T1" s="79"/>
      <c r="U1" s="85"/>
      <c r="V1" s="0"/>
      <c r="W1" s="0"/>
      <c r="X1" s="85"/>
      <c r="Y1" s="85"/>
      <c r="Z1" s="85"/>
      <c r="AA1" s="85"/>
      <c r="AB1" s="85"/>
      <c r="AC1" s="85"/>
      <c r="AD1" s="85"/>
    </row>
    <row r="2" customFormat="false" ht="19.7" hidden="false" customHeight="false" outlineLevel="0" collapsed="false">
      <c r="A2" s="81" t="s">
        <v>82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2" t="s">
        <v>83</v>
      </c>
      <c r="N2" s="82"/>
      <c r="O2" s="82"/>
      <c r="P2" s="82"/>
      <c r="Q2" s="82"/>
      <c r="R2" s="82"/>
      <c r="S2" s="82"/>
      <c r="T2" s="82"/>
      <c r="U2" s="85"/>
      <c r="V2" s="85"/>
      <c r="W2" s="85"/>
      <c r="X2" s="85"/>
      <c r="Y2" s="85"/>
      <c r="Z2" s="85"/>
      <c r="AA2" s="85"/>
      <c r="AB2" s="85"/>
      <c r="AC2" s="85"/>
      <c r="AD2" s="85"/>
    </row>
    <row r="3" customFormat="false" ht="13.65" hidden="false" customHeight="true" outlineLevel="0" collapsed="false">
      <c r="A3" s="83" t="s">
        <v>84</v>
      </c>
      <c r="B3" s="83" t="s">
        <v>85</v>
      </c>
      <c r="C3" s="83" t="s">
        <v>21</v>
      </c>
      <c r="D3" s="83" t="s">
        <v>114</v>
      </c>
      <c r="E3" s="83" t="s">
        <v>86</v>
      </c>
      <c r="F3" s="83" t="s">
        <v>115</v>
      </c>
      <c r="G3" s="83" t="s">
        <v>87</v>
      </c>
      <c r="H3" s="83" t="s">
        <v>88</v>
      </c>
      <c r="I3" s="83" t="s">
        <v>89</v>
      </c>
      <c r="J3" s="83" t="s">
        <v>116</v>
      </c>
      <c r="K3" s="83" t="s">
        <v>117</v>
      </c>
      <c r="L3" s="84"/>
      <c r="M3" s="83" t="s">
        <v>84</v>
      </c>
      <c r="N3" s="83" t="s">
        <v>92</v>
      </c>
      <c r="O3" s="83" t="s">
        <v>85</v>
      </c>
      <c r="P3" s="83" t="s">
        <v>21</v>
      </c>
      <c r="Q3" s="83" t="s">
        <v>93</v>
      </c>
      <c r="R3" s="83" t="s">
        <v>94</v>
      </c>
      <c r="S3" s="85" t="s">
        <v>95</v>
      </c>
      <c r="T3" s="85" t="s">
        <v>22</v>
      </c>
      <c r="U3" s="85"/>
      <c r="V3" s="85"/>
      <c r="W3" s="85"/>
      <c r="X3" s="85"/>
      <c r="Y3" s="85"/>
      <c r="Z3" s="85"/>
      <c r="AA3" s="85"/>
      <c r="AB3" s="85"/>
      <c r="AC3" s="85"/>
      <c r="AD3" s="85"/>
    </row>
    <row r="4" customFormat="false" ht="15.85" hidden="false" customHeight="true" outlineLevel="0" collapsed="false">
      <c r="A4" s="86" t="n">
        <v>42457</v>
      </c>
      <c r="B4" s="87" t="n">
        <v>0.0011</v>
      </c>
      <c r="C4" s="88" t="n">
        <v>30000</v>
      </c>
      <c r="D4" s="150" t="n">
        <v>1</v>
      </c>
      <c r="E4" s="151" t="s">
        <v>96</v>
      </c>
      <c r="F4" s="152" t="n">
        <f aca="false">DATEDIF(A4,C18,"Y")</f>
        <v>4</v>
      </c>
      <c r="G4" s="90" t="n">
        <f aca="false">MAX(0,MIN(48*0.75,DATEDIF(A4,C18,"M")-12))</f>
        <v>36</v>
      </c>
      <c r="H4" s="91" t="n">
        <f aca="false">C4*0.25+C4*G4/48</f>
        <v>30000</v>
      </c>
      <c r="I4" s="88" t="n">
        <v>30000</v>
      </c>
      <c r="J4" s="153" t="n">
        <f aca="false">H4/C4</f>
        <v>1</v>
      </c>
      <c r="K4" s="86" t="n">
        <f aca="false">DATE(YEAR(A4)+4, MONTH(A4), DAY(A4))</f>
        <v>43918</v>
      </c>
      <c r="L4" s="93"/>
      <c r="M4" s="86" t="n">
        <v>42457</v>
      </c>
      <c r="N4" s="86" t="n">
        <v>44001</v>
      </c>
      <c r="O4" s="87" t="n">
        <v>0.0011</v>
      </c>
      <c r="P4" s="88" t="n">
        <v>30000</v>
      </c>
      <c r="Q4" s="94" t="n">
        <f aca="false">P4*O4</f>
        <v>33</v>
      </c>
      <c r="R4" s="95" t="n">
        <f aca="false">P4*M$1</f>
        <v>75000</v>
      </c>
      <c r="S4" s="86" t="n">
        <f aca="false">DATE(YEAR(N4)+1,MONTH(N4),DAY(N4))</f>
        <v>44366</v>
      </c>
      <c r="T4" s="96" t="n">
        <f aca="false">IF($C$18&gt;S4, R4*0.15, R4*0.35)</f>
        <v>26250</v>
      </c>
      <c r="U4" s="90"/>
      <c r="V4" s="90"/>
      <c r="W4" s="90"/>
      <c r="X4" s="90"/>
      <c r="Y4" s="90"/>
      <c r="Z4" s="90"/>
      <c r="AA4" s="90"/>
      <c r="AB4" s="90"/>
      <c r="AC4" s="90"/>
      <c r="AD4" s="90"/>
    </row>
    <row r="5" customFormat="false" ht="15.85" hidden="false" customHeight="true" outlineLevel="0" collapsed="false">
      <c r="A5" s="86" t="n">
        <v>43447</v>
      </c>
      <c r="B5" s="87" t="n">
        <v>0.0011</v>
      </c>
      <c r="C5" s="88" t="n">
        <v>123519</v>
      </c>
      <c r="D5" s="150" t="n">
        <v>1</v>
      </c>
      <c r="E5" s="151" t="s">
        <v>97</v>
      </c>
      <c r="F5" s="154" t="s">
        <v>118</v>
      </c>
      <c r="G5" s="90" t="n">
        <f aca="false">MAX(0,MIN(36,DATEDIF(A5,C18,"M")))</f>
        <v>18</v>
      </c>
      <c r="H5" s="91" t="n">
        <f aca="false">C5*0.35+(C5*0.65)*G5/36</f>
        <v>83375.325</v>
      </c>
      <c r="I5" s="98" t="n">
        <v>83375</v>
      </c>
      <c r="J5" s="153" t="n">
        <f aca="false">H5/C5</f>
        <v>0.675</v>
      </c>
      <c r="K5" s="86" t="n">
        <f aca="false">DATE(YEAR(A5)+3, MONTH(A5), DAY(A5))</f>
        <v>44543</v>
      </c>
      <c r="L5" s="99"/>
      <c r="M5" s="86" t="n">
        <v>43447</v>
      </c>
      <c r="N5" s="86" t="n">
        <v>44001</v>
      </c>
      <c r="O5" s="87" t="n">
        <v>0.0011</v>
      </c>
      <c r="P5" s="98" t="n">
        <v>83375</v>
      </c>
      <c r="Q5" s="94" t="n">
        <f aca="false">O5*P5</f>
        <v>91.7125</v>
      </c>
      <c r="R5" s="95" t="n">
        <f aca="false">P5*M$1</f>
        <v>208437.5</v>
      </c>
      <c r="S5" s="86" t="n">
        <f aca="false">DATE(YEAR(N5)+1,MONTH(N5),DAY(N5))</f>
        <v>44366</v>
      </c>
      <c r="T5" s="96" t="n">
        <f aca="false">IF($C$18&gt;S5, R5*0.15, R5*0.35)</f>
        <v>72953.125</v>
      </c>
      <c r="U5" s="90"/>
      <c r="V5" s="90"/>
      <c r="W5" s="90"/>
      <c r="X5" s="90"/>
      <c r="Y5" s="90"/>
      <c r="Z5" s="90"/>
      <c r="AA5" s="90"/>
      <c r="AB5" s="90"/>
      <c r="AC5" s="90"/>
      <c r="AD5" s="90"/>
    </row>
    <row r="6" customFormat="false" ht="15.85" hidden="false" customHeight="true" outlineLevel="0" collapsed="false">
      <c r="A6" s="86" t="n">
        <v>43602</v>
      </c>
      <c r="B6" s="87" t="n">
        <v>0.0011</v>
      </c>
      <c r="C6" s="88" t="n">
        <v>38380</v>
      </c>
      <c r="D6" s="150" t="n">
        <v>1</v>
      </c>
      <c r="E6" s="151" t="s">
        <v>96</v>
      </c>
      <c r="F6" s="152" t="n">
        <f aca="false">DATEDIF(A6,C18,"Y")</f>
        <v>1</v>
      </c>
      <c r="G6" s="90" t="n">
        <f aca="false">MAX(0,MIN(48*0.75,DATEDIF(A6,C18,"M")-12))</f>
        <v>1</v>
      </c>
      <c r="H6" s="91" t="n">
        <f aca="false">C6*0.25+C6*G6/48</f>
        <v>10394.5833333333</v>
      </c>
      <c r="I6" s="98" t="n">
        <v>10394</v>
      </c>
      <c r="J6" s="153" t="n">
        <f aca="false">H6/C6</f>
        <v>0.270833333333333</v>
      </c>
      <c r="K6" s="86" t="n">
        <f aca="false">DATE(YEAR(A6)+4, MONTH(A6), DAY(A6))</f>
        <v>45063</v>
      </c>
      <c r="L6" s="99"/>
      <c r="M6" s="100" t="n">
        <v>43602</v>
      </c>
      <c r="N6" s="100" t="n">
        <v>44001</v>
      </c>
      <c r="O6" s="101" t="n">
        <v>0.0011</v>
      </c>
      <c r="P6" s="102" t="n">
        <v>10394</v>
      </c>
      <c r="Q6" s="103" t="n">
        <f aca="false">O6*P6</f>
        <v>11.4334</v>
      </c>
      <c r="R6" s="104" t="n">
        <f aca="false">P6*M$1</f>
        <v>25985</v>
      </c>
      <c r="S6" s="100" t="n">
        <f aca="false">DATE(YEAR(N6)+1,MONTH(N6),DAY(N6))</f>
        <v>44366</v>
      </c>
      <c r="T6" s="105" t="n">
        <f aca="false">IF($C$18&gt;S6, R6*0.15, R6*0.35)</f>
        <v>9094.75</v>
      </c>
      <c r="U6" s="90"/>
      <c r="V6" s="90"/>
      <c r="W6" s="90"/>
      <c r="X6" s="90"/>
      <c r="Y6" s="90"/>
      <c r="Z6" s="90"/>
      <c r="AA6" s="90"/>
      <c r="AB6" s="90"/>
      <c r="AC6" s="90"/>
      <c r="AD6" s="90"/>
    </row>
    <row r="7" customFormat="false" ht="15.85" hidden="false" customHeight="true" outlineLevel="0" collapsed="false">
      <c r="A7" s="86" t="n">
        <v>43769</v>
      </c>
      <c r="B7" s="87" t="n">
        <v>0.0011</v>
      </c>
      <c r="C7" s="88" t="n">
        <v>138965</v>
      </c>
      <c r="D7" s="150" t="n">
        <v>1</v>
      </c>
      <c r="E7" s="151" t="s">
        <v>96</v>
      </c>
      <c r="F7" s="152" t="n">
        <f aca="false">DATEDIF(A7,C18,"Y")</f>
        <v>0</v>
      </c>
      <c r="G7" s="90" t="n">
        <f aca="false">MAX(0,MIN(48*0.75,DATEDIF(A7,C18,"M")-12))</f>
        <v>0</v>
      </c>
      <c r="H7" s="91" t="n">
        <f aca="false">C7*IF(F7&gt;=1,0.25,0)+C7*G7/48</f>
        <v>0</v>
      </c>
      <c r="I7" s="88" t="n">
        <v>0</v>
      </c>
      <c r="J7" s="153" t="n">
        <f aca="false">H7/C7</f>
        <v>0</v>
      </c>
      <c r="K7" s="86" t="n">
        <f aca="false">DATE(YEAR(A7)+4, MONTH(A7), DAY(A7))</f>
        <v>45230</v>
      </c>
      <c r="L7" s="93"/>
      <c r="M7" s="86" t="n">
        <v>43447</v>
      </c>
      <c r="N7" s="108" t="n">
        <v>47848</v>
      </c>
      <c r="O7" s="87" t="n">
        <v>0.0011</v>
      </c>
      <c r="P7" s="88" t="n">
        <f aca="false">H5-I5</f>
        <v>0.325000000011642</v>
      </c>
      <c r="Q7" s="94" t="n">
        <f aca="false">O7*P7</f>
        <v>0.000357500000012806</v>
      </c>
      <c r="R7" s="95" t="n">
        <f aca="false">P7*M$1</f>
        <v>0.812500000029104</v>
      </c>
      <c r="S7" s="86" t="n">
        <f aca="false">DATE(YEAR(N7)+1,MONTH(N7),DAY(N7))</f>
        <v>48213</v>
      </c>
      <c r="T7" s="96" t="n">
        <f aca="false">IF($C$18&gt;S7, R7*0.15, R7*0.35)</f>
        <v>0.284375000010186</v>
      </c>
      <c r="U7" s="90"/>
      <c r="V7" s="90"/>
      <c r="W7" s="90"/>
      <c r="X7" s="90"/>
      <c r="Y7" s="90"/>
      <c r="Z7" s="90"/>
      <c r="AA7" s="90"/>
      <c r="AB7" s="90"/>
      <c r="AC7" s="90"/>
      <c r="AD7" s="90"/>
    </row>
    <row r="8" customFormat="false" ht="15.85" hidden="false" customHeight="true" outlineLevel="0" collapsed="false">
      <c r="A8" s="90"/>
      <c r="B8" s="87"/>
      <c r="C8" s="88"/>
      <c r="D8" s="150"/>
      <c r="E8" s="88"/>
      <c r="F8" s="153"/>
      <c r="G8" s="90"/>
      <c r="H8" s="91"/>
      <c r="I8" s="88"/>
      <c r="J8" s="90"/>
      <c r="K8" s="90"/>
      <c r="L8" s="93"/>
      <c r="M8" s="86" t="n">
        <v>43602</v>
      </c>
      <c r="N8" s="108" t="n">
        <v>47848</v>
      </c>
      <c r="O8" s="87" t="n">
        <v>0.0011</v>
      </c>
      <c r="P8" s="88" t="n">
        <f aca="false">H6-I6</f>
        <v>0.58333333333394</v>
      </c>
      <c r="Q8" s="94" t="n">
        <f aca="false">O8*P8</f>
        <v>0.000641666666667334</v>
      </c>
      <c r="R8" s="95" t="n">
        <f aca="false">P8*M$1</f>
        <v>1.45833333333485</v>
      </c>
      <c r="S8" s="86" t="n">
        <f aca="false">DATE(YEAR(N8)+1,MONTH(N8),DAY(N8))</f>
        <v>48213</v>
      </c>
      <c r="T8" s="96" t="n">
        <f aca="false">IF($C$18&gt;S8, R8*0.15, R8*0.35)</f>
        <v>0.510416666667197</v>
      </c>
      <c r="U8" s="90"/>
      <c r="V8" s="90"/>
      <c r="W8" s="90"/>
      <c r="X8" s="90"/>
      <c r="Y8" s="90"/>
      <c r="Z8" s="90"/>
      <c r="AA8" s="90"/>
      <c r="AB8" s="90"/>
      <c r="AC8" s="90"/>
      <c r="AD8" s="90"/>
    </row>
    <row r="9" customFormat="false" ht="15.85" hidden="false" customHeight="true" outlineLevel="0" collapsed="false">
      <c r="A9" s="90"/>
      <c r="B9" s="90"/>
      <c r="C9" s="90"/>
      <c r="D9" s="155"/>
      <c r="E9" s="90"/>
      <c r="F9" s="90"/>
      <c r="G9" s="90"/>
      <c r="H9" s="90"/>
      <c r="I9" s="90"/>
      <c r="J9" s="90"/>
      <c r="K9" s="90"/>
      <c r="L9" s="109"/>
      <c r="M9" s="86" t="n">
        <v>43769</v>
      </c>
      <c r="N9" s="108" t="n">
        <v>47848</v>
      </c>
      <c r="O9" s="87" t="n">
        <v>0.0011</v>
      </c>
      <c r="P9" s="88" t="n">
        <f aca="false">H7-I7</f>
        <v>0</v>
      </c>
      <c r="Q9" s="94" t="n">
        <f aca="false">O9*P9</f>
        <v>0</v>
      </c>
      <c r="R9" s="95" t="n">
        <f aca="false">P9*M$1</f>
        <v>0</v>
      </c>
      <c r="S9" s="86" t="n">
        <f aca="false">DATE(YEAR(N9)+1,MONTH(N9),DAY(N9))</f>
        <v>48213</v>
      </c>
      <c r="T9" s="96" t="n">
        <f aca="false">IF($C$18&gt;S9, R9*0.15, R9*0.35)</f>
        <v>0</v>
      </c>
      <c r="U9" s="90"/>
      <c r="V9" s="90"/>
      <c r="W9" s="90"/>
      <c r="X9" s="90"/>
      <c r="Y9" s="90"/>
      <c r="Z9" s="90"/>
      <c r="AA9" s="90"/>
      <c r="AB9" s="90"/>
      <c r="AC9" s="90"/>
      <c r="AD9" s="90"/>
    </row>
    <row r="10" customFormat="false" ht="13.65" hidden="false" customHeight="true" outlineLevel="0" collapsed="false">
      <c r="A10" s="110"/>
      <c r="B10" s="90"/>
      <c r="C10" s="90"/>
      <c r="D10" s="155"/>
      <c r="E10" s="90"/>
      <c r="F10" s="90"/>
      <c r="G10" s="90"/>
      <c r="H10" s="90"/>
      <c r="I10" s="90"/>
      <c r="J10" s="90"/>
      <c r="K10" s="90"/>
      <c r="L10" s="109"/>
      <c r="M10" s="90"/>
      <c r="N10" s="156"/>
      <c r="O10" s="90"/>
      <c r="P10" s="88"/>
      <c r="Q10" s="94"/>
      <c r="R10" s="95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</row>
    <row r="11" customFormat="false" ht="13.65" hidden="false" customHeight="true" outlineLevel="0" collapsed="false">
      <c r="A11" s="88"/>
      <c r="B11" s="90"/>
      <c r="C11" s="90"/>
      <c r="D11" s="155"/>
      <c r="E11" s="90"/>
      <c r="F11" s="90"/>
      <c r="G11" s="90"/>
      <c r="H11" s="90"/>
      <c r="I11" s="90"/>
      <c r="J11" s="90"/>
      <c r="K11" s="90"/>
      <c r="L11" s="109"/>
      <c r="M11" s="90"/>
      <c r="N11" s="90"/>
      <c r="O11" s="90"/>
      <c r="P11" s="88"/>
      <c r="Q11" s="94"/>
      <c r="R11" s="95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</row>
    <row r="12" customFormat="false" ht="13.65" hidden="false" customHeight="true" outlineLevel="0" collapsed="false">
      <c r="A12" s="111"/>
      <c r="B12" s="110"/>
      <c r="C12" s="90"/>
      <c r="D12" s="155"/>
      <c r="E12" s="90"/>
      <c r="F12" s="90"/>
      <c r="G12" s="90"/>
      <c r="H12" s="90"/>
      <c r="I12" s="90"/>
      <c r="J12" s="90"/>
      <c r="K12" s="90"/>
      <c r="L12" s="109"/>
      <c r="M12" s="90"/>
      <c r="N12" s="90"/>
      <c r="O12" s="90"/>
      <c r="P12" s="95"/>
      <c r="Q12" s="94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</row>
    <row r="13" customFormat="false" ht="13.65" hidden="false" customHeight="true" outlineLevel="0" collapsed="false">
      <c r="A13" s="112"/>
      <c r="B13" s="113"/>
      <c r="C13" s="85"/>
      <c r="D13" s="85"/>
      <c r="E13" s="90"/>
      <c r="F13" s="90"/>
      <c r="G13" s="90"/>
      <c r="H13" s="85"/>
      <c r="I13" s="85"/>
      <c r="J13" s="85"/>
      <c r="K13" s="85"/>
      <c r="L13" s="114"/>
      <c r="M13" s="90"/>
      <c r="N13" s="90"/>
      <c r="O13" s="90"/>
      <c r="P13" s="95"/>
      <c r="Q13" s="94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</row>
    <row r="14" customFormat="false" ht="13.65" hidden="false" customHeight="true" outlineLevel="0" collapsed="false">
      <c r="A14" s="86"/>
      <c r="B14" s="87"/>
      <c r="C14" s="88"/>
      <c r="D14" s="150"/>
      <c r="E14" s="90"/>
      <c r="F14" s="90"/>
      <c r="G14" s="90"/>
      <c r="H14" s="90"/>
      <c r="I14" s="90"/>
      <c r="J14" s="90"/>
      <c r="K14" s="90"/>
      <c r="L14" s="109"/>
      <c r="M14" s="90"/>
      <c r="N14" s="90"/>
      <c r="O14" s="90"/>
      <c r="P14" s="95"/>
      <c r="Q14" s="94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</row>
    <row r="15" customFormat="false" ht="12.8" hidden="false" customHeight="false" outlineLevel="0" collapsed="false">
      <c r="A15" s="86"/>
      <c r="B15" s="87"/>
      <c r="C15" s="88"/>
      <c r="D15" s="150"/>
      <c r="E15" s="90"/>
      <c r="F15" s="90"/>
      <c r="G15" s="90"/>
      <c r="H15" s="90"/>
      <c r="I15" s="90"/>
      <c r="J15" s="90"/>
      <c r="K15" s="90"/>
      <c r="L15" s="109"/>
      <c r="M15" s="90"/>
      <c r="N15" s="90"/>
      <c r="O15" s="90"/>
      <c r="P15" s="95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</row>
    <row r="16" s="158" customFormat="true" ht="15" hidden="false" customHeight="false" outlineLevel="0" collapsed="false">
      <c r="A16" s="115" t="str">
        <f aca="false">"Grants: "&amp;COUNT(A4:A7)</f>
        <v>Grants: 4</v>
      </c>
      <c r="B16" s="116"/>
      <c r="C16" s="117" t="n">
        <f aca="false">SUM(C4:C7)</f>
        <v>330864</v>
      </c>
      <c r="D16" s="157"/>
      <c r="E16" s="117"/>
      <c r="F16" s="121"/>
      <c r="G16" s="118"/>
      <c r="H16" s="119" t="n">
        <f aca="false">SUM(H4:H8)</f>
        <v>123769.908333333</v>
      </c>
      <c r="I16" s="117" t="n">
        <f aca="false">SUM(I4:I8)</f>
        <v>123769</v>
      </c>
      <c r="J16" s="121" t="n">
        <f aca="false">H16/C16</f>
        <v>0.374080916428905</v>
      </c>
      <c r="K16" s="121"/>
      <c r="L16" s="122"/>
      <c r="M16" s="123" t="s">
        <v>99</v>
      </c>
      <c r="N16" s="123"/>
      <c r="O16" s="123"/>
      <c r="P16" s="123"/>
      <c r="Q16" s="123"/>
      <c r="R16" s="124" t="n">
        <f aca="false">SUM(R4:R8)</f>
        <v>309424.770833333</v>
      </c>
      <c r="S16" s="124"/>
      <c r="T16" s="124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</row>
    <row r="17" s="161" customFormat="true" ht="15" hidden="false" customHeight="false" outlineLevel="0" collapsed="false">
      <c r="A17" s="125"/>
      <c r="B17" s="126"/>
      <c r="C17" s="127"/>
      <c r="D17" s="159"/>
      <c r="E17" s="127"/>
      <c r="F17" s="160"/>
      <c r="G17" s="128"/>
      <c r="H17" s="128"/>
      <c r="I17" s="128"/>
      <c r="J17" s="128"/>
      <c r="K17" s="128"/>
      <c r="L17" s="130"/>
      <c r="M17" s="123" t="s">
        <v>101</v>
      </c>
      <c r="N17" s="123"/>
      <c r="O17" s="123"/>
      <c r="P17" s="123"/>
      <c r="Q17" s="123"/>
      <c r="R17" s="131" t="n">
        <f aca="false">SUM(T4:T9)</f>
        <v>108298.669791667</v>
      </c>
      <c r="S17" s="131"/>
      <c r="T17" s="131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</row>
    <row r="18" customFormat="false" ht="27.75" hidden="false" customHeight="true" outlineLevel="0" collapsed="false">
      <c r="A18" s="86"/>
      <c r="B18" s="85" t="s">
        <v>102</v>
      </c>
      <c r="C18" s="132" t="n">
        <v>44001</v>
      </c>
      <c r="D18" s="132"/>
      <c r="E18" s="88"/>
      <c r="F18" s="153"/>
      <c r="G18" s="90"/>
      <c r="H18" s="90"/>
      <c r="I18" s="90"/>
      <c r="J18" s="90"/>
      <c r="K18" s="90"/>
      <c r="L18" s="90"/>
      <c r="M18" s="134" t="s">
        <v>103</v>
      </c>
      <c r="N18" s="134"/>
      <c r="O18" s="134"/>
      <c r="P18" s="134"/>
      <c r="Q18" s="134"/>
      <c r="R18" s="135" t="n">
        <f aca="false">R16-R17</f>
        <v>201126.101041667</v>
      </c>
      <c r="S18" s="135"/>
      <c r="T18" s="135"/>
      <c r="U18" s="90"/>
      <c r="V18" s="90"/>
      <c r="W18" s="90"/>
      <c r="X18" s="90"/>
      <c r="Y18" s="90"/>
      <c r="Z18" s="90"/>
      <c r="AA18" s="90"/>
      <c r="AB18" s="90"/>
      <c r="AC18" s="90"/>
      <c r="AD18" s="90"/>
    </row>
    <row r="19" customFormat="false" ht="17.25" hidden="false" customHeight="true" outlineLevel="0" collapsed="false">
      <c r="A19" s="86"/>
      <c r="B19" s="85"/>
      <c r="C19" s="132"/>
      <c r="D19" s="132"/>
      <c r="E19" s="88"/>
      <c r="F19" s="153"/>
      <c r="G19" s="90"/>
      <c r="H19" s="90"/>
      <c r="I19" s="90"/>
      <c r="J19" s="90"/>
      <c r="K19" s="90"/>
      <c r="L19" s="90"/>
      <c r="M19" s="136" t="s">
        <v>119</v>
      </c>
      <c r="N19" s="136"/>
      <c r="O19" s="136"/>
      <c r="P19" s="136"/>
      <c r="Q19" s="136"/>
      <c r="R19" s="137" t="n">
        <f aca="false">(C16-H16)*M1*0.65</f>
        <v>336527.898958333</v>
      </c>
      <c r="S19" s="137"/>
      <c r="T19" s="137"/>
      <c r="U19" s="90"/>
      <c r="V19" s="90"/>
      <c r="W19" s="90"/>
      <c r="X19" s="90"/>
      <c r="Y19" s="90"/>
      <c r="Z19" s="90"/>
      <c r="AA19" s="90"/>
      <c r="AB19" s="90"/>
      <c r="AC19" s="90"/>
      <c r="AD19" s="90"/>
    </row>
  </sheetData>
  <mergeCells count="12">
    <mergeCell ref="A1:K1"/>
    <mergeCell ref="M1:T1"/>
    <mergeCell ref="A2:K2"/>
    <mergeCell ref="M2:T2"/>
    <mergeCell ref="M16:Q16"/>
    <mergeCell ref="R16:T16"/>
    <mergeCell ref="M17:Q17"/>
    <mergeCell ref="R17:T17"/>
    <mergeCell ref="M18:Q18"/>
    <mergeCell ref="R18:T18"/>
    <mergeCell ref="M19:Q19"/>
    <mergeCell ref="R19:T19"/>
  </mergeCells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2021-12-08T09:52:20Z</dcterms:modified>
  <cp:revision>68</cp:revision>
  <dc:subject/>
  <dc:title/>
</cp:coreProperties>
</file>