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chedule" sheetId="1" r:id="rId4"/>
    <sheet name="AMT" sheetId="2" r:id="rId5"/>
    <sheet name="ISO" sheetId="3" r:id="rId6"/>
  </sheets>
</workbook>
</file>

<file path=xl/sharedStrings.xml><?xml version="1.0" encoding="utf-8"?>
<sst xmlns="http://schemas.openxmlformats.org/spreadsheetml/2006/main" uniqueCount="108">
  <si>
    <t>STOCK PRICE</t>
  </si>
  <si>
    <t>MONTHLY AWARDS</t>
  </si>
  <si>
    <t>Strategies</t>
  </si>
  <si>
    <t>EVENT</t>
  </si>
  <si>
    <t>COST</t>
  </si>
  <si>
    <t>BENEFIT</t>
  </si>
  <si>
    <t>Grant Name</t>
  </si>
  <si>
    <t>Shares</t>
  </si>
  <si>
    <t>$$$</t>
  </si>
  <si>
    <t>First Award</t>
  </si>
  <si>
    <t>Last Award</t>
  </si>
  <si>
    <t>- Sell RSUs immediately. Already taxed as income</t>
  </si>
  <si>
    <t>Exercising options</t>
  </si>
  <si>
    <t>Dec 13 2018</t>
  </si>
  <si>
    <t>- Hold onto options until 2023 &amp;&amp; Long-Term, then sell</t>
  </si>
  <si>
    <t>RSU Grant Tax</t>
  </si>
  <si>
    <t>May 17 2019</t>
  </si>
  <si>
    <t>- Utilize ESPP and hold for long-term</t>
  </si>
  <si>
    <t>March 3 2020</t>
  </si>
  <si>
    <t>- Don't exceed WA capital gain threshold of $250K</t>
  </si>
  <si>
    <t>Feb 17 2021*</t>
  </si>
  <si>
    <t>- Exercise ASAP; AMT now + LT is better than ST later</t>
  </si>
  <si>
    <t>SUM</t>
  </si>
  <si>
    <t>Annual</t>
  </si>
  <si>
    <t>DATE TO USE</t>
  </si>
  <si>
    <t>SCHEDULE</t>
  </si>
  <si>
    <t>SHARES</t>
  </si>
  <si>
    <t>TAX</t>
  </si>
  <si>
    <t>NET</t>
  </si>
  <si>
    <t>Jan 1, 2022: Exercise options up to AMT budget</t>
  </si>
  <si>
    <t>First: Sell (LT) exercised options</t>
  </si>
  <si>
    <t>First: Sell RSU Grant</t>
  </si>
  <si>
    <t>Window Post June 10, 2022: Sell RSU Grant</t>
  </si>
  <si>
    <t>Window Post Sept 10, 2022: Sell RSU Grant</t>
  </si>
  <si>
    <t>Window Post Dec 10, 2022: Sell RSU Grant</t>
  </si>
  <si>
    <t>Jan 1, 2023: Exercise options up to AMT budget</t>
  </si>
  <si>
    <t>~Feb Sell (LT) exercised options</t>
  </si>
  <si>
    <t>Window Post Jan 01 2023: Sell (LT) exercised options</t>
  </si>
  <si>
    <t>Window Post Mar 10, 2023: Sell RSU Grant</t>
  </si>
  <si>
    <t>Window Post Jun 10, 2023: Sell RSU Grant</t>
  </si>
  <si>
    <t>Window Post Sept 10, 2023: Sell RSU Grant</t>
  </si>
  <si>
    <t>Window Post Dec 10, 2023: Sell RSU Grant</t>
  </si>
  <si>
    <t>Jan 1, 2024: Exercise options up to AMT budget</t>
  </si>
  <si>
    <t>Window Post Jan 01 2024: Sell (LT) exercised options</t>
  </si>
  <si>
    <t>Window Post Mar 10, 2024: Sell RSU Grant</t>
  </si>
  <si>
    <t>Jan 1, 2025: Exercise options up to AMT budget</t>
  </si>
  <si>
    <t>Window Post Jan 01 2025: Sell (LT) exercised options</t>
  </si>
  <si>
    <t>SUMMATION</t>
  </si>
  <si>
    <t>Options Left</t>
  </si>
  <si>
    <t>Worth</t>
  </si>
  <si>
    <t>Std Deduct</t>
  </si>
  <si>
    <t>ORDINARY</t>
  </si>
  <si>
    <t>AMT Exemption</t>
  </si>
  <si>
    <t>Rate</t>
  </si>
  <si>
    <t>Singles</t>
  </si>
  <si>
    <t>Pay</t>
  </si>
  <si>
    <t>Threshold</t>
  </si>
  <si>
    <t>10%</t>
  </si>
  <si>
    <t>Wages</t>
  </si>
  <si>
    <t>Phaseout Rate</t>
  </si>
  <si>
    <t>12%</t>
  </si>
  <si>
    <t>LT Gains</t>
  </si>
  <si>
    <t>22%</t>
  </si>
  <si>
    <t>AGI</t>
  </si>
  <si>
    <t>Inflation</t>
  </si>
  <si>
    <t>24%</t>
  </si>
  <si>
    <t>Taxable</t>
  </si>
  <si>
    <t>32%</t>
  </si>
  <si>
    <t>Ordinary</t>
  </si>
  <si>
    <t>Options Total</t>
  </si>
  <si>
    <t>35%</t>
  </si>
  <si>
    <t>Invest Tax</t>
  </si>
  <si>
    <t>37%</t>
  </si>
  <si>
    <t>&gt;</t>
  </si>
  <si>
    <t>LONG-TERM CAPITAL GAINS</t>
  </si>
  <si>
    <t>Benefit</t>
  </si>
  <si>
    <t>AMTI</t>
  </si>
  <si>
    <t>Phased</t>
  </si>
  <si>
    <t>MEDICARE SURTAX</t>
  </si>
  <si>
    <t>FAMTI</t>
  </si>
  <si>
    <t>AMT</t>
  </si>
  <si>
    <t>Budget</t>
  </si>
  <si>
    <t>26%</t>
  </si>
  <si>
    <t>Shares to exercise</t>
  </si>
  <si>
    <t>28%</t>
  </si>
  <si>
    <t>GRANTS</t>
  </si>
  <si>
    <t>PURCHASES</t>
  </si>
  <si>
    <t>GRANT DATE</t>
  </si>
  <si>
    <t>PRICE</t>
  </si>
  <si>
    <t>VESTING</t>
  </si>
  <si>
    <t>MO</t>
  </si>
  <si>
    <t># VESTED</t>
  </si>
  <si>
    <t># OWNED</t>
  </si>
  <si>
    <t>PER MO</t>
  </si>
  <si>
    <t>COMPLETE</t>
  </si>
  <si>
    <t>EXERCISED</t>
  </si>
  <si>
    <t>VALUE</t>
  </si>
  <si>
    <t>L-T DATE</t>
  </si>
  <si>
    <t>25% @ 1yr -&gt; 1/48/mo</t>
  </si>
  <si>
    <t>35% now -&gt; 1/36/mo</t>
  </si>
  <si>
    <t>50% @ open, 1/36/mo</t>
  </si>
  <si>
    <t>Grants: 4</t>
  </si>
  <si>
    <t>UNREALIZED GAINS</t>
  </si>
  <si>
    <t>Vesting/Month</t>
  </si>
  <si>
    <t>ESTIMATED TAX OWED</t>
  </si>
  <si>
    <t>Day</t>
  </si>
  <si>
    <t>TAKEAWAY</t>
  </si>
  <si>
    <t>UNEXERCISED VALUE (65%)</t>
  </si>
</sst>
</file>

<file path=xl/styles.xml><?xml version="1.0" encoding="utf-8"?>
<styleSheet xmlns="http://schemas.openxmlformats.org/spreadsheetml/2006/main">
  <numFmts count="11">
    <numFmt numFmtId="0" formatCode="General"/>
    <numFmt numFmtId="59" formatCode="&quot;$&quot;#,##0;&quot;-&quot;&quot;$&quot;#,##0"/>
    <numFmt numFmtId="60" formatCode="mm/&quot;DD&quot;/&quot;YY&quot;"/>
    <numFmt numFmtId="61" formatCode="&quot;$&quot;#,##0.00;&quot;-&quot;&quot;$&quot;#,##0.00"/>
    <numFmt numFmtId="62" formatCode="0.0%"/>
    <numFmt numFmtId="63" formatCode="&quot;DD-&quot;mmm&quot;-YYYY&quot;"/>
    <numFmt numFmtId="64" formatCode="&quot;$&quot;#,##0.0000"/>
    <numFmt numFmtId="65" formatCode="#,##0.0"/>
    <numFmt numFmtId="66" formatCode="0.0"/>
    <numFmt numFmtId="67" formatCode="0.0000%"/>
    <numFmt numFmtId="68" formatCode="0.0000"/>
  </numFmts>
  <fonts count="16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5"/>
      <color indexed="8"/>
      <name val="Calibri"/>
    </font>
    <font>
      <sz val="18"/>
      <color indexed="8"/>
      <name val="Arial"/>
    </font>
    <font>
      <sz val="14"/>
      <color indexed="8"/>
      <name val="Arial"/>
    </font>
    <font>
      <sz val="10"/>
      <color indexed="11"/>
      <name val="Arial"/>
    </font>
    <font>
      <sz val="10"/>
      <color indexed="12"/>
      <name val="Arial"/>
    </font>
    <font>
      <sz val="10"/>
      <color indexed="13"/>
      <name val="Arial"/>
    </font>
    <font>
      <sz val="16"/>
      <color indexed="8"/>
      <name val="Arial"/>
    </font>
    <font>
      <sz val="9"/>
      <color indexed="8"/>
      <name val="Arial"/>
    </font>
    <font>
      <sz val="12"/>
      <color indexed="8"/>
      <name val="Arial"/>
    </font>
    <font>
      <sz val="12"/>
      <color indexed="11"/>
      <name val="Arial"/>
    </font>
    <font>
      <sz val="12"/>
      <color indexed="16"/>
      <name val="Arial"/>
    </font>
    <font>
      <sz val="18"/>
      <color indexed="17"/>
      <name val="Arial"/>
    </font>
    <font>
      <sz val="12"/>
      <color indexed="1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1" fontId="4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center"/>
    </xf>
    <xf numFmtId="1" fontId="5" fillId="2" borderId="1" applyNumberFormat="1" applyFont="1" applyFill="1" applyBorder="1" applyAlignment="1" applyProtection="0">
      <alignment horizontal="center" vertical="center"/>
    </xf>
    <xf numFmtId="1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center"/>
    </xf>
    <xf numFmtId="1" fontId="0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59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  <xf numFmtId="1" fontId="6" fillId="2" borderId="1" applyNumberFormat="1" applyFont="1" applyFill="1" applyBorder="1" applyAlignment="1" applyProtection="0">
      <alignment vertical="bottom"/>
    </xf>
    <xf numFmtId="59" fontId="7" fillId="2" borderId="1" applyNumberFormat="1" applyFont="1" applyFill="1" applyBorder="1" applyAlignment="1" applyProtection="0">
      <alignment vertical="bottom"/>
    </xf>
    <xf numFmtId="59" fontId="8" fillId="2" borderId="1" applyNumberFormat="1" applyFont="1" applyFill="1" applyBorder="1" applyAlignment="1" applyProtection="0">
      <alignment vertical="bottom"/>
    </xf>
    <xf numFmtId="60" fontId="6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1" fontId="0" fillId="2" borderId="1" applyNumberFormat="1" applyFont="1" applyFill="1" applyBorder="1" applyAlignment="1" applyProtection="0">
      <alignment horizontal="center" vertical="center"/>
    </xf>
    <xf numFmtId="3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left" vertical="bottom"/>
    </xf>
    <xf numFmtId="1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horizontal="center" vertical="center"/>
    </xf>
    <xf numFmtId="1" fontId="0" fillId="2" borderId="7" applyNumberFormat="1" applyFont="1" applyFill="1" applyBorder="1" applyAlignment="1" applyProtection="0">
      <alignment vertical="bottom"/>
    </xf>
    <xf numFmtId="1" fontId="5" fillId="2" borderId="8" applyNumberFormat="1" applyFont="1" applyFill="1" applyBorder="1" applyAlignment="1" applyProtection="0">
      <alignment horizontal="center" vertical="center"/>
    </xf>
    <xf numFmtId="1" fontId="5" fillId="2" borderId="9" applyNumberFormat="1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horizontal="center" vertical="center"/>
    </xf>
    <xf numFmtId="1" fontId="0" fillId="2" borderId="11" applyNumberFormat="1" applyFont="1" applyFill="1" applyBorder="1" applyAlignment="1" applyProtection="0">
      <alignment horizontal="center" vertical="center"/>
    </xf>
    <xf numFmtId="1" fontId="0" fillId="2" borderId="12" applyNumberFormat="1" applyFont="1" applyFill="1" applyBorder="1" applyAlignment="1" applyProtection="0">
      <alignment horizontal="center" vertical="center"/>
    </xf>
    <xf numFmtId="1" fontId="0" fillId="2" borderId="13" applyNumberFormat="1" applyFont="1" applyFill="1" applyBorder="1" applyAlignment="1" applyProtection="0">
      <alignment vertical="bottom"/>
    </xf>
    <xf numFmtId="1" fontId="5" fillId="2" borderId="14" applyNumberFormat="1" applyFont="1" applyFill="1" applyBorder="1" applyAlignment="1" applyProtection="0">
      <alignment horizontal="center" vertical="center"/>
    </xf>
    <xf numFmtId="1" fontId="5" fillId="2" borderId="15" applyNumberFormat="1" applyFont="1" applyFill="1" applyBorder="1" applyAlignment="1" applyProtection="0">
      <alignment horizontal="center" vertical="center"/>
    </xf>
    <xf numFmtId="0" fontId="0" fillId="2" borderId="16" applyNumberFormat="0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horizontal="center" vertical="bottom" wrapText="1"/>
    </xf>
    <xf numFmtId="49" fontId="0" fillId="2" borderId="1" applyNumberFormat="1" applyFont="1" applyFill="1" applyBorder="1" applyAlignment="1" applyProtection="0">
      <alignment horizontal="center" vertical="bottom" wrapText="1"/>
    </xf>
    <xf numFmtId="1" fontId="0" fillId="2" borderId="1" applyNumberFormat="1" applyFont="1" applyFill="1" applyBorder="1" applyAlignment="1" applyProtection="0">
      <alignment horizontal="center" vertical="bottom" wrapText="1"/>
    </xf>
    <xf numFmtId="1" fontId="5" fillId="2" borderId="18" applyNumberFormat="1" applyFont="1" applyFill="1" applyBorder="1" applyAlignment="1" applyProtection="0">
      <alignment horizontal="center" vertical="center"/>
    </xf>
    <xf numFmtId="1" fontId="5" fillId="2" borderId="5" applyNumberFormat="1" applyFont="1" applyFill="1" applyBorder="1" applyAlignment="1" applyProtection="0">
      <alignment horizontal="center" vertical="center"/>
    </xf>
    <xf numFmtId="49" fontId="0" fillId="2" borderId="16" applyNumberFormat="1" applyFont="1" applyFill="1" applyBorder="1" applyAlignment="1" applyProtection="0">
      <alignment horizontal="center" vertical="bottom" wrapText="1"/>
    </xf>
    <xf numFmtId="1" fontId="5" fillId="2" borderId="19" applyNumberFormat="1" applyFont="1" applyFill="1" applyBorder="1" applyAlignment="1" applyProtection="0">
      <alignment horizontal="center" vertical="center"/>
    </xf>
    <xf numFmtId="1" fontId="5" fillId="2" borderId="11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right" vertical="bottom" wrapText="1"/>
    </xf>
    <xf numFmtId="59" fontId="0" fillId="2" borderId="1" applyNumberFormat="1" applyFont="1" applyFill="1" applyBorder="1" applyAlignment="1" applyProtection="0">
      <alignment vertical="bottom" wrapText="1"/>
    </xf>
    <xf numFmtId="1" fontId="0" fillId="2" borderId="1" applyNumberFormat="1" applyFont="1" applyFill="1" applyBorder="1" applyAlignment="1" applyProtection="0">
      <alignment vertical="bottom" wrapText="1"/>
    </xf>
    <xf numFmtId="59" fontId="0" fillId="2" borderId="4" applyNumberFormat="1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horizontal="right" vertical="bottom" wrapText="1"/>
    </xf>
    <xf numFmtId="0" fontId="0" fillId="2" borderId="17" applyNumberFormat="0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right" vertical="bottom"/>
    </xf>
    <xf numFmtId="0" fontId="0" fillId="2" borderId="20" applyNumberFormat="0" applyFont="1" applyFill="1" applyBorder="1" applyAlignment="1" applyProtection="0">
      <alignment vertical="bottom"/>
    </xf>
    <xf numFmtId="10" fontId="0" fillId="2" borderId="4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vertical="bottom"/>
    </xf>
    <xf numFmtId="1" fontId="0" fillId="2" borderId="16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49" fontId="0" fillId="2" borderId="21" applyNumberFormat="1" applyFont="1" applyFill="1" applyBorder="1" applyAlignment="1" applyProtection="0">
      <alignment horizontal="center" vertical="center"/>
    </xf>
    <xf numFmtId="1" fontId="0" fillId="2" borderId="21" applyNumberFormat="1" applyFont="1" applyFill="1" applyBorder="1" applyAlignment="1" applyProtection="0">
      <alignment horizontal="center" vertical="center"/>
    </xf>
    <xf numFmtId="1" fontId="0" fillId="2" borderId="17" applyNumberFormat="1" applyFont="1" applyFill="1" applyBorder="1" applyAlignment="1" applyProtection="0">
      <alignment horizontal="center" vertical="center"/>
    </xf>
    <xf numFmtId="1" fontId="0" fillId="2" borderId="4" applyNumberFormat="1" applyFont="1" applyFill="1" applyBorder="1" applyAlignment="1" applyProtection="0">
      <alignment vertical="bottom"/>
    </xf>
    <xf numFmtId="49" fontId="0" fillId="2" borderId="22" applyNumberFormat="1" applyFont="1" applyFill="1" applyBorder="1" applyAlignment="1" applyProtection="0">
      <alignment horizontal="center" vertical="center"/>
    </xf>
    <xf numFmtId="1" fontId="0" fillId="2" borderId="22" applyNumberFormat="1" applyFont="1" applyFill="1" applyBorder="1" applyAlignment="1" applyProtection="0">
      <alignment horizontal="center" vertical="center"/>
    </xf>
    <xf numFmtId="1" fontId="0" fillId="2" borderId="16" applyNumberFormat="1" applyFont="1" applyFill="1" applyBorder="1" applyAlignment="1" applyProtection="0">
      <alignment horizontal="center" vertical="center"/>
    </xf>
    <xf numFmtId="1" fontId="0" fillId="2" borderId="20" applyNumberFormat="1" applyFont="1" applyFill="1" applyBorder="1" applyAlignment="1" applyProtection="0">
      <alignment vertical="bottom"/>
    </xf>
    <xf numFmtId="9" fontId="0" fillId="2" borderId="17" applyNumberFormat="1" applyFont="1" applyFill="1" applyBorder="1" applyAlignment="1" applyProtection="0">
      <alignment horizontal="right" vertical="bottom" wrapText="1"/>
    </xf>
    <xf numFmtId="9" fontId="0" fillId="2" borderId="16" applyNumberFormat="1" applyFont="1" applyFill="1" applyBorder="1" applyAlignment="1" applyProtection="0">
      <alignment horizontal="right" vertical="bottom" wrapText="1"/>
    </xf>
    <xf numFmtId="59" fontId="0" fillId="2" borderId="20" applyNumberFormat="1" applyFont="1" applyFill="1" applyBorder="1" applyAlignment="1" applyProtection="0">
      <alignment vertical="bottom"/>
    </xf>
    <xf numFmtId="9" fontId="0" fillId="2" borderId="17" applyNumberFormat="1" applyFont="1" applyFill="1" applyBorder="1" applyAlignment="1" applyProtection="0">
      <alignment vertical="bottom"/>
    </xf>
    <xf numFmtId="9" fontId="0" fillId="2" borderId="16" applyNumberFormat="1" applyFont="1" applyFill="1" applyBorder="1" applyAlignment="1" applyProtection="0">
      <alignment vertical="bottom"/>
    </xf>
    <xf numFmtId="62" fontId="0" fillId="2" borderId="17" applyNumberFormat="1" applyFont="1" applyFill="1" applyBorder="1" applyAlignment="1" applyProtection="0">
      <alignment horizontal="right" vertical="bottom" wrapText="1"/>
    </xf>
    <xf numFmtId="62" fontId="0" fillId="2" borderId="16" applyNumberFormat="1" applyFont="1" applyFill="1" applyBorder="1" applyAlignment="1" applyProtection="0">
      <alignment horizontal="right" vertical="bottom" wrapText="1"/>
    </xf>
    <xf numFmtId="49" fontId="0" fillId="2" borderId="4" applyNumberFormat="1" applyFont="1" applyFill="1" applyBorder="1" applyAlignment="1" applyProtection="0">
      <alignment horizontal="center" vertical="center"/>
    </xf>
    <xf numFmtId="49" fontId="0" fillId="2" borderId="20" applyNumberFormat="1" applyFont="1" applyFill="1" applyBorder="1" applyAlignment="1" applyProtection="0">
      <alignment horizontal="center" vertical="center"/>
    </xf>
    <xf numFmtId="49" fontId="0" fillId="2" borderId="23" applyNumberFormat="1" applyFont="1" applyFill="1" applyBorder="1" applyAlignment="1" applyProtection="0">
      <alignment horizontal="right" vertical="bottom" wrapText="1"/>
    </xf>
    <xf numFmtId="49" fontId="0" fillId="2" borderId="2" applyNumberFormat="1" applyFont="1" applyFill="1" applyBorder="1" applyAlignment="1" applyProtection="0">
      <alignment horizontal="center" vertical="bottom" wrapText="1"/>
    </xf>
    <xf numFmtId="59" fontId="0" fillId="2" borderId="2" applyNumberFormat="1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vertical="bottom"/>
    </xf>
    <xf numFmtId="3" fontId="0" fillId="2" borderId="24" applyNumberFormat="1" applyFont="1" applyFill="1" applyBorder="1" applyAlignment="1" applyProtection="0">
      <alignment horizontal="center" vertical="center"/>
    </xf>
    <xf numFmtId="3" fontId="0" fillId="2" borderId="25" applyNumberFormat="1" applyFont="1" applyFill="1" applyBorder="1" applyAlignment="1" applyProtection="0">
      <alignment horizontal="center" vertical="center"/>
    </xf>
    <xf numFmtId="49" fontId="0" fillId="2" borderId="26" applyNumberFormat="1" applyFont="1" applyFill="1" applyBorder="1" applyAlignment="1" applyProtection="0">
      <alignment horizontal="right" vertical="bottom" wrapText="1"/>
    </xf>
    <xf numFmtId="49" fontId="0" fillId="2" borderId="3" applyNumberFormat="1" applyFont="1" applyFill="1" applyBorder="1" applyAlignment="1" applyProtection="0">
      <alignment horizontal="center" vertical="bottom" wrapText="1"/>
    </xf>
    <xf numFmtId="1" fontId="0" fillId="2" borderId="3" applyNumberFormat="1" applyFont="1" applyFill="1" applyBorder="1" applyAlignment="1" applyProtection="0">
      <alignment vertical="bottom"/>
    </xf>
    <xf numFmtId="3" fontId="0" fillId="2" borderId="27" applyNumberFormat="1" applyFont="1" applyFill="1" applyBorder="1" applyAlignment="1" applyProtection="0">
      <alignment horizontal="center" vertical="center"/>
    </xf>
    <xf numFmtId="3" fontId="0" fillId="2" borderId="28" applyNumberFormat="1" applyFont="1" applyFill="1" applyBorder="1" applyAlignment="1" applyProtection="0">
      <alignment horizontal="center" vertical="center"/>
    </xf>
    <xf numFmtId="0" fontId="0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2" borderId="9" applyNumberFormat="1" applyFont="1" applyFill="1" applyBorder="1" applyAlignment="1" applyProtection="0">
      <alignment horizontal="center" vertical="bottom"/>
    </xf>
    <xf numFmtId="49" fontId="9" fillId="2" borderId="9" applyNumberFormat="1" applyFont="1" applyFill="1" applyBorder="1" applyAlignment="1" applyProtection="0">
      <alignment horizontal="center" vertical="center"/>
    </xf>
    <xf numFmtId="49" fontId="0" fillId="2" borderId="9" applyNumberFormat="1" applyFont="1" applyFill="1" applyBorder="1" applyAlignment="1" applyProtection="0">
      <alignment horizontal="center" vertical="bottom"/>
    </xf>
    <xf numFmtId="49" fontId="0" fillId="3" borderId="9" applyNumberFormat="1" applyFont="1" applyFill="1" applyBorder="1" applyAlignment="1" applyProtection="0">
      <alignment horizontal="center" vertical="bottom"/>
    </xf>
    <xf numFmtId="63" fontId="0" fillId="2" borderId="9" applyNumberFormat="1" applyFont="1" applyFill="1" applyBorder="1" applyAlignment="1" applyProtection="0">
      <alignment vertical="bottom"/>
    </xf>
    <xf numFmtId="64" fontId="0" fillId="2" borderId="9" applyNumberFormat="1" applyFont="1" applyFill="1" applyBorder="1" applyAlignment="1" applyProtection="0">
      <alignment vertical="bottom"/>
    </xf>
    <xf numFmtId="3" fontId="0" fillId="2" borderId="9" applyNumberFormat="1" applyFont="1" applyFill="1" applyBorder="1" applyAlignment="1" applyProtection="0">
      <alignment vertical="bottom"/>
    </xf>
    <xf numFmtId="49" fontId="10" fillId="2" borderId="9" applyNumberFormat="1" applyFont="1" applyFill="1" applyBorder="1" applyAlignment="1" applyProtection="0">
      <alignment horizontal="center" vertical="bottom"/>
    </xf>
    <xf numFmtId="1" fontId="0" fillId="2" borderId="9" applyNumberFormat="1" applyFont="1" applyFill="1" applyBorder="1" applyAlignment="1" applyProtection="0">
      <alignment vertical="bottom"/>
    </xf>
    <xf numFmtId="65" fontId="0" fillId="2" borderId="9" applyNumberFormat="1" applyFont="1" applyFill="1" applyBorder="1" applyAlignment="1" applyProtection="0">
      <alignment vertical="bottom"/>
    </xf>
    <xf numFmtId="66" fontId="0" fillId="2" borderId="9" applyNumberFormat="1" applyFont="1" applyFill="1" applyBorder="1" applyAlignment="1" applyProtection="0">
      <alignment vertical="bottom"/>
    </xf>
    <xf numFmtId="3" fontId="0" fillId="3" borderId="9" applyNumberFormat="1" applyFont="1" applyFill="1" applyBorder="1" applyAlignment="1" applyProtection="0">
      <alignment vertical="bottom"/>
    </xf>
    <xf numFmtId="2" fontId="0" fillId="2" borderId="9" applyNumberFormat="1" applyFont="1" applyFill="1" applyBorder="1" applyAlignment="1" applyProtection="0">
      <alignment vertical="bottom"/>
    </xf>
    <xf numFmtId="61" fontId="0" fillId="2" borderId="9" applyNumberFormat="1" applyFont="1" applyFill="1" applyBorder="1" applyAlignment="1" applyProtection="0">
      <alignment vertical="bottom"/>
    </xf>
    <xf numFmtId="67" fontId="0" fillId="2" borderId="1" applyNumberFormat="1" applyFont="1" applyFill="1" applyBorder="1" applyAlignment="1" applyProtection="0">
      <alignment vertical="bottom"/>
    </xf>
    <xf numFmtId="3" fontId="0" fillId="3" borderId="31" applyNumberFormat="1" applyFont="1" applyFill="1" applyBorder="1" applyAlignment="1" applyProtection="0">
      <alignment vertical="bottom"/>
    </xf>
    <xf numFmtId="63" fontId="0" fillId="2" borderId="32" applyNumberFormat="1" applyFont="1" applyFill="1" applyBorder="1" applyAlignment="1" applyProtection="0">
      <alignment vertical="bottom"/>
    </xf>
    <xf numFmtId="63" fontId="0" fillId="2" borderId="18" applyNumberFormat="1" applyFont="1" applyFill="1" applyBorder="1" applyAlignment="1" applyProtection="0">
      <alignment vertical="bottom"/>
    </xf>
    <xf numFmtId="3" fontId="0" fillId="2" borderId="6" applyNumberFormat="1" applyFont="1" applyFill="1" applyBorder="1" applyAlignment="1" applyProtection="0">
      <alignment vertical="bottom"/>
    </xf>
    <xf numFmtId="2" fontId="0" fillId="2" borderId="18" applyNumberFormat="1" applyFont="1" applyFill="1" applyBorder="1" applyAlignment="1" applyProtection="0">
      <alignment vertical="bottom"/>
    </xf>
    <xf numFmtId="63" fontId="0" fillId="2" borderId="6" applyNumberFormat="1" applyFont="1" applyFill="1" applyBorder="1" applyAlignment="1" applyProtection="0">
      <alignment vertical="bottom"/>
    </xf>
    <xf numFmtId="61" fontId="0" fillId="2" borderId="7" applyNumberFormat="1" applyFont="1" applyFill="1" applyBorder="1" applyAlignment="1" applyProtection="0">
      <alignment vertical="bottom"/>
    </xf>
    <xf numFmtId="63" fontId="0" fillId="2" borderId="21" applyNumberFormat="1" applyFont="1" applyFill="1" applyBorder="1" applyAlignment="1" applyProtection="0">
      <alignment horizontal="right" vertical="bottom"/>
    </xf>
    <xf numFmtId="2" fontId="0" fillId="2" borderId="4" applyNumberFormat="1" applyFont="1" applyFill="1" applyBorder="1" applyAlignment="1" applyProtection="0">
      <alignment vertical="bottom"/>
    </xf>
    <xf numFmtId="63" fontId="0" fillId="2" borderId="17" applyNumberFormat="1" applyFont="1" applyFill="1" applyBorder="1" applyAlignment="1" applyProtection="0">
      <alignment vertical="bottom"/>
    </xf>
    <xf numFmtId="63" fontId="0" fillId="2" borderId="4" applyNumberFormat="1" applyFont="1" applyFill="1" applyBorder="1" applyAlignment="1" applyProtection="0">
      <alignment horizontal="right" vertical="bottom"/>
    </xf>
    <xf numFmtId="3" fontId="0" fillId="2" borderId="17" applyNumberFormat="1" applyFont="1" applyFill="1" applyBorder="1" applyAlignment="1" applyProtection="0">
      <alignment vertical="bottom"/>
    </xf>
    <xf numFmtId="1" fontId="0" fillId="3" borderId="9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68" fontId="0" fillId="2" borderId="9" applyNumberFormat="1" applyFont="1" applyFill="1" applyBorder="1" applyAlignment="1" applyProtection="0">
      <alignment vertical="bottom"/>
    </xf>
    <xf numFmtId="3" fontId="0" fillId="2" borderId="23" applyNumberFormat="1" applyFont="1" applyFill="1" applyBorder="1" applyAlignment="1" applyProtection="0">
      <alignment vertical="bottom"/>
    </xf>
    <xf numFmtId="1" fontId="0" fillId="2" borderId="9" applyNumberFormat="1" applyFont="1" applyFill="1" applyBorder="1" applyAlignment="1" applyProtection="0">
      <alignment horizontal="right" vertical="bottom"/>
    </xf>
    <xf numFmtId="49" fontId="0" fillId="2" borderId="9" applyNumberFormat="1" applyFont="1" applyFill="1" applyBorder="1" applyAlignment="1" applyProtection="0">
      <alignment horizontal="left" vertical="bottom"/>
    </xf>
    <xf numFmtId="1" fontId="0" fillId="2" borderId="9" applyNumberFormat="1" applyFont="1" applyFill="1" applyBorder="1" applyAlignment="1" applyProtection="0">
      <alignment horizontal="center" vertical="bottom"/>
    </xf>
    <xf numFmtId="1" fontId="0" fillId="3" borderId="9" applyNumberFormat="1" applyFont="1" applyFill="1" applyBorder="1" applyAlignment="1" applyProtection="0">
      <alignment horizontal="center" vertical="bottom"/>
    </xf>
    <xf numFmtId="2" fontId="0" fillId="2" borderId="21" applyNumberFormat="1" applyFont="1" applyFill="1" applyBorder="1" applyAlignment="1" applyProtection="0">
      <alignment vertical="bottom"/>
    </xf>
    <xf numFmtId="63" fontId="0" fillId="2" borderId="23" applyNumberFormat="1" applyFont="1" applyFill="1" applyBorder="1" applyAlignment="1" applyProtection="0">
      <alignment vertical="bottom"/>
    </xf>
    <xf numFmtId="63" fontId="0" fillId="2" borderId="24" applyNumberFormat="1" applyFont="1" applyFill="1" applyBorder="1" applyAlignment="1" applyProtection="0">
      <alignment horizontal="right" vertical="bottom"/>
    </xf>
    <xf numFmtId="2" fontId="0" fillId="2" borderId="25" applyNumberFormat="1" applyFont="1" applyFill="1" applyBorder="1" applyAlignment="1" applyProtection="0">
      <alignment vertical="bottom"/>
    </xf>
    <xf numFmtId="61" fontId="0" fillId="2" borderId="2" applyNumberFormat="1" applyFont="1" applyFill="1" applyBorder="1" applyAlignment="1" applyProtection="0">
      <alignment vertical="bottom"/>
    </xf>
    <xf numFmtId="63" fontId="0" fillId="2" borderId="33" applyNumberFormat="1" applyFont="1" applyFill="1" applyBorder="1" applyAlignment="1" applyProtection="0">
      <alignment vertical="bottom"/>
    </xf>
    <xf numFmtId="63" fontId="0" fillId="2" borderId="8" applyNumberFormat="1" applyFont="1" applyFill="1" applyBorder="1" applyAlignment="1" applyProtection="0">
      <alignment horizontal="right" vertical="bottom"/>
    </xf>
    <xf numFmtId="61" fontId="0" fillId="2" borderId="34" applyNumberFormat="1" applyFont="1" applyFill="1" applyBorder="1" applyAlignment="1" applyProtection="0">
      <alignment vertical="bottom"/>
    </xf>
    <xf numFmtId="49" fontId="11" fillId="2" borderId="9" applyNumberFormat="1" applyFont="1" applyFill="1" applyBorder="1" applyAlignment="1" applyProtection="0">
      <alignment horizontal="center" vertical="center"/>
    </xf>
    <xf numFmtId="64" fontId="11" fillId="2" borderId="9" applyNumberFormat="1" applyFont="1" applyFill="1" applyBorder="1" applyAlignment="1" applyProtection="0">
      <alignment vertical="center"/>
    </xf>
    <xf numFmtId="3" fontId="11" fillId="2" borderId="9" applyNumberFormat="1" applyFont="1" applyFill="1" applyBorder="1" applyAlignment="1" applyProtection="0">
      <alignment vertical="center"/>
    </xf>
    <xf numFmtId="1" fontId="11" fillId="2" borderId="9" applyNumberFormat="1" applyFont="1" applyFill="1" applyBorder="1" applyAlignment="1" applyProtection="0">
      <alignment vertical="center"/>
    </xf>
    <xf numFmtId="65" fontId="11" fillId="2" borderId="9" applyNumberFormat="1" applyFont="1" applyFill="1" applyBorder="1" applyAlignment="1" applyProtection="0">
      <alignment vertical="center"/>
    </xf>
    <xf numFmtId="59" fontId="11" fillId="2" borderId="9" applyNumberFormat="1" applyFont="1" applyFill="1" applyBorder="1" applyAlignment="1" applyProtection="0">
      <alignment vertical="center"/>
    </xf>
    <xf numFmtId="9" fontId="11" fillId="2" borderId="9" applyNumberFormat="1" applyFont="1" applyFill="1" applyBorder="1" applyAlignment="1" applyProtection="0">
      <alignment vertical="center"/>
    </xf>
    <xf numFmtId="3" fontId="11" fillId="3" borderId="9" applyNumberFormat="1" applyFont="1" applyFill="1" applyBorder="1" applyAlignment="1" applyProtection="0">
      <alignment vertical="center"/>
    </xf>
    <xf numFmtId="1" fontId="11" fillId="2" borderId="9" applyNumberFormat="1" applyFont="1" applyFill="1" applyBorder="1" applyAlignment="1" applyProtection="0">
      <alignment horizontal="center" vertical="center"/>
    </xf>
    <xf numFmtId="61" fontId="12" fillId="2" borderId="9" applyNumberFormat="1" applyFont="1" applyFill="1" applyBorder="1" applyAlignment="1" applyProtection="0">
      <alignment horizontal="center" vertical="center"/>
    </xf>
    <xf numFmtId="49" fontId="11" fillId="2" borderId="9" applyNumberFormat="1" applyFont="1" applyFill="1" applyBorder="1" applyAlignment="1" applyProtection="0">
      <alignment vertical="bottom"/>
    </xf>
    <xf numFmtId="64" fontId="11" fillId="2" borderId="9" applyNumberFormat="1" applyFont="1" applyFill="1" applyBorder="1" applyAlignment="1" applyProtection="0">
      <alignment vertical="bottom"/>
    </xf>
    <xf numFmtId="3" fontId="11" fillId="2" borderId="9" applyNumberFormat="1" applyFont="1" applyFill="1" applyBorder="1" applyAlignment="1" applyProtection="0">
      <alignment vertical="bottom"/>
    </xf>
    <xf numFmtId="1" fontId="11" fillId="2" borderId="9" applyNumberFormat="1" applyFont="1" applyFill="1" applyBorder="1" applyAlignment="1" applyProtection="0">
      <alignment vertical="bottom"/>
    </xf>
    <xf numFmtId="10" fontId="11" fillId="2" borderId="9" applyNumberFormat="1" applyFont="1" applyFill="1" applyBorder="1" applyAlignment="1" applyProtection="0">
      <alignment vertical="bottom"/>
    </xf>
    <xf numFmtId="1" fontId="11" fillId="3" borderId="9" applyNumberFormat="1" applyFont="1" applyFill="1" applyBorder="1" applyAlignment="1" applyProtection="0">
      <alignment vertical="bottom"/>
    </xf>
    <xf numFmtId="61" fontId="13" fillId="2" borderId="9" applyNumberFormat="1" applyFont="1" applyFill="1" applyBorder="1" applyAlignment="1" applyProtection="0">
      <alignment horizontal="center" vertical="center"/>
    </xf>
    <xf numFmtId="60" fontId="0" fillId="2" borderId="9" applyNumberFormat="1" applyFont="1" applyFill="1" applyBorder="1" applyAlignment="1" applyProtection="0">
      <alignment horizontal="center" vertical="bottom"/>
    </xf>
    <xf numFmtId="59" fontId="0" fillId="2" borderId="9" applyNumberFormat="1" applyFont="1" applyFill="1" applyBorder="1" applyAlignment="1" applyProtection="0">
      <alignment vertical="bottom"/>
    </xf>
    <xf numFmtId="49" fontId="4" fillId="2" borderId="9" applyNumberFormat="1" applyFont="1" applyFill="1" applyBorder="1" applyAlignment="1" applyProtection="0">
      <alignment horizontal="center" vertical="center"/>
    </xf>
    <xf numFmtId="1" fontId="4" fillId="2" borderId="9" applyNumberFormat="1" applyFont="1" applyFill="1" applyBorder="1" applyAlignment="1" applyProtection="0">
      <alignment horizontal="center" vertical="center"/>
    </xf>
    <xf numFmtId="61" fontId="14" fillId="2" borderId="9" applyNumberFormat="1" applyFont="1" applyFill="1" applyBorder="1" applyAlignment="1" applyProtection="0">
      <alignment horizontal="center" vertical="center"/>
    </xf>
    <xf numFmtId="49" fontId="15" fillId="2" borderId="9" applyNumberFormat="1" applyFont="1" applyFill="1" applyBorder="1" applyAlignment="1" applyProtection="0">
      <alignment horizontal="center" vertical="center"/>
    </xf>
    <xf numFmtId="1" fontId="15" fillId="2" borderId="9" applyNumberFormat="1" applyFont="1" applyFill="1" applyBorder="1" applyAlignment="1" applyProtection="0">
      <alignment horizontal="center" vertical="center"/>
    </xf>
    <xf numFmtId="61" fontId="15" fillId="2" borderId="9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1409a"/>
      <rgbColor rgb="ff009353"/>
      <rgbColor rgb="ff00a65d"/>
      <rgbColor rgb="ffff0000"/>
      <rgbColor rgb="ff666666"/>
      <rgbColor rgb="ffba131a"/>
      <rgbColor rgb="ff006c3b"/>
      <rgbColor rgb="ff51248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39"/>
  <sheetViews>
    <sheetView workbookViewId="0" showGridLines="0" defaultGridColor="1"/>
  </sheetViews>
  <sheetFormatPr defaultColWidth="8.83333" defaultRowHeight="12.8" customHeight="1" outlineLevelRow="0" outlineLevelCol="0"/>
  <cols>
    <col min="1" max="1" width="13.6719" style="1" customWidth="1"/>
    <col min="2" max="2" width="8.67188" style="1" customWidth="1"/>
    <col min="3" max="3" width="7.17188" style="1" customWidth="1"/>
    <col min="4" max="4" width="11.5" style="1" customWidth="1"/>
    <col min="5" max="5" width="11.3516" style="1" customWidth="1"/>
    <col min="6" max="6" width="3.35156" style="1" customWidth="1"/>
    <col min="7" max="10" width="11.5" style="1" customWidth="1"/>
    <col min="11" max="11" width="7.67188" style="1" customWidth="1"/>
    <col min="12" max="12" width="11.5" style="1" customWidth="1"/>
    <col min="13" max="13" width="14.5" style="1" customWidth="1"/>
    <col min="14" max="19" width="11.5" style="1" customWidth="1"/>
    <col min="20" max="16384" width="8.85156" style="1" customWidth="1"/>
  </cols>
  <sheetData>
    <row r="1" ht="25.6" customHeight="1">
      <c r="A1" s="2">
        <v>2.64</v>
      </c>
      <c r="B1" s="2"/>
      <c r="C1" t="s" s="3">
        <v>0</v>
      </c>
      <c r="D1" s="2"/>
      <c r="E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ht="16.25" customHeight="1">
      <c r="A2" t="s" s="5">
        <v>1</v>
      </c>
      <c r="B2" s="6"/>
      <c r="C2" s="6"/>
      <c r="D2" s="6"/>
      <c r="E2" s="6"/>
      <c r="F2" s="7"/>
      <c r="G2" t="s" s="5">
        <v>2</v>
      </c>
      <c r="H2" s="6"/>
      <c r="I2" s="6"/>
      <c r="J2" s="6"/>
      <c r="K2" s="7"/>
      <c r="L2" s="7"/>
      <c r="M2" t="s" s="8">
        <v>3</v>
      </c>
      <c r="N2" t="s" s="8">
        <v>4</v>
      </c>
      <c r="O2" t="s" s="8">
        <v>5</v>
      </c>
      <c r="P2" s="7"/>
      <c r="Q2" s="7"/>
      <c r="R2" s="7"/>
      <c r="S2" s="7"/>
    </row>
    <row r="3" ht="13.65" customHeight="1">
      <c r="A3" t="s" s="9">
        <v>6</v>
      </c>
      <c r="B3" t="s" s="9">
        <v>7</v>
      </c>
      <c r="C3" t="s" s="9">
        <v>8</v>
      </c>
      <c r="D3" t="s" s="9">
        <v>9</v>
      </c>
      <c r="E3" t="s" s="9">
        <v>10</v>
      </c>
      <c r="F3" s="10"/>
      <c r="G3" t="s" s="11">
        <v>11</v>
      </c>
      <c r="H3" s="12"/>
      <c r="I3" s="12"/>
      <c r="J3" s="12"/>
      <c r="K3" s="10"/>
      <c r="L3" s="10"/>
      <c r="M3" t="s" s="8">
        <v>12</v>
      </c>
      <c r="N3" s="13">
        <v>283.88</v>
      </c>
      <c r="O3" s="13">
        <v>0</v>
      </c>
      <c r="P3" s="10"/>
      <c r="Q3" s="10"/>
      <c r="R3" s="10"/>
      <c r="S3" s="10"/>
    </row>
    <row r="4" ht="13.65" customHeight="1">
      <c r="A4" t="s" s="14">
        <v>13</v>
      </c>
      <c r="B4" s="7">
        <f>IF($B$11&lt;E4,203,0)</f>
        <v>0</v>
      </c>
      <c r="C4" s="15">
        <f>B4*$A$1</f>
        <v>0</v>
      </c>
      <c r="D4" s="16">
        <v>43831</v>
      </c>
      <c r="E4" s="16">
        <v>44543</v>
      </c>
      <c r="F4" s="10"/>
      <c r="G4" t="s" s="11">
        <v>14</v>
      </c>
      <c r="H4" s="12"/>
      <c r="I4" s="12"/>
      <c r="J4" s="12"/>
      <c r="K4" s="10"/>
      <c r="L4" s="10"/>
      <c r="M4" t="s" s="8">
        <v>15</v>
      </c>
      <c r="N4" s="10"/>
      <c r="O4" s="10"/>
      <c r="P4" s="10"/>
      <c r="Q4" s="10"/>
      <c r="R4" s="10"/>
      <c r="S4" s="10"/>
    </row>
    <row r="5" ht="13.65" customHeight="1">
      <c r="A5" t="s" s="8">
        <v>16</v>
      </c>
      <c r="B5" s="7">
        <f>IF($B$11&lt;E5,73,0)</f>
        <v>73</v>
      </c>
      <c r="C5" s="15">
        <f>B5*$A$1</f>
        <v>192.72</v>
      </c>
      <c r="D5" s="16">
        <v>43831</v>
      </c>
      <c r="E5" s="16">
        <v>45063</v>
      </c>
      <c r="F5" s="10"/>
      <c r="G5" t="s" s="11">
        <v>17</v>
      </c>
      <c r="H5" s="12"/>
      <c r="I5" s="12"/>
      <c r="J5" s="12"/>
      <c r="K5" s="10"/>
      <c r="L5" s="10"/>
      <c r="M5" s="10"/>
      <c r="N5" s="10"/>
      <c r="O5" s="10"/>
      <c r="P5" s="10"/>
      <c r="Q5" s="10"/>
      <c r="R5" s="10"/>
      <c r="S5" s="10"/>
    </row>
    <row r="6" ht="13.65" customHeight="1">
      <c r="A6" t="s" s="8">
        <v>18</v>
      </c>
      <c r="B6" s="7">
        <f>IF($B$11&lt;E6,264,0)</f>
        <v>264</v>
      </c>
      <c r="C6" s="15">
        <f>B6*$A$1</f>
        <v>696.96</v>
      </c>
      <c r="D6" s="16">
        <v>43831</v>
      </c>
      <c r="E6" s="16">
        <v>45230</v>
      </c>
      <c r="F6" s="10"/>
      <c r="G6" t="s" s="11">
        <v>19</v>
      </c>
      <c r="H6" s="12"/>
      <c r="I6" s="12"/>
      <c r="J6" s="12"/>
      <c r="K6" s="10"/>
      <c r="L6" s="10"/>
      <c r="M6" s="10"/>
      <c r="N6" s="10"/>
      <c r="O6" s="10"/>
      <c r="P6" s="10"/>
      <c r="Q6" s="10"/>
      <c r="R6" s="10"/>
      <c r="S6" s="10"/>
    </row>
    <row r="7" ht="13.65" customHeight="1">
      <c r="A7" t="s" s="8">
        <v>20</v>
      </c>
      <c r="B7" s="7">
        <f>IF($B$11&lt;E7,IF($B$11&gt;=D7,1881/3,0),0)</f>
        <v>0</v>
      </c>
      <c r="C7" s="15">
        <f>B7*$A$1</f>
        <v>0</v>
      </c>
      <c r="D7" s="16">
        <v>44722</v>
      </c>
      <c r="E7" s="16">
        <v>45361</v>
      </c>
      <c r="F7" s="10"/>
      <c r="G7" t="s" s="11">
        <v>21</v>
      </c>
      <c r="H7" s="12"/>
      <c r="I7" s="12"/>
      <c r="J7" s="12"/>
      <c r="K7" s="10"/>
      <c r="L7" s="10"/>
      <c r="M7" s="10"/>
      <c r="N7" s="10"/>
      <c r="O7" s="10"/>
      <c r="P7" s="10"/>
      <c r="Q7" s="10"/>
      <c r="R7" s="10"/>
      <c r="S7" s="10"/>
    </row>
    <row r="8" ht="13.65" customHeight="1">
      <c r="A8" s="10"/>
      <c r="B8" s="10"/>
      <c r="C8" s="1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ht="13.65" customHeight="1">
      <c r="A9" s="10"/>
      <c r="B9" s="10"/>
      <c r="C9" s="1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ht="13.65" customHeight="1">
      <c r="A10" t="s" s="17">
        <v>22</v>
      </c>
      <c r="B10" s="18">
        <f>SUM(B4:B7)</f>
        <v>337</v>
      </c>
      <c r="C10" s="19">
        <f>SUM(C4:C7)</f>
        <v>889.6799999999999</v>
      </c>
      <c r="D10" t="s" s="17">
        <v>23</v>
      </c>
      <c r="E10" s="20">
        <f>C10*12</f>
        <v>10676.16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ht="13.65" customHeight="1">
      <c r="A11" t="s" s="8">
        <v>24</v>
      </c>
      <c r="B11" s="21">
        <f>TODAY()</f>
        <v>44610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ht="13.6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ht="13.6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ht="13.65" customHeight="1">
      <c r="A14" t="s" s="22">
        <v>25</v>
      </c>
      <c r="B14" s="23"/>
      <c r="C14" s="23"/>
      <c r="D14" s="23"/>
      <c r="E14" s="23"/>
      <c r="F14" s="23"/>
      <c r="G14" t="s" s="9">
        <v>26</v>
      </c>
      <c r="H14" t="s" s="9">
        <v>8</v>
      </c>
      <c r="I14" t="s" s="9">
        <v>27</v>
      </c>
      <c r="J14" t="s" s="9">
        <v>28</v>
      </c>
      <c r="K14" s="10"/>
      <c r="L14" s="10"/>
      <c r="M14" s="10"/>
      <c r="N14" s="10"/>
      <c r="O14" s="10"/>
      <c r="P14" s="10"/>
      <c r="Q14" s="10"/>
      <c r="R14" s="10"/>
      <c r="S14" s="10"/>
    </row>
    <row r="15" ht="13.65" customHeight="1">
      <c r="A15" t="s" s="11">
        <v>29</v>
      </c>
      <c r="B15" s="12"/>
      <c r="C15" s="12"/>
      <c r="D15" s="12"/>
      <c r="E15" s="12"/>
      <c r="F15" s="12"/>
      <c r="G15" s="24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13.65" customHeight="1">
      <c r="A16" t="s" s="11">
        <v>30</v>
      </c>
      <c r="B16" s="12"/>
      <c r="C16" s="12"/>
      <c r="D16" s="12"/>
      <c r="E16" s="12"/>
      <c r="F16" s="12"/>
      <c r="G16" s="24">
        <v>14241</v>
      </c>
      <c r="H16" s="15">
        <f>G16*$A$1</f>
        <v>37596.24</v>
      </c>
      <c r="I16" s="15">
        <f>H16*0.15</f>
        <v>5639.436</v>
      </c>
      <c r="J16" s="15">
        <f>H16-I16</f>
        <v>31956.804</v>
      </c>
      <c r="K16" s="10"/>
      <c r="L16" s="10"/>
      <c r="M16" s="10"/>
      <c r="N16" s="10"/>
      <c r="O16" s="10"/>
      <c r="P16" s="10"/>
      <c r="Q16" s="10"/>
      <c r="R16" s="10"/>
      <c r="S16" s="10"/>
    </row>
    <row r="17" ht="13.65" customHeight="1">
      <c r="A17" t="s" s="11">
        <v>31</v>
      </c>
      <c r="B17" s="25"/>
      <c r="C17" s="25"/>
      <c r="D17" s="25"/>
      <c r="E17" s="25"/>
      <c r="F17" s="25"/>
      <c r="G17" s="24">
        <v>15048</v>
      </c>
      <c r="H17" s="15">
        <f>G17*$A$1</f>
        <v>39726.72</v>
      </c>
      <c r="I17" s="15">
        <f>H17*0.35</f>
        <v>13904.352</v>
      </c>
      <c r="J17" s="15">
        <f>H17-I17</f>
        <v>25822.368</v>
      </c>
      <c r="K17" s="10"/>
      <c r="L17" s="10"/>
      <c r="M17" s="10"/>
      <c r="N17" s="10"/>
      <c r="O17" s="10"/>
      <c r="P17" s="10"/>
      <c r="Q17" s="10"/>
      <c r="R17" s="10"/>
      <c r="S17" s="10"/>
    </row>
    <row r="18" ht="13.65" customHeight="1">
      <c r="A18" t="s" s="11">
        <v>32</v>
      </c>
      <c r="B18" s="12"/>
      <c r="C18" s="12"/>
      <c r="D18" s="12"/>
      <c r="E18" s="12"/>
      <c r="F18" s="12"/>
      <c r="G18" s="24">
        <v>1880</v>
      </c>
      <c r="H18" s="15">
        <f>G18*$A$1</f>
        <v>4963.2</v>
      </c>
      <c r="I18" s="15">
        <f>H18*0.35</f>
        <v>1737.12</v>
      </c>
      <c r="J18" s="15">
        <f>H18-I18</f>
        <v>3226.08</v>
      </c>
      <c r="K18" s="10"/>
      <c r="L18" s="10"/>
      <c r="M18" s="10"/>
      <c r="N18" s="10"/>
      <c r="O18" s="10"/>
      <c r="P18" s="10"/>
      <c r="Q18" s="10"/>
      <c r="R18" s="10"/>
      <c r="S18" s="10"/>
    </row>
    <row r="19" ht="13.65" customHeight="1">
      <c r="A19" t="s" s="11">
        <v>33</v>
      </c>
      <c r="B19" s="12"/>
      <c r="C19" s="12"/>
      <c r="D19" s="12"/>
      <c r="E19" s="12"/>
      <c r="F19" s="12"/>
      <c r="G19" s="24">
        <v>1881</v>
      </c>
      <c r="H19" s="15">
        <f>G19*$A$1</f>
        <v>4965.84</v>
      </c>
      <c r="I19" s="15">
        <f>H19*0.35</f>
        <v>1738.044</v>
      </c>
      <c r="J19" s="15">
        <f>H19-I19</f>
        <v>3227.796</v>
      </c>
      <c r="K19" s="10"/>
      <c r="L19" s="10"/>
      <c r="M19" s="10"/>
      <c r="N19" s="10"/>
      <c r="O19" s="10"/>
      <c r="P19" s="10"/>
      <c r="Q19" s="10"/>
      <c r="R19" s="10"/>
      <c r="S19" s="10"/>
    </row>
    <row r="20" ht="13.65" customHeight="1">
      <c r="A20" t="s" s="11">
        <v>34</v>
      </c>
      <c r="B20" s="12"/>
      <c r="C20" s="12"/>
      <c r="D20" s="12"/>
      <c r="E20" s="12"/>
      <c r="F20" s="12"/>
      <c r="G20" s="24">
        <v>1881</v>
      </c>
      <c r="H20" s="15">
        <f>G20*$A$1</f>
        <v>4965.84</v>
      </c>
      <c r="I20" s="15">
        <f>H20*0.35</f>
        <v>1738.044</v>
      </c>
      <c r="J20" s="15">
        <f>H20-I20</f>
        <v>3227.796</v>
      </c>
      <c r="K20" s="10"/>
      <c r="L20" s="10"/>
      <c r="M20" s="10"/>
      <c r="N20" s="10"/>
      <c r="O20" s="10"/>
      <c r="P20" s="10"/>
      <c r="Q20" s="10"/>
      <c r="R20" s="10"/>
      <c r="S20" s="10"/>
    </row>
    <row r="21" ht="13.65" customHeight="1">
      <c r="A21" s="12"/>
      <c r="B21" s="12"/>
      <c r="C21" s="12"/>
      <c r="D21" s="12"/>
      <c r="E21" s="12"/>
      <c r="F21" s="12"/>
      <c r="G21" s="24"/>
      <c r="H21" s="15"/>
      <c r="I21" s="15"/>
      <c r="J21" s="15"/>
      <c r="K21" s="10"/>
      <c r="L21" s="10"/>
      <c r="M21" s="10"/>
      <c r="N21" s="10"/>
      <c r="O21" s="10"/>
      <c r="P21" s="10"/>
      <c r="Q21" s="10"/>
      <c r="R21" s="10"/>
      <c r="S21" s="10"/>
    </row>
    <row r="22" ht="13.65" customHeight="1">
      <c r="A22" t="s" s="11">
        <v>35</v>
      </c>
      <c r="B22" s="12"/>
      <c r="C22" s="12"/>
      <c r="D22" s="12"/>
      <c r="E22" s="12"/>
      <c r="F22" s="12"/>
      <c r="G22" s="24"/>
      <c r="H22" s="15"/>
      <c r="I22" s="15"/>
      <c r="J22" s="15"/>
      <c r="K22" s="10"/>
      <c r="L22" s="10"/>
      <c r="M22" s="10"/>
      <c r="N22" s="10"/>
      <c r="O22" s="10"/>
      <c r="P22" s="10"/>
      <c r="Q22" s="10"/>
      <c r="R22" s="10"/>
      <c r="S22" s="10"/>
    </row>
    <row r="23" ht="13.65" customHeight="1">
      <c r="A23" t="s" s="11">
        <v>36</v>
      </c>
      <c r="B23" s="12"/>
      <c r="C23" s="12"/>
      <c r="D23" s="12"/>
      <c r="E23" s="12"/>
      <c r="F23" s="12"/>
      <c r="G23" s="24">
        <v>9294</v>
      </c>
      <c r="H23" s="15">
        <f>G23*$A$1</f>
        <v>24536.16</v>
      </c>
      <c r="I23" s="15">
        <f>H23*0.15</f>
        <v>3680.424</v>
      </c>
      <c r="J23" s="15">
        <f>H23-I23</f>
        <v>20855.736</v>
      </c>
      <c r="K23" s="10"/>
      <c r="L23" s="10"/>
      <c r="M23" s="10"/>
      <c r="N23" s="10"/>
      <c r="O23" s="10"/>
      <c r="P23" s="10"/>
      <c r="Q23" s="10"/>
      <c r="R23" s="10"/>
      <c r="S23" s="10"/>
    </row>
    <row r="24" ht="13.65" customHeight="1">
      <c r="A24" t="s" s="11">
        <v>37</v>
      </c>
      <c r="B24" s="12"/>
      <c r="C24" s="12"/>
      <c r="D24" s="12"/>
      <c r="E24" s="12"/>
      <c r="F24" s="12"/>
      <c r="G24" s="24">
        <f>'AMT'!O26</f>
        <v>500.121139277390</v>
      </c>
      <c r="H24" s="15">
        <f>G24*$A$1</f>
        <v>1320.319807692310</v>
      </c>
      <c r="I24" s="15">
        <f>H24*0.15</f>
        <v>198.047971153846</v>
      </c>
      <c r="J24" s="15">
        <f>H24-I24</f>
        <v>1122.271836538460</v>
      </c>
      <c r="K24" s="10"/>
      <c r="L24" s="10"/>
      <c r="M24" s="10"/>
      <c r="N24" s="10"/>
      <c r="O24" s="10"/>
      <c r="P24" s="10"/>
      <c r="Q24" s="10"/>
      <c r="R24" s="10"/>
      <c r="S24" s="10"/>
    </row>
    <row r="25" ht="13.65" customHeight="1">
      <c r="A25" t="s" s="11">
        <v>38</v>
      </c>
      <c r="B25" s="12"/>
      <c r="C25" s="12"/>
      <c r="D25" s="12"/>
      <c r="E25" s="12"/>
      <c r="F25" s="12"/>
      <c r="G25" s="24">
        <v>1881</v>
      </c>
      <c r="H25" s="15">
        <f>G25*$A$1</f>
        <v>4965.84</v>
      </c>
      <c r="I25" s="15">
        <f>H25*0.35</f>
        <v>1738.044</v>
      </c>
      <c r="J25" s="15">
        <f>H25-I25</f>
        <v>3227.796</v>
      </c>
      <c r="K25" s="10"/>
      <c r="L25" s="10"/>
      <c r="M25" s="10"/>
      <c r="N25" s="10"/>
      <c r="O25" s="10"/>
      <c r="P25" s="10"/>
      <c r="Q25" s="10"/>
      <c r="R25" s="10"/>
      <c r="S25" s="10"/>
    </row>
    <row r="26" ht="13.65" customHeight="1">
      <c r="A26" t="s" s="11">
        <v>39</v>
      </c>
      <c r="B26" s="12"/>
      <c r="C26" s="12"/>
      <c r="D26" s="12"/>
      <c r="E26" s="12"/>
      <c r="F26" s="12"/>
      <c r="G26" s="24">
        <v>1881</v>
      </c>
      <c r="H26" s="15">
        <f>G26*$A$1</f>
        <v>4965.84</v>
      </c>
      <c r="I26" s="15">
        <f>H26*0.35</f>
        <v>1738.044</v>
      </c>
      <c r="J26" s="15">
        <f>H26-I26</f>
        <v>3227.796</v>
      </c>
      <c r="K26" s="10"/>
      <c r="L26" s="10"/>
      <c r="M26" s="10"/>
      <c r="N26" s="10"/>
      <c r="O26" s="10"/>
      <c r="P26" s="10"/>
      <c r="Q26" s="10"/>
      <c r="R26" s="10"/>
      <c r="S26" s="10"/>
    </row>
    <row r="27" ht="13.65" customHeight="1">
      <c r="A27" t="s" s="11">
        <v>40</v>
      </c>
      <c r="B27" s="12"/>
      <c r="C27" s="12"/>
      <c r="D27" s="12"/>
      <c r="E27" s="12"/>
      <c r="F27" s="12"/>
      <c r="G27" s="24">
        <v>1881</v>
      </c>
      <c r="H27" s="15">
        <f>G27*$A$1</f>
        <v>4965.84</v>
      </c>
      <c r="I27" s="15">
        <f>H27*0.35</f>
        <v>1738.044</v>
      </c>
      <c r="J27" s="15">
        <f>H27-I27</f>
        <v>3227.796</v>
      </c>
      <c r="K27" s="10"/>
      <c r="L27" s="10"/>
      <c r="M27" s="10"/>
      <c r="N27" s="10"/>
      <c r="O27" s="10"/>
      <c r="P27" s="10"/>
      <c r="Q27" s="10"/>
      <c r="R27" s="10"/>
      <c r="S27" s="10"/>
    </row>
    <row r="28" ht="13.65" customHeight="1">
      <c r="A28" t="s" s="11">
        <v>41</v>
      </c>
      <c r="B28" s="12"/>
      <c r="C28" s="12"/>
      <c r="D28" s="12"/>
      <c r="E28" s="12"/>
      <c r="F28" s="12"/>
      <c r="G28" s="24">
        <v>1881</v>
      </c>
      <c r="H28" s="15">
        <f>G28*$A$1</f>
        <v>4965.84</v>
      </c>
      <c r="I28" s="15">
        <f>H28*0.35</f>
        <v>1738.044</v>
      </c>
      <c r="J28" s="15">
        <f>H28-I28</f>
        <v>3227.796</v>
      </c>
      <c r="K28" s="10"/>
      <c r="L28" s="10"/>
      <c r="M28" s="10"/>
      <c r="N28" s="10"/>
      <c r="O28" s="10"/>
      <c r="P28" s="10"/>
      <c r="Q28" s="10"/>
      <c r="R28" s="10"/>
      <c r="S28" s="10"/>
    </row>
    <row r="29" ht="13.65" customHeight="1">
      <c r="A29" s="12"/>
      <c r="B29" s="12"/>
      <c r="C29" s="12"/>
      <c r="D29" s="12"/>
      <c r="E29" s="12"/>
      <c r="F29" s="12"/>
      <c r="G29" s="24"/>
      <c r="H29" s="15"/>
      <c r="I29" s="15"/>
      <c r="J29" s="15"/>
      <c r="K29" s="10"/>
      <c r="L29" s="10"/>
      <c r="M29" s="10"/>
      <c r="N29" s="10"/>
      <c r="O29" s="10"/>
      <c r="P29" s="10"/>
      <c r="Q29" s="10"/>
      <c r="R29" s="10"/>
      <c r="S29" s="10"/>
    </row>
    <row r="30" ht="13.65" customHeight="1">
      <c r="A30" t="s" s="11">
        <v>42</v>
      </c>
      <c r="B30" s="12"/>
      <c r="C30" s="12"/>
      <c r="D30" s="12"/>
      <c r="E30" s="12"/>
      <c r="F30" s="12"/>
      <c r="G30" s="24"/>
      <c r="H30" s="15"/>
      <c r="I30" s="15"/>
      <c r="J30" s="15"/>
      <c r="K30" s="10"/>
      <c r="L30" s="10"/>
      <c r="M30" s="10"/>
      <c r="N30" s="10"/>
      <c r="O30" s="10"/>
      <c r="P30" s="10"/>
      <c r="Q30" s="10"/>
      <c r="R30" s="10"/>
      <c r="S30" s="10"/>
    </row>
    <row r="31" ht="13.65" customHeight="1">
      <c r="A31" t="s" s="11">
        <v>43</v>
      </c>
      <c r="B31" s="12"/>
      <c r="C31" s="12"/>
      <c r="D31" s="12"/>
      <c r="E31" s="12"/>
      <c r="F31" s="12"/>
      <c r="G31" s="24">
        <f>'AMT'!H52</f>
        <v>6136.878860722610</v>
      </c>
      <c r="H31" s="15">
        <f>G31*$A$1</f>
        <v>16201.3601923077</v>
      </c>
      <c r="I31" s="15">
        <f>H31*0.15</f>
        <v>2430.204028846150</v>
      </c>
      <c r="J31" s="15">
        <f>H31-I31</f>
        <v>13771.1561634616</v>
      </c>
      <c r="K31" s="10"/>
      <c r="L31" s="10"/>
      <c r="M31" s="10"/>
      <c r="N31" s="10"/>
      <c r="O31" s="10"/>
      <c r="P31" s="10"/>
      <c r="Q31" s="10"/>
      <c r="R31" s="10"/>
      <c r="S31" s="10"/>
    </row>
    <row r="32" ht="13.65" customHeight="1">
      <c r="A32" t="s" s="11">
        <v>44</v>
      </c>
      <c r="B32" s="12"/>
      <c r="C32" s="12"/>
      <c r="D32" s="12"/>
      <c r="E32" s="12"/>
      <c r="F32" s="12"/>
      <c r="G32" s="24">
        <v>1881</v>
      </c>
      <c r="H32" s="15">
        <f>G32*$A$1</f>
        <v>4965.84</v>
      </c>
      <c r="I32" s="15">
        <f>H32*0.35</f>
        <v>1738.044</v>
      </c>
      <c r="J32" s="15">
        <f>H32-I32</f>
        <v>3227.796</v>
      </c>
      <c r="K32" s="10"/>
      <c r="L32" s="10"/>
      <c r="M32" s="10"/>
      <c r="N32" s="10"/>
      <c r="O32" s="10"/>
      <c r="P32" s="10"/>
      <c r="Q32" s="10"/>
      <c r="R32" s="10"/>
      <c r="S32" s="10"/>
    </row>
    <row r="33" ht="13.6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ht="13.65" customHeight="1">
      <c r="A34" t="s" s="11">
        <v>45</v>
      </c>
      <c r="B34" s="12"/>
      <c r="C34" s="12"/>
      <c r="D34" s="12"/>
      <c r="E34" s="12"/>
      <c r="F34" s="12"/>
      <c r="G34" s="24"/>
      <c r="H34" s="15"/>
      <c r="I34" s="15"/>
      <c r="J34" s="15"/>
      <c r="K34" s="10"/>
      <c r="L34" s="10"/>
      <c r="M34" s="10"/>
      <c r="N34" s="10"/>
      <c r="O34" s="10"/>
      <c r="P34" s="10"/>
      <c r="Q34" s="10"/>
      <c r="R34" s="10"/>
      <c r="S34" s="10"/>
    </row>
    <row r="35" ht="13.65" customHeight="1">
      <c r="A35" t="s" s="11">
        <v>46</v>
      </c>
      <c r="B35" s="12"/>
      <c r="C35" s="12"/>
      <c r="D35" s="12"/>
      <c r="E35" s="12"/>
      <c r="F35" s="12"/>
      <c r="G35" s="24">
        <f>MAX(0,MIN('AMT'!B10-G31-G24,'AMT'!O52))</f>
        <v>0</v>
      </c>
      <c r="H35" s="15">
        <f>G35*$A$1</f>
        <v>0</v>
      </c>
      <c r="I35" s="15">
        <f>H35*0.15</f>
        <v>0</v>
      </c>
      <c r="J35" s="15">
        <f>H35-I35</f>
        <v>0</v>
      </c>
      <c r="K35" s="10"/>
      <c r="L35" s="10"/>
      <c r="M35" s="10"/>
      <c r="N35" s="10"/>
      <c r="O35" s="10"/>
      <c r="P35" s="10"/>
      <c r="Q35" s="10"/>
      <c r="R35" s="10"/>
      <c r="S35" s="10"/>
    </row>
    <row r="36" ht="13.65" customHeight="1">
      <c r="A36" s="12"/>
      <c r="B36" s="12"/>
      <c r="C36" s="12"/>
      <c r="D36" s="12"/>
      <c r="E36" s="12"/>
      <c r="F36" s="12"/>
      <c r="G36" s="24"/>
      <c r="H36" s="15"/>
      <c r="I36" s="15"/>
      <c r="J36" s="15"/>
      <c r="K36" s="10"/>
      <c r="L36" s="10"/>
      <c r="M36" s="10"/>
      <c r="N36" s="10"/>
      <c r="O36" s="10"/>
      <c r="P36" s="10"/>
      <c r="Q36" s="10"/>
      <c r="R36" s="10"/>
      <c r="S36" s="10"/>
    </row>
    <row r="37" ht="13.65" customHeight="1">
      <c r="A37" t="s" s="22">
        <v>47</v>
      </c>
      <c r="B37" s="23"/>
      <c r="C37" s="23"/>
      <c r="D37" s="23"/>
      <c r="E37" s="23"/>
      <c r="F37" s="23"/>
      <c r="G37" s="24">
        <f>SUM(G15:G35)</f>
        <v>60267</v>
      </c>
      <c r="H37" s="15">
        <f>SUM(H15:H35)</f>
        <v>159104.88</v>
      </c>
      <c r="I37" s="15">
        <f>SUM(I15:I35)</f>
        <v>39755.892</v>
      </c>
      <c r="J37" s="15">
        <f>SUM(J15:J35)</f>
        <v>119348.988</v>
      </c>
      <c r="K37" s="26"/>
      <c r="L37" s="10"/>
      <c r="M37" s="10"/>
      <c r="N37" s="13">
        <f>SUM(N3:N18)</f>
        <v>283.88</v>
      </c>
      <c r="O37" s="13">
        <f>SUM(O3:O18)</f>
        <v>0</v>
      </c>
      <c r="P37" s="10"/>
      <c r="Q37" s="10"/>
      <c r="R37" s="10"/>
      <c r="S37" s="10"/>
    </row>
    <row r="38" ht="13.65" customHeight="1">
      <c r="A38" s="10"/>
      <c r="B38" s="10"/>
      <c r="C38" s="10"/>
      <c r="D38" s="10"/>
      <c r="E38" s="10"/>
      <c r="F38" s="10"/>
      <c r="G38" s="10"/>
      <c r="H38" s="10"/>
      <c r="I38" s="26">
        <f>I37/H37</f>
        <v>0.249872235219938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ht="13.65" customHeight="1">
      <c r="A39" t="s" s="8">
        <v>48</v>
      </c>
      <c r="B39" s="24">
        <f>'AMT'!B9-G37+30095</f>
        <v>0</v>
      </c>
      <c r="C39" t="s" s="17">
        <v>49</v>
      </c>
      <c r="D39" s="15">
        <f>A1*B39</f>
        <v>0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</sheetData>
  <mergeCells count="28">
    <mergeCell ref="A1:B1"/>
    <mergeCell ref="C1:E1"/>
    <mergeCell ref="A2:E2"/>
    <mergeCell ref="G2:J2"/>
    <mergeCell ref="G3:J3"/>
    <mergeCell ref="G4:J4"/>
    <mergeCell ref="G5:J5"/>
    <mergeCell ref="G6:J6"/>
    <mergeCell ref="G7:J7"/>
    <mergeCell ref="A14:F14"/>
    <mergeCell ref="A15:F15"/>
    <mergeCell ref="A16:F16"/>
    <mergeCell ref="A18:F18"/>
    <mergeCell ref="A19:F19"/>
    <mergeCell ref="A20:F20"/>
    <mergeCell ref="A22:F22"/>
    <mergeCell ref="A23:F23"/>
    <mergeCell ref="A24:F24"/>
    <mergeCell ref="A25:F25"/>
    <mergeCell ref="A26:F26"/>
    <mergeCell ref="A27:F27"/>
    <mergeCell ref="A28:F28"/>
    <mergeCell ref="A30:F30"/>
    <mergeCell ref="A31:F31"/>
    <mergeCell ref="A32:F32"/>
    <mergeCell ref="A34:F34"/>
    <mergeCell ref="A35:F35"/>
    <mergeCell ref="A37:F37"/>
  </mergeCells>
  <conditionalFormatting sqref="H16:J32 H34:J37">
    <cfRule type="cellIs" dxfId="0" priority="1" operator="lessThan" stopIfTrue="1">
      <formula>0</formula>
    </cfRule>
  </conditionalFormatting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Roman,Regular"&amp;12&amp;K000000Schedule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T52"/>
  <sheetViews>
    <sheetView workbookViewId="0" showGridLines="0" defaultGridColor="1"/>
  </sheetViews>
  <sheetFormatPr defaultColWidth="8.83333" defaultRowHeight="12.8" customHeight="1" outlineLevelRow="0" outlineLevelCol="0"/>
  <cols>
    <col min="1" max="1" width="14.6719" style="27" customWidth="1"/>
    <col min="2" max="2" width="13.5" style="27" customWidth="1"/>
    <col min="3" max="3" width="10.6719" style="27" customWidth="1"/>
    <col min="4" max="4" width="5.17188" style="27" customWidth="1"/>
    <col min="5" max="5" width="12.3516" style="27" customWidth="1"/>
    <col min="6" max="6" width="9.85156" style="27" customWidth="1"/>
    <col min="7" max="7" width="4.67188" style="27" customWidth="1"/>
    <col min="8" max="9" width="9.17188" style="27" customWidth="1"/>
    <col min="10" max="10" width="2.85156" style="27" customWidth="1"/>
    <col min="11" max="11" width="5.17188" style="27" customWidth="1"/>
    <col min="12" max="12" width="11.5" style="27" customWidth="1"/>
    <col min="13" max="13" width="10.5" style="27" customWidth="1"/>
    <col min="14" max="14" width="4.67188" style="27" customWidth="1"/>
    <col min="15" max="20" width="11.5" style="27" customWidth="1"/>
    <col min="21" max="16384" width="8.85156" style="27" customWidth="1"/>
  </cols>
  <sheetData>
    <row r="1" ht="13.65" customHeight="1">
      <c r="A1" s="10"/>
      <c r="B1" s="10"/>
      <c r="C1" s="10"/>
      <c r="D1" s="28"/>
      <c r="E1" s="28"/>
      <c r="F1" s="28"/>
      <c r="G1" s="28"/>
      <c r="H1" s="28"/>
      <c r="I1" s="28"/>
      <c r="J1" s="10"/>
      <c r="K1" s="29"/>
      <c r="L1" s="29"/>
      <c r="M1" s="29"/>
      <c r="N1" s="29"/>
      <c r="O1" s="29"/>
      <c r="P1" s="29"/>
      <c r="Q1" s="10"/>
      <c r="R1" s="10"/>
      <c r="S1" s="10"/>
      <c r="T1" s="10"/>
    </row>
    <row r="2" ht="13.65" customHeight="1">
      <c r="A2" t="s" s="8">
        <v>50</v>
      </c>
      <c r="B2" s="15">
        <v>12550</v>
      </c>
      <c r="C2" s="30"/>
      <c r="D2" t="s" s="31">
        <v>51</v>
      </c>
      <c r="E2" s="32"/>
      <c r="F2" s="33"/>
      <c r="G2" s="34"/>
      <c r="H2" s="35">
        <v>2021</v>
      </c>
      <c r="I2" s="36"/>
      <c r="J2" s="37"/>
      <c r="K2" t="s" s="38">
        <v>51</v>
      </c>
      <c r="L2" s="39"/>
      <c r="M2" s="40"/>
      <c r="N2" s="41"/>
      <c r="O2" s="42">
        <v>2022</v>
      </c>
      <c r="P2" s="43"/>
      <c r="Q2" s="44"/>
      <c r="R2" s="10"/>
      <c r="S2" s="10"/>
      <c r="T2" s="10"/>
    </row>
    <row r="3" ht="13.65" customHeight="1">
      <c r="A3" t="s" s="8">
        <v>52</v>
      </c>
      <c r="B3" s="15">
        <v>73600</v>
      </c>
      <c r="C3" s="30"/>
      <c r="D3" t="s" s="45">
        <v>53</v>
      </c>
      <c r="E3" t="s" s="46">
        <v>54</v>
      </c>
      <c r="F3" t="s" s="46">
        <v>55</v>
      </c>
      <c r="G3" s="47"/>
      <c r="H3" s="48"/>
      <c r="I3" s="49"/>
      <c r="J3" s="37"/>
      <c r="K3" t="s" s="50">
        <v>53</v>
      </c>
      <c r="L3" t="s" s="46">
        <v>54</v>
      </c>
      <c r="M3" t="s" s="46">
        <v>55</v>
      </c>
      <c r="N3" s="10"/>
      <c r="O3" s="51"/>
      <c r="P3" s="52"/>
      <c r="Q3" s="44"/>
      <c r="R3" s="10"/>
      <c r="S3" s="10"/>
      <c r="T3" s="10"/>
    </row>
    <row r="4" ht="13.65" customHeight="1">
      <c r="A4" t="s" s="8">
        <v>56</v>
      </c>
      <c r="B4" s="15">
        <v>523600</v>
      </c>
      <c r="C4" s="30"/>
      <c r="D4" t="s" s="53">
        <v>57</v>
      </c>
      <c r="E4" s="54">
        <v>9950</v>
      </c>
      <c r="F4" s="54">
        <f>IF((I7-I5)&gt;E4,(E4-0)*D4,((I7-I5)-0)*D4)</f>
        <v>995</v>
      </c>
      <c r="G4" s="55"/>
      <c r="H4" t="s" s="8">
        <v>58</v>
      </c>
      <c r="I4" s="56">
        <v>153000</v>
      </c>
      <c r="J4" s="37"/>
      <c r="K4" t="s" s="57">
        <v>57</v>
      </c>
      <c r="L4" s="54">
        <v>10275</v>
      </c>
      <c r="M4" s="54">
        <f>IF((P7-P5)&gt;L4,(L4-0)*K4,((P7-P5)-0)*K4)</f>
        <v>1027.5</v>
      </c>
      <c r="N4" s="10"/>
      <c r="O4" t="s" s="8">
        <v>58</v>
      </c>
      <c r="P4" s="56">
        <f>175000+SUM('Schedule'!H17:H20)</f>
        <v>229621.6</v>
      </c>
      <c r="Q4" s="58"/>
      <c r="R4" s="10"/>
      <c r="S4" s="10"/>
      <c r="T4" s="10"/>
    </row>
    <row r="5" ht="13.65" customHeight="1">
      <c r="A5" t="s" s="8">
        <v>59</v>
      </c>
      <c r="B5" s="59">
        <v>0.25</v>
      </c>
      <c r="C5" s="30"/>
      <c r="D5" t="s" s="53">
        <v>60</v>
      </c>
      <c r="E5" s="54">
        <v>40525</v>
      </c>
      <c r="F5" s="54">
        <f>MAX(0,IF((I$7-I$5)&gt;E4,MIN((E5-E4),((I$7-I$5)-E4))*D5,0))</f>
        <v>3669</v>
      </c>
      <c r="G5" s="55"/>
      <c r="H5" t="s" s="8">
        <v>61</v>
      </c>
      <c r="I5" s="56">
        <v>0</v>
      </c>
      <c r="J5" s="37"/>
      <c r="K5" t="s" s="57">
        <v>60</v>
      </c>
      <c r="L5" s="54">
        <v>41775</v>
      </c>
      <c r="M5" s="54">
        <f>MAX(0,IF((P$7-P$5)&gt;L4,MIN((L5-L4),((P$7-P$5)-L4))*K5,0))</f>
        <v>3780</v>
      </c>
      <c r="N5" s="10"/>
      <c r="O5" t="s" s="8">
        <v>61</v>
      </c>
      <c r="P5" s="56">
        <f>'Schedule'!H16+5000</f>
        <v>42596.24</v>
      </c>
      <c r="Q5" s="58"/>
      <c r="R5" s="10"/>
      <c r="S5" s="23"/>
      <c r="T5" s="23"/>
    </row>
    <row r="6" ht="13.65" customHeight="1">
      <c r="A6" s="10"/>
      <c r="B6" s="10"/>
      <c r="C6" s="30"/>
      <c r="D6" t="s" s="53">
        <v>62</v>
      </c>
      <c r="E6" s="54">
        <v>86375</v>
      </c>
      <c r="F6" s="54">
        <f>MAX(0,IF((I$7-I$5)&gt;E5,MIN((E6-E5),((I$7-I$5)-E5))*D6,0))</f>
        <v>10087</v>
      </c>
      <c r="G6" s="55"/>
      <c r="H6" t="s" s="8">
        <v>63</v>
      </c>
      <c r="I6" s="56">
        <f>I4+I5</f>
        <v>153000</v>
      </c>
      <c r="J6" s="37"/>
      <c r="K6" t="s" s="57">
        <v>62</v>
      </c>
      <c r="L6" s="54">
        <v>89075</v>
      </c>
      <c r="M6" s="54">
        <f>MAX(0,IF((P$7-P$5)&gt;L5,MIN((L6-L5),((P$7-P$5)-L5))*K6,0))</f>
        <v>10406</v>
      </c>
      <c r="N6" s="10"/>
      <c r="O6" t="s" s="8">
        <v>63</v>
      </c>
      <c r="P6" s="56">
        <f>P4+P5</f>
        <v>272217.84</v>
      </c>
      <c r="Q6" s="58"/>
      <c r="R6" s="10"/>
      <c r="S6" s="10"/>
      <c r="T6" s="10"/>
    </row>
    <row r="7" ht="13.65" customHeight="1">
      <c r="A7" t="s" s="8">
        <v>64</v>
      </c>
      <c r="B7" s="7">
        <v>1.0313</v>
      </c>
      <c r="C7" s="30"/>
      <c r="D7" t="s" s="53">
        <v>65</v>
      </c>
      <c r="E7" s="54">
        <v>164925</v>
      </c>
      <c r="F7" s="54">
        <f>MAX(0,IF((I$7-I$5)&gt;E6,MIN((E7-E6),((I$7-I$5)-E6))*D7,0))</f>
        <v>12978</v>
      </c>
      <c r="G7" s="55"/>
      <c r="H7" t="s" s="8">
        <v>66</v>
      </c>
      <c r="I7" s="56">
        <f>I6-$B$2</f>
        <v>140450</v>
      </c>
      <c r="J7" s="37"/>
      <c r="K7" t="s" s="57">
        <v>65</v>
      </c>
      <c r="L7" s="54">
        <v>170050</v>
      </c>
      <c r="M7" s="54">
        <f>MAX(0,IF((P$7-P$5)&gt;L6,MIN((L7-L6),((P$7-P$5)-L6))*K7,0))</f>
        <v>19434</v>
      </c>
      <c r="N7" s="10"/>
      <c r="O7" t="s" s="8">
        <v>66</v>
      </c>
      <c r="P7" s="56">
        <f>P6-($B$2*$B$7)</f>
        <v>259275.025</v>
      </c>
      <c r="Q7" s="58"/>
      <c r="R7" s="10"/>
      <c r="S7" s="10"/>
      <c r="T7" s="7"/>
    </row>
    <row r="8" ht="13.65" customHeight="1">
      <c r="A8" s="10"/>
      <c r="B8" s="10"/>
      <c r="C8" s="30"/>
      <c r="D8" t="s" s="53">
        <v>67</v>
      </c>
      <c r="E8" s="54">
        <v>209425</v>
      </c>
      <c r="F8" s="54">
        <f>MAX(0,IF((I$7-I$5)&gt;E7,MIN((E8-E7),((I$7-I$5)-E7))*D8,0))</f>
        <v>0</v>
      </c>
      <c r="G8" s="55"/>
      <c r="H8" t="s" s="8">
        <v>68</v>
      </c>
      <c r="I8" s="15">
        <f>SUM(F4:F10)</f>
        <v>27729</v>
      </c>
      <c r="J8" s="60"/>
      <c r="K8" t="s" s="57">
        <v>67</v>
      </c>
      <c r="L8" s="54">
        <v>215950</v>
      </c>
      <c r="M8" s="54">
        <f>MAX(0,IF((P$7-P$5)&gt;L7,MIN((L8-L7),((P$7-P$5)-L7))*K8,0))</f>
        <v>14688</v>
      </c>
      <c r="N8" s="10"/>
      <c r="O8" t="s" s="8">
        <v>68</v>
      </c>
      <c r="P8" s="15">
        <f>SUM(M4:M10)</f>
        <v>49590.57475</v>
      </c>
      <c r="Q8" s="10"/>
      <c r="R8" s="10"/>
      <c r="S8" s="10"/>
      <c r="T8" s="10"/>
    </row>
    <row r="9" ht="13.65" customHeight="1">
      <c r="A9" t="s" s="8">
        <v>69</v>
      </c>
      <c r="B9" s="7">
        <v>30172</v>
      </c>
      <c r="C9" s="30"/>
      <c r="D9" t="s" s="53">
        <v>70</v>
      </c>
      <c r="E9" s="54">
        <v>523600</v>
      </c>
      <c r="F9" s="54">
        <f>MAX(0,IF((I$7-I$5)&gt;E8,MIN((E9-E8),((I$7-I$5)-E8))*D9,0))</f>
        <v>0</v>
      </c>
      <c r="G9" s="55"/>
      <c r="H9" t="s" s="8">
        <v>71</v>
      </c>
      <c r="I9" s="56">
        <f>SUM(F14:F16)+SUM(F20:F21)</f>
        <v>0</v>
      </c>
      <c r="J9" s="37"/>
      <c r="K9" t="s" s="57">
        <v>70</v>
      </c>
      <c r="L9" s="54">
        <v>539900</v>
      </c>
      <c r="M9" s="54">
        <f>MAX(0,IF((P$7-P$5)&gt;L8,MIN((L9-L8),((P$7-P$5)-L8))*K9,0))</f>
        <v>255.07475</v>
      </c>
      <c r="N9" s="10"/>
      <c r="O9" t="s" s="8">
        <v>71</v>
      </c>
      <c r="P9" s="56">
        <f>SUM(M14:M16)+SUM(M20:M21)</f>
        <v>6389.436</v>
      </c>
      <c r="Q9" s="58"/>
      <c r="R9" s="10"/>
      <c r="S9" s="10"/>
      <c r="T9" s="10"/>
    </row>
    <row r="10" ht="13.65" customHeight="1">
      <c r="A10" t="s" s="8">
        <v>48</v>
      </c>
      <c r="B10" s="7">
        <f>B9-14241-8291-593-337-73</f>
        <v>6637</v>
      </c>
      <c r="C10" s="30"/>
      <c r="D10" t="s" s="53">
        <v>72</v>
      </c>
      <c r="E10" t="s" s="46">
        <v>73</v>
      </c>
      <c r="F10" s="54">
        <f>MAX(0,IF((I$7-I$5)&gt;E9,((I$7-I$5)-E9)*D10,0))</f>
        <v>0</v>
      </c>
      <c r="G10" s="55"/>
      <c r="H10" t="s" s="8">
        <v>53</v>
      </c>
      <c r="I10" s="61">
        <f>(I8+I9)/I6</f>
        <v>0.181235294117647</v>
      </c>
      <c r="J10" s="37"/>
      <c r="K10" t="s" s="57">
        <v>72</v>
      </c>
      <c r="L10" t="s" s="46">
        <v>73</v>
      </c>
      <c r="M10" s="54">
        <f>MAX(0,IF((P$7-P$5)&gt;L9,((P$7-P$5)-L9)*K10,0))</f>
        <v>0</v>
      </c>
      <c r="N10" s="10"/>
      <c r="O10" t="s" s="8">
        <v>53</v>
      </c>
      <c r="P10" s="61">
        <f>(P8+P9)/P6</f>
        <v>0.205644166267721</v>
      </c>
      <c r="Q10" s="58"/>
      <c r="R10" s="10"/>
      <c r="S10" s="10"/>
      <c r="T10" s="10"/>
    </row>
    <row r="11" ht="13.65" customHeight="1">
      <c r="A11" s="10"/>
      <c r="B11" s="10"/>
      <c r="C11" s="30"/>
      <c r="D11" s="62"/>
      <c r="E11" s="10"/>
      <c r="F11" s="10"/>
      <c r="G11" s="10"/>
      <c r="H11" s="10"/>
      <c r="I11" s="10"/>
      <c r="J11" s="60"/>
      <c r="K11" s="63"/>
      <c r="L11" s="10"/>
      <c r="M11" s="10"/>
      <c r="N11" s="10"/>
      <c r="O11" s="10"/>
      <c r="P11" s="61"/>
      <c r="Q11" s="58"/>
      <c r="R11" s="64"/>
      <c r="S11" s="23"/>
      <c r="T11" s="23"/>
    </row>
    <row r="12" ht="13.65" customHeight="1">
      <c r="A12" s="10"/>
      <c r="B12" s="10"/>
      <c r="C12" s="30"/>
      <c r="D12" t="s" s="65">
        <v>74</v>
      </c>
      <c r="E12" s="66"/>
      <c r="F12" s="67"/>
      <c r="G12" s="10"/>
      <c r="H12" s="10"/>
      <c r="I12" s="68"/>
      <c r="J12" s="37"/>
      <c r="K12" t="s" s="69">
        <v>74</v>
      </c>
      <c r="L12" s="70"/>
      <c r="M12" s="71"/>
      <c r="N12" s="10"/>
      <c r="O12" s="10"/>
      <c r="P12" s="72"/>
      <c r="Q12" s="44"/>
      <c r="R12" s="64"/>
      <c r="S12" s="10"/>
      <c r="T12" s="7"/>
    </row>
    <row r="13" ht="13.65" customHeight="1">
      <c r="A13" s="10"/>
      <c r="B13" s="10"/>
      <c r="C13" s="30"/>
      <c r="D13" t="s" s="45">
        <v>53</v>
      </c>
      <c r="E13" t="s" s="46">
        <v>54</v>
      </c>
      <c r="F13" t="s" s="9">
        <v>55</v>
      </c>
      <c r="G13" s="10"/>
      <c r="H13" s="10"/>
      <c r="I13" s="68"/>
      <c r="J13" s="37"/>
      <c r="K13" t="s" s="50">
        <v>53</v>
      </c>
      <c r="L13" t="s" s="46">
        <v>54</v>
      </c>
      <c r="M13" t="s" s="9">
        <v>55</v>
      </c>
      <c r="N13" s="10"/>
      <c r="O13" s="10"/>
      <c r="P13" s="72"/>
      <c r="Q13" s="44"/>
      <c r="R13" s="10"/>
      <c r="S13" s="10"/>
      <c r="T13" s="10"/>
    </row>
    <row r="14" ht="13.65" customHeight="1">
      <c r="A14" s="10"/>
      <c r="B14" s="7"/>
      <c r="C14" s="30"/>
      <c r="D14" s="73">
        <v>0</v>
      </c>
      <c r="E14" s="54">
        <v>40400</v>
      </c>
      <c r="F14" s="15">
        <f>IF(I$6&lt;=E14,I$5*D14,0)</f>
        <v>0</v>
      </c>
      <c r="G14" s="10"/>
      <c r="H14" s="10"/>
      <c r="I14" s="68"/>
      <c r="J14" s="37"/>
      <c r="K14" s="74">
        <v>0</v>
      </c>
      <c r="L14" s="54">
        <v>41675</v>
      </c>
      <c r="M14" s="15">
        <f>IF(P$6&lt;=L14,P$5*K14,0)</f>
        <v>0</v>
      </c>
      <c r="N14" s="10"/>
      <c r="O14" s="10"/>
      <c r="P14" s="72"/>
      <c r="Q14" s="44"/>
      <c r="R14" s="10"/>
      <c r="S14" s="10"/>
      <c r="T14" s="10"/>
    </row>
    <row r="15" ht="13.65" customHeight="1">
      <c r="A15" s="10"/>
      <c r="B15" s="10"/>
      <c r="C15" s="30"/>
      <c r="D15" s="73">
        <v>0.15</v>
      </c>
      <c r="E15" s="54">
        <v>445850</v>
      </c>
      <c r="F15" s="15">
        <f>IF(I$6&gt;E14,IF(I$6&lt;=E15,I$5*D15,0),0)</f>
        <v>0</v>
      </c>
      <c r="G15" s="10"/>
      <c r="H15" t="s" s="8">
        <v>75</v>
      </c>
      <c r="I15" s="56">
        <v>24329.16</v>
      </c>
      <c r="J15" s="37"/>
      <c r="K15" s="74">
        <v>0.15</v>
      </c>
      <c r="L15" s="54">
        <v>459750</v>
      </c>
      <c r="M15" s="15">
        <f>IF(P$6&gt;L14,IF(P$6&lt;=L15,P$5*K15,0),0)</f>
        <v>6389.436</v>
      </c>
      <c r="N15" s="10"/>
      <c r="O15" t="s" s="8">
        <v>75</v>
      </c>
      <c r="P15" s="75">
        <v>35694.74</v>
      </c>
      <c r="Q15" s="44"/>
      <c r="R15" s="10"/>
      <c r="S15" s="10"/>
      <c r="T15" s="10"/>
    </row>
    <row r="16" ht="13.65" customHeight="1">
      <c r="A16" s="10"/>
      <c r="B16" s="10"/>
      <c r="C16" s="30"/>
      <c r="D16" s="76">
        <v>0.2</v>
      </c>
      <c r="E16" t="s" s="46">
        <v>73</v>
      </c>
      <c r="F16" s="15">
        <f>IF(I$6&gt;E15,I$5*D16,0)</f>
        <v>0</v>
      </c>
      <c r="G16" s="10"/>
      <c r="H16" t="s" s="8">
        <v>76</v>
      </c>
      <c r="I16" s="56">
        <f>I6+I15</f>
        <v>177329.16</v>
      </c>
      <c r="J16" s="37"/>
      <c r="K16" s="77">
        <v>0.2</v>
      </c>
      <c r="L16" t="s" s="46">
        <v>73</v>
      </c>
      <c r="M16" s="15">
        <f>IF(P$6&gt;L15,P$5*K16,0)</f>
        <v>0</v>
      </c>
      <c r="N16" s="10"/>
      <c r="O16" t="s" s="8">
        <v>76</v>
      </c>
      <c r="P16" s="75">
        <f>P6+P15</f>
        <v>307912.58</v>
      </c>
      <c r="Q16" s="44"/>
      <c r="R16" s="10"/>
      <c r="S16" s="10"/>
      <c r="T16" s="10"/>
    </row>
    <row r="17" ht="13.65" customHeight="1">
      <c r="A17" s="10"/>
      <c r="B17" s="10"/>
      <c r="C17" s="30"/>
      <c r="D17" s="62"/>
      <c r="E17" s="10"/>
      <c r="F17" s="10"/>
      <c r="G17" s="10"/>
      <c r="H17" t="s" s="8">
        <v>77</v>
      </c>
      <c r="I17" s="56">
        <f>MIN(B3,MAX(0,B5*(I16-B4)))</f>
        <v>0</v>
      </c>
      <c r="J17" s="37"/>
      <c r="K17" s="63"/>
      <c r="L17" s="10"/>
      <c r="M17" s="10"/>
      <c r="N17" s="10"/>
      <c r="O17" t="s" s="8">
        <v>77</v>
      </c>
      <c r="P17" s="75">
        <f>MIN($B3,MAX(0,$B5*(P16-$B4)))</f>
        <v>0</v>
      </c>
      <c r="Q17" s="44"/>
      <c r="R17" s="10"/>
      <c r="S17" s="10"/>
      <c r="T17" s="10"/>
    </row>
    <row r="18" ht="13.65" customHeight="1">
      <c r="A18" s="10"/>
      <c r="B18" s="10"/>
      <c r="C18" s="30"/>
      <c r="D18" t="s" s="65">
        <v>78</v>
      </c>
      <c r="E18" s="66"/>
      <c r="F18" s="67"/>
      <c r="G18" s="10"/>
      <c r="H18" t="s" s="14">
        <v>79</v>
      </c>
      <c r="I18" s="56">
        <f>I16-B3+I17-I5</f>
        <v>103729.16</v>
      </c>
      <c r="J18" s="37"/>
      <c r="K18" t="s" s="69">
        <v>78</v>
      </c>
      <c r="L18" s="70"/>
      <c r="M18" s="71"/>
      <c r="N18" s="10"/>
      <c r="O18" t="s" s="14">
        <v>79</v>
      </c>
      <c r="P18" s="75">
        <f>P16+P17-($B3*$B$7)-P5</f>
        <v>189412.66</v>
      </c>
      <c r="Q18" s="44"/>
      <c r="R18" s="10"/>
      <c r="S18" s="10"/>
      <c r="T18" s="10"/>
    </row>
    <row r="19" ht="13.65" customHeight="1">
      <c r="A19" s="10"/>
      <c r="B19" s="10"/>
      <c r="C19" s="30"/>
      <c r="D19" t="s" s="45">
        <v>53</v>
      </c>
      <c r="E19" t="s" s="46">
        <v>54</v>
      </c>
      <c r="F19" t="s" s="9">
        <v>55</v>
      </c>
      <c r="G19" s="10"/>
      <c r="H19" t="s" s="14">
        <v>80</v>
      </c>
      <c r="I19" s="56">
        <f>F25+F26</f>
        <v>26969.5816</v>
      </c>
      <c r="J19" s="37"/>
      <c r="K19" t="s" s="50">
        <v>53</v>
      </c>
      <c r="L19" t="s" s="46">
        <v>54</v>
      </c>
      <c r="M19" t="s" s="9">
        <v>55</v>
      </c>
      <c r="N19" s="10"/>
      <c r="O19" t="s" s="14">
        <v>80</v>
      </c>
      <c r="P19" s="75">
        <f>M25+M26</f>
        <v>49247.2916</v>
      </c>
      <c r="Q19" s="44"/>
      <c r="R19" s="10"/>
      <c r="S19" s="10"/>
      <c r="T19" s="10"/>
    </row>
    <row r="20" ht="13.65" customHeight="1">
      <c r="A20" s="10"/>
      <c r="B20" s="10"/>
      <c r="C20" s="30"/>
      <c r="D20" s="78">
        <v>0</v>
      </c>
      <c r="E20" s="54">
        <v>200000</v>
      </c>
      <c r="F20" s="15">
        <f>IF((I$7-I$5)&lt;=E20,I$5*D20,0)</f>
        <v>0</v>
      </c>
      <c r="G20" s="10"/>
      <c r="H20" t="s" s="8">
        <v>71</v>
      </c>
      <c r="I20" s="15">
        <f>I9</f>
        <v>0</v>
      </c>
      <c r="J20" s="60"/>
      <c r="K20" s="79">
        <v>0</v>
      </c>
      <c r="L20" s="54">
        <v>200000</v>
      </c>
      <c r="M20" s="15">
        <f>IF((P$7-P$5)&lt;=L20,P$5*K20,0)</f>
        <v>0</v>
      </c>
      <c r="N20" s="10"/>
      <c r="O20" t="s" s="8">
        <v>71</v>
      </c>
      <c r="P20" s="15">
        <f>P9</f>
        <v>6389.436</v>
      </c>
      <c r="Q20" s="10"/>
      <c r="R20" s="10"/>
      <c r="S20" s="10"/>
      <c r="T20" s="10"/>
    </row>
    <row r="21" ht="13.65" customHeight="1">
      <c r="A21" s="10"/>
      <c r="B21" s="10"/>
      <c r="C21" s="30"/>
      <c r="D21" s="78">
        <v>0.038</v>
      </c>
      <c r="E21" t="s" s="46">
        <v>73</v>
      </c>
      <c r="F21" s="15">
        <f>MAX(0,IF((I$7-I$5)&gt;E20,(I$5-E20)*D21,0))</f>
        <v>0</v>
      </c>
      <c r="G21" s="10"/>
      <c r="H21" t="s" s="14">
        <v>53</v>
      </c>
      <c r="I21" s="61">
        <f>(I19+I20)/I16</f>
        <v>0.152087685973362</v>
      </c>
      <c r="J21" s="37"/>
      <c r="K21" s="79">
        <v>0.038</v>
      </c>
      <c r="L21" t="s" s="46">
        <v>73</v>
      </c>
      <c r="M21" s="15">
        <f>MAX(0,IF((P$7-P$5)&gt;L20,(P$5-L20)*K21,0))</f>
        <v>0</v>
      </c>
      <c r="N21" s="10"/>
      <c r="O21" t="s" s="14">
        <v>53</v>
      </c>
      <c r="P21" s="61">
        <f>(P19+P20)/P16</f>
        <v>0.180690011431167</v>
      </c>
      <c r="Q21" s="58"/>
      <c r="R21" s="10"/>
      <c r="S21" s="10"/>
      <c r="T21" s="10"/>
    </row>
    <row r="22" ht="13.65" customHeight="1">
      <c r="A22" s="10"/>
      <c r="B22" s="10"/>
      <c r="C22" s="30"/>
      <c r="D22" s="62"/>
      <c r="E22" s="10"/>
      <c r="F22" s="10"/>
      <c r="G22" s="10"/>
      <c r="H22" t="s" s="14">
        <v>81</v>
      </c>
      <c r="I22" s="56">
        <f>IF(I8&gt;I19,((I8+I9)-(I19+I20))/D25,0)</f>
        <v>2920.84</v>
      </c>
      <c r="J22" s="37"/>
      <c r="K22" s="63"/>
      <c r="L22" s="10"/>
      <c r="M22" s="10"/>
      <c r="N22" s="10"/>
      <c r="O22" t="s" s="14">
        <v>81</v>
      </c>
      <c r="P22" s="56">
        <f>IF(P8&gt;P19,((P8+P9)-(P19+P20))/K25,0)</f>
        <v>1320.319807692310</v>
      </c>
      <c r="Q22" s="58"/>
      <c r="R22" s="10"/>
      <c r="S22" s="10"/>
      <c r="T22" s="10"/>
    </row>
    <row r="23" ht="13.65" customHeight="1">
      <c r="A23" s="10"/>
      <c r="B23" s="10"/>
      <c r="C23" s="30"/>
      <c r="D23" t="s" s="65">
        <v>80</v>
      </c>
      <c r="E23" s="66"/>
      <c r="F23" s="67"/>
      <c r="G23" s="10"/>
      <c r="H23" s="10"/>
      <c r="I23" s="68"/>
      <c r="J23" s="37"/>
      <c r="K23" t="s" s="69">
        <v>80</v>
      </c>
      <c r="L23" s="70"/>
      <c r="M23" s="71"/>
      <c r="N23" s="10"/>
      <c r="O23" s="10"/>
      <c r="P23" s="72"/>
      <c r="Q23" s="44"/>
      <c r="R23" s="10"/>
      <c r="S23" s="10"/>
      <c r="T23" s="10"/>
    </row>
    <row r="24" ht="13.65" customHeight="1">
      <c r="A24" s="10"/>
      <c r="B24" s="10"/>
      <c r="C24" s="30"/>
      <c r="D24" t="s" s="45">
        <v>53</v>
      </c>
      <c r="E24" t="s" s="46">
        <v>54</v>
      </c>
      <c r="F24" t="s" s="9">
        <v>55</v>
      </c>
      <c r="G24" s="10"/>
      <c r="H24" s="10"/>
      <c r="I24" s="68"/>
      <c r="J24" s="37"/>
      <c r="K24" t="s" s="50">
        <v>53</v>
      </c>
      <c r="L24" t="s" s="46">
        <v>54</v>
      </c>
      <c r="M24" t="s" s="9">
        <v>55</v>
      </c>
      <c r="N24" s="10"/>
      <c r="O24" s="10"/>
      <c r="P24" s="72"/>
      <c r="Q24" s="44"/>
      <c r="R24" s="10"/>
      <c r="S24" s="10"/>
      <c r="T24" s="10"/>
    </row>
    <row r="25" ht="13.65" customHeight="1">
      <c r="A25" s="10"/>
      <c r="B25" s="10"/>
      <c r="C25" s="30"/>
      <c r="D25" t="s" s="53">
        <v>82</v>
      </c>
      <c r="E25" s="54">
        <v>199900</v>
      </c>
      <c r="F25" s="15">
        <f>MIN((MIN(I18,E25)*D25),((I7-I5)*D25+I9))</f>
        <v>26969.5816</v>
      </c>
      <c r="G25" s="10"/>
      <c r="H25" t="s" s="80">
        <v>83</v>
      </c>
      <c r="I25" s="66"/>
      <c r="J25" s="37"/>
      <c r="K25" t="s" s="57">
        <v>82</v>
      </c>
      <c r="L25" s="54">
        <v>206100</v>
      </c>
      <c r="M25" s="15">
        <f>MIN(P18,L25)*K25</f>
        <v>49247.2916</v>
      </c>
      <c r="N25" s="10"/>
      <c r="O25" t="s" s="81">
        <v>83</v>
      </c>
      <c r="P25" s="70"/>
      <c r="Q25" s="44"/>
      <c r="R25" s="10"/>
      <c r="S25" s="10"/>
      <c r="T25" s="10"/>
    </row>
    <row r="26" ht="13.65" customHeight="1">
      <c r="A26" s="10"/>
      <c r="B26" s="10"/>
      <c r="C26" s="30"/>
      <c r="D26" t="s" s="82">
        <v>84</v>
      </c>
      <c r="E26" t="s" s="83">
        <v>73</v>
      </c>
      <c r="F26" s="84">
        <f>MIN(IF(I18&gt;E25,(I18-E25)*D26,0),IF((I5-I18)&gt;E25,(I5*D26),0))</f>
        <v>0</v>
      </c>
      <c r="G26" s="85"/>
      <c r="H26" s="86">
        <f>I22/'Schedule'!A1</f>
        <v>1106.378787878790</v>
      </c>
      <c r="I26" s="87"/>
      <c r="J26" s="37"/>
      <c r="K26" t="s" s="88">
        <v>84</v>
      </c>
      <c r="L26" t="s" s="89">
        <v>73</v>
      </c>
      <c r="M26" s="84">
        <f>IF(P18&gt;L25,(P18-L25)*K26,0)</f>
        <v>0</v>
      </c>
      <c r="N26" s="90"/>
      <c r="O26" s="91">
        <f>MIN(B10,P22/'Schedule'!A1)</f>
        <v>500.121139277390</v>
      </c>
      <c r="P26" s="92"/>
      <c r="Q26" s="44"/>
      <c r="R26" s="10"/>
      <c r="S26" s="10"/>
      <c r="T26" s="10"/>
    </row>
    <row r="27" ht="13.65" customHeight="1">
      <c r="A27" s="10"/>
      <c r="B27" s="10"/>
      <c r="C27" s="10"/>
      <c r="D27" s="93"/>
      <c r="E27" s="93"/>
      <c r="F27" s="93"/>
      <c r="G27" s="93"/>
      <c r="H27" s="93"/>
      <c r="I27" s="93"/>
      <c r="J27" s="10"/>
      <c r="K27" s="94"/>
      <c r="L27" s="94"/>
      <c r="M27" s="93"/>
      <c r="N27" s="94"/>
      <c r="O27" s="94"/>
      <c r="P27" s="94"/>
      <c r="Q27" s="10"/>
      <c r="R27" s="10"/>
      <c r="S27" s="10"/>
      <c r="T27" s="10"/>
    </row>
    <row r="28" ht="13.65" customHeight="1">
      <c r="A28" s="10"/>
      <c r="B28" s="10"/>
      <c r="C28" s="60"/>
      <c r="D28" t="s" s="38">
        <v>51</v>
      </c>
      <c r="E28" s="39"/>
      <c r="F28" s="40"/>
      <c r="G28" s="41"/>
      <c r="H28" s="42">
        <v>2023</v>
      </c>
      <c r="I28" s="43"/>
      <c r="J28" s="95"/>
      <c r="K28" t="s" s="38">
        <v>51</v>
      </c>
      <c r="L28" s="39"/>
      <c r="M28" s="40"/>
      <c r="N28" s="41"/>
      <c r="O28" s="42">
        <v>2024</v>
      </c>
      <c r="P28" s="43"/>
      <c r="Q28" s="44"/>
      <c r="R28" s="10"/>
      <c r="S28" s="10"/>
      <c r="T28" s="10"/>
    </row>
    <row r="29" ht="13.65" customHeight="1">
      <c r="A29" s="10"/>
      <c r="B29" s="10"/>
      <c r="C29" s="60"/>
      <c r="D29" t="s" s="50">
        <v>53</v>
      </c>
      <c r="E29" t="s" s="46">
        <v>54</v>
      </c>
      <c r="F29" t="s" s="46">
        <v>55</v>
      </c>
      <c r="G29" s="10"/>
      <c r="H29" s="51"/>
      <c r="I29" s="52"/>
      <c r="J29" s="95"/>
      <c r="K29" t="s" s="50">
        <v>53</v>
      </c>
      <c r="L29" t="s" s="46">
        <v>54</v>
      </c>
      <c r="M29" t="s" s="46">
        <v>55</v>
      </c>
      <c r="N29" s="10"/>
      <c r="O29" s="51"/>
      <c r="P29" s="52"/>
      <c r="Q29" s="44"/>
      <c r="R29" s="10"/>
      <c r="S29" s="10"/>
      <c r="T29" s="10"/>
    </row>
    <row r="30" ht="13.65" customHeight="1">
      <c r="A30" s="10"/>
      <c r="B30" s="10"/>
      <c r="C30" s="60"/>
      <c r="D30" t="s" s="57">
        <v>57</v>
      </c>
      <c r="E30" s="54">
        <f>L4*(L4/E4)</f>
        <v>10610.6155778894</v>
      </c>
      <c r="F30" s="54">
        <f>IF((I33-I31)&gt;E30,(E30-0)*D30,((I33-I31)-0)*D30)</f>
        <v>1061.061557788940</v>
      </c>
      <c r="G30" s="10"/>
      <c r="H30" t="s" s="8">
        <v>58</v>
      </c>
      <c r="I30" s="56">
        <f>182500+SUM('Schedule'!H25:H28)</f>
        <v>202363.36</v>
      </c>
      <c r="J30" s="37"/>
      <c r="K30" t="s" s="57">
        <v>57</v>
      </c>
      <c r="L30" s="54">
        <f>E30*$B$7</f>
        <v>10942.7278454773</v>
      </c>
      <c r="M30" s="54">
        <f>IF((P33-P31)&gt;L30,(L30-0)*K30,((P33-P31)-0)*K30)</f>
        <v>1094.272784547730</v>
      </c>
      <c r="N30" s="10"/>
      <c r="O30" t="s" s="8">
        <v>58</v>
      </c>
      <c r="P30" s="56">
        <f>190000+'Schedule'!H32</f>
        <v>194965.84</v>
      </c>
      <c r="Q30" s="58"/>
      <c r="R30" s="10"/>
      <c r="S30" s="10"/>
      <c r="T30" s="10"/>
    </row>
    <row r="31" ht="13.65" customHeight="1">
      <c r="A31" s="10"/>
      <c r="B31" s="10"/>
      <c r="C31" s="60"/>
      <c r="D31" t="s" s="57">
        <v>60</v>
      </c>
      <c r="E31" s="54">
        <f>L5*(L5/E5)</f>
        <v>43063.5564466379</v>
      </c>
      <c r="F31" s="54">
        <f>MAX(0,IF((I$33-I$31)&gt;E30,MIN((E31-E30),((I$33-I$31)-E30))*D31,0))</f>
        <v>3894.352904249820</v>
      </c>
      <c r="G31" s="10"/>
      <c r="H31" t="s" s="8">
        <v>61</v>
      </c>
      <c r="I31" s="56">
        <f>'Schedule'!H24+5000</f>
        <v>6320.319807692310</v>
      </c>
      <c r="J31" s="37"/>
      <c r="K31" t="s" s="57">
        <v>60</v>
      </c>
      <c r="L31" s="54">
        <f>E31*$B$7</f>
        <v>44411.4457634177</v>
      </c>
      <c r="M31" s="54">
        <f>MAX(0,IF((P$33-P$31)&gt;L30,MIN((L31-L30),((P$33-P$31)-L30))*K31,0))</f>
        <v>4016.246150152850</v>
      </c>
      <c r="N31" s="10"/>
      <c r="O31" t="s" s="8">
        <v>61</v>
      </c>
      <c r="P31" s="56">
        <f>'Schedule'!H31+5000</f>
        <v>21201.3601923077</v>
      </c>
      <c r="Q31" s="58"/>
      <c r="R31" s="10"/>
      <c r="S31" s="10"/>
      <c r="T31" s="10"/>
    </row>
    <row r="32" ht="13.65" customHeight="1">
      <c r="A32" s="10"/>
      <c r="B32" s="10"/>
      <c r="C32" s="60"/>
      <c r="D32" t="s" s="57">
        <v>62</v>
      </c>
      <c r="E32" s="54">
        <f>L6*(L6/E6)</f>
        <v>91859.399421128794</v>
      </c>
      <c r="F32" s="54">
        <f>MAX(0,IF((I$33-I$31)&gt;E31,MIN((E32-E31),((I$33-I$31)-E31))*D32,0))</f>
        <v>10735.085454388</v>
      </c>
      <c r="G32" s="10"/>
      <c r="H32" t="s" s="8">
        <v>63</v>
      </c>
      <c r="I32" s="56">
        <f>I30+I31</f>
        <v>208683.679807692</v>
      </c>
      <c r="J32" s="37"/>
      <c r="K32" t="s" s="57">
        <v>62</v>
      </c>
      <c r="L32" s="54">
        <f>E32*$B$7</f>
        <v>94734.5986230101</v>
      </c>
      <c r="M32" s="54">
        <f>MAX(0,IF((P$33-P$31)&gt;L31,MIN((L32-L31),((P$33-P$31)-L31))*K32,0))</f>
        <v>11071.0936291103</v>
      </c>
      <c r="N32" s="10"/>
      <c r="O32" t="s" s="8">
        <v>63</v>
      </c>
      <c r="P32" s="56">
        <f>P30+P31</f>
        <v>216167.200192308</v>
      </c>
      <c r="Q32" s="58"/>
      <c r="R32" s="10"/>
      <c r="S32" s="10"/>
      <c r="T32" s="10"/>
    </row>
    <row r="33" ht="13.65" customHeight="1">
      <c r="A33" s="10"/>
      <c r="B33" s="10"/>
      <c r="C33" s="60"/>
      <c r="D33" t="s" s="57">
        <v>65</v>
      </c>
      <c r="E33" s="54">
        <f>L7*(L7/E7)</f>
        <v>175334.257996059</v>
      </c>
      <c r="F33" s="54">
        <f>MAX(0,IF((I$33-I$31)&gt;E32,MIN((E33-E32),((I$33-I$31)-E32))*D33,0))</f>
        <v>20033.9660579832</v>
      </c>
      <c r="G33" s="10"/>
      <c r="H33" t="s" s="8">
        <v>66</v>
      </c>
      <c r="I33" s="56">
        <f>I32-($B$2*$B$7^2)</f>
        <v>195335.754698192</v>
      </c>
      <c r="J33" s="37"/>
      <c r="K33" t="s" s="57">
        <v>65</v>
      </c>
      <c r="L33" s="54">
        <f>E33*$B$7</f>
        <v>180822.220271336</v>
      </c>
      <c r="M33" s="54">
        <f>MAX(0,IF((P$33-P$31)&gt;L32,MIN((L33-L32),((P$33-P$31)-L32))*K33,0))</f>
        <v>20661.0291955982</v>
      </c>
      <c r="N33" s="10"/>
      <c r="O33" t="s" s="8">
        <v>66</v>
      </c>
      <c r="P33" s="56">
        <f>P32-($B$2*$B$7^3)</f>
        <v>202401.485026881</v>
      </c>
      <c r="Q33" s="58"/>
      <c r="R33" s="10"/>
      <c r="S33" s="10"/>
      <c r="T33" s="10"/>
    </row>
    <row r="34" ht="13.65" customHeight="1">
      <c r="A34" s="10"/>
      <c r="B34" s="10"/>
      <c r="C34" s="60"/>
      <c r="D34" t="s" s="57">
        <v>67</v>
      </c>
      <c r="E34" s="54">
        <f>L8*(L8/E8)</f>
        <v>222678.297719947</v>
      </c>
      <c r="F34" s="54">
        <f>MAX(0,IF((I$33-I$31)&gt;E33,MIN((E34-E33),((I$33-I$31)-E33))*D34,0))</f>
        <v>4377.976606221020</v>
      </c>
      <c r="G34" s="10"/>
      <c r="H34" t="s" s="8">
        <v>68</v>
      </c>
      <c r="I34" s="15">
        <f>SUM(F30:F36)</f>
        <v>40102.442580631</v>
      </c>
      <c r="J34" s="60"/>
      <c r="K34" t="s" s="57">
        <v>67</v>
      </c>
      <c r="L34" s="54">
        <f>E34*$B$7</f>
        <v>229648.128438581</v>
      </c>
      <c r="M34" s="54">
        <f>MAX(0,IF((P$33-P$31)&gt;L33,MIN((L34-L33),((P$33-P$31)-L33))*K34,0))</f>
        <v>120.929460235936</v>
      </c>
      <c r="N34" s="10"/>
      <c r="O34" t="s" s="8">
        <v>68</v>
      </c>
      <c r="P34" s="15">
        <f>SUM(M30:M36)</f>
        <v>36963.571219645</v>
      </c>
      <c r="Q34" s="10"/>
      <c r="R34" s="10"/>
      <c r="S34" s="10"/>
      <c r="T34" s="10"/>
    </row>
    <row r="35" ht="13.65" customHeight="1">
      <c r="A35" s="10"/>
      <c r="B35" s="10"/>
      <c r="C35" s="60"/>
      <c r="D35" t="s" s="57">
        <v>70</v>
      </c>
      <c r="E35" s="54">
        <f>L9*(L9/E9)</f>
        <v>556707.429335371</v>
      </c>
      <c r="F35" s="54">
        <f>MAX(0,IF((I$33-I$31)&gt;E34,MIN((E35-E34),((I$33-I$31)-E34))*D35,0))</f>
        <v>0</v>
      </c>
      <c r="G35" s="10"/>
      <c r="H35" t="s" s="8">
        <v>71</v>
      </c>
      <c r="I35" s="56">
        <f>SUM(F40:F42)+SUM(F46:F47)</f>
        <v>948.047971153847</v>
      </c>
      <c r="J35" s="37"/>
      <c r="K35" t="s" s="57">
        <v>70</v>
      </c>
      <c r="L35" s="54">
        <f>E35*$B$7</f>
        <v>574132.371873568</v>
      </c>
      <c r="M35" s="54">
        <f>MAX(0,IF((P$33-P$31)&gt;L34,MIN((L35-L34),((P$33-P$31)-L34))*K35,0))</f>
        <v>0</v>
      </c>
      <c r="N35" s="10"/>
      <c r="O35" t="s" s="8">
        <v>71</v>
      </c>
      <c r="P35" s="56">
        <f>SUM(M40:M42)+SUM(M46:M47)</f>
        <v>3180.204028846160</v>
      </c>
      <c r="Q35" s="58"/>
      <c r="R35" s="10"/>
      <c r="S35" s="10"/>
      <c r="T35" s="10"/>
    </row>
    <row r="36" ht="13.65" customHeight="1">
      <c r="A36" s="10"/>
      <c r="B36" s="10"/>
      <c r="C36" s="60"/>
      <c r="D36" t="s" s="57">
        <v>72</v>
      </c>
      <c r="E36" t="s" s="46">
        <v>73</v>
      </c>
      <c r="F36" s="54">
        <f>MAX(0,IF((I$33-I$31)&gt;E35,((I$33-I$31)-E35)*D36,0))</f>
        <v>0</v>
      </c>
      <c r="G36" s="10"/>
      <c r="H36" t="s" s="8">
        <v>53</v>
      </c>
      <c r="I36" s="61">
        <f>(I34+I35)/I32</f>
        <v>0.196711552094606</v>
      </c>
      <c r="J36" s="37"/>
      <c r="K36" t="s" s="57">
        <v>72</v>
      </c>
      <c r="L36" t="s" s="46">
        <v>73</v>
      </c>
      <c r="M36" s="54">
        <f>MAX(0,IF((P$33-P$31)&gt;L35,((P$33-P$31)-L35)*K36,0))</f>
        <v>0</v>
      </c>
      <c r="N36" s="10"/>
      <c r="O36" t="s" s="8">
        <v>53</v>
      </c>
      <c r="P36" s="61">
        <f>(P34+P35)/P32</f>
        <v>0.185707060149635</v>
      </c>
      <c r="Q36" s="58"/>
      <c r="R36" s="10"/>
      <c r="S36" s="10"/>
      <c r="T36" s="10"/>
    </row>
    <row r="37" ht="13.65" customHeight="1">
      <c r="A37" s="10"/>
      <c r="B37" s="10"/>
      <c r="C37" s="60"/>
      <c r="D37" s="63"/>
      <c r="E37" s="10"/>
      <c r="F37" s="10"/>
      <c r="G37" s="10"/>
      <c r="H37" s="10"/>
      <c r="I37" s="61"/>
      <c r="J37" s="37"/>
      <c r="K37" s="63"/>
      <c r="L37" s="10"/>
      <c r="M37" s="10"/>
      <c r="N37" s="10"/>
      <c r="O37" s="10"/>
      <c r="P37" s="61"/>
      <c r="Q37" s="58"/>
      <c r="R37" s="10"/>
      <c r="S37" s="10"/>
      <c r="T37" s="10"/>
    </row>
    <row r="38" ht="13.65" customHeight="1">
      <c r="A38" s="10"/>
      <c r="B38" s="10"/>
      <c r="C38" s="60"/>
      <c r="D38" t="s" s="69">
        <v>74</v>
      </c>
      <c r="E38" s="70"/>
      <c r="F38" s="71"/>
      <c r="G38" s="10"/>
      <c r="H38" s="10"/>
      <c r="I38" s="72"/>
      <c r="J38" s="95"/>
      <c r="K38" t="s" s="69">
        <v>74</v>
      </c>
      <c r="L38" s="70"/>
      <c r="M38" s="71"/>
      <c r="N38" s="10"/>
      <c r="O38" s="10"/>
      <c r="P38" s="72"/>
      <c r="Q38" s="44"/>
      <c r="R38" s="10"/>
      <c r="S38" s="10"/>
      <c r="T38" s="10"/>
    </row>
    <row r="39" ht="13.65" customHeight="1">
      <c r="A39" s="10"/>
      <c r="B39" s="10"/>
      <c r="C39" s="60"/>
      <c r="D39" t="s" s="50">
        <v>53</v>
      </c>
      <c r="E39" t="s" s="46">
        <v>54</v>
      </c>
      <c r="F39" t="s" s="9">
        <v>55</v>
      </c>
      <c r="G39" s="10"/>
      <c r="H39" s="10"/>
      <c r="I39" s="72"/>
      <c r="J39" s="95"/>
      <c r="K39" t="s" s="50">
        <v>53</v>
      </c>
      <c r="L39" t="s" s="46">
        <v>54</v>
      </c>
      <c r="M39" t="s" s="9">
        <v>55</v>
      </c>
      <c r="N39" s="10"/>
      <c r="O39" s="10"/>
      <c r="P39" s="72"/>
      <c r="Q39" s="44"/>
      <c r="R39" s="10"/>
      <c r="S39" s="10"/>
      <c r="T39" s="10"/>
    </row>
    <row r="40" ht="13.65" customHeight="1">
      <c r="A40" s="10"/>
      <c r="B40" s="10"/>
      <c r="C40" s="60"/>
      <c r="D40" s="74">
        <v>0</v>
      </c>
      <c r="E40" s="54">
        <f>L14*(L14/E14)</f>
        <v>42990.2382425743</v>
      </c>
      <c r="F40" s="15">
        <f>IF(I$32&lt;=E40,I$32*D40,0)</f>
        <v>0</v>
      </c>
      <c r="G40" s="10"/>
      <c r="H40" s="10"/>
      <c r="I40" s="72"/>
      <c r="J40" s="95"/>
      <c r="K40" s="74">
        <v>0</v>
      </c>
      <c r="L40" s="54">
        <f>E40*$B$7</f>
        <v>44335.8326995669</v>
      </c>
      <c r="M40" s="15">
        <f>IF(P$32&lt;=L40,P$32*K40,0)</f>
        <v>0</v>
      </c>
      <c r="N40" s="10"/>
      <c r="O40" s="10"/>
      <c r="P40" s="72"/>
      <c r="Q40" s="44"/>
      <c r="R40" s="10"/>
      <c r="S40" s="10"/>
      <c r="T40" s="10"/>
    </row>
    <row r="41" ht="13.65" customHeight="1">
      <c r="A41" s="10"/>
      <c r="B41" s="10"/>
      <c r="C41" s="60"/>
      <c r="D41" s="74">
        <v>0.15</v>
      </c>
      <c r="E41" s="54">
        <f>L15*(L15/E15)</f>
        <v>474083.352024223</v>
      </c>
      <c r="F41" s="15">
        <f>IF(I$32&gt;E40,IF(I$32&lt;=E41,I$31*D41,0),0)</f>
        <v>948.047971153847</v>
      </c>
      <c r="G41" s="10"/>
      <c r="H41" t="s" s="8">
        <v>75</v>
      </c>
      <c r="I41" s="75">
        <v>0</v>
      </c>
      <c r="J41" s="95"/>
      <c r="K41" s="74">
        <v>0.15</v>
      </c>
      <c r="L41" s="54">
        <f>E41*$B$7</f>
        <v>488922.160942581</v>
      </c>
      <c r="M41" s="15">
        <f>IF(P$32&gt;L40,IF(P$32&lt;=L41,P$31*K41,0),0)</f>
        <v>3180.204028846160</v>
      </c>
      <c r="N41" s="10"/>
      <c r="O41" t="s" s="8">
        <v>75</v>
      </c>
      <c r="P41" s="75">
        <v>0</v>
      </c>
      <c r="Q41" s="44"/>
      <c r="R41" s="10"/>
      <c r="S41" s="10"/>
      <c r="T41" s="10"/>
    </row>
    <row r="42" ht="13.65" customHeight="1">
      <c r="A42" s="10"/>
      <c r="B42" s="10"/>
      <c r="C42" s="60"/>
      <c r="D42" s="77">
        <v>0.2</v>
      </c>
      <c r="E42" t="s" s="9">
        <v>73</v>
      </c>
      <c r="F42" s="15">
        <f>IF(I$32&gt;E41,I$31*D42,0)</f>
        <v>0</v>
      </c>
      <c r="G42" s="10"/>
      <c r="H42" t="s" s="8">
        <v>76</v>
      </c>
      <c r="I42" s="75">
        <f>I32+I41</f>
        <v>208683.679807692</v>
      </c>
      <c r="J42" s="95"/>
      <c r="K42" s="77">
        <v>0.2</v>
      </c>
      <c r="L42" t="s" s="46">
        <v>73</v>
      </c>
      <c r="M42" s="15">
        <f>IF(P$32&gt;L41,P$31*K42,0)</f>
        <v>0</v>
      </c>
      <c r="N42" s="10"/>
      <c r="O42" t="s" s="8">
        <v>76</v>
      </c>
      <c r="P42" s="75">
        <f>P32+P41</f>
        <v>216167.200192308</v>
      </c>
      <c r="Q42" s="44"/>
      <c r="R42" s="10"/>
      <c r="S42" s="10"/>
      <c r="T42" s="10"/>
    </row>
    <row r="43" ht="13.65" customHeight="1">
      <c r="A43" s="10"/>
      <c r="B43" s="10"/>
      <c r="C43" s="60"/>
      <c r="D43" s="63"/>
      <c r="E43" s="10"/>
      <c r="F43" s="10"/>
      <c r="G43" s="10"/>
      <c r="H43" t="s" s="8">
        <v>77</v>
      </c>
      <c r="I43" s="75">
        <f>MIN($B3,MAX(0,$B5*(I42-$B4)))</f>
        <v>0</v>
      </c>
      <c r="J43" s="95"/>
      <c r="K43" s="63"/>
      <c r="L43" s="10"/>
      <c r="M43" s="10"/>
      <c r="N43" s="10"/>
      <c r="O43" t="s" s="8">
        <v>77</v>
      </c>
      <c r="P43" s="75">
        <f>MIN($B29,MAX(0,$B31*(P42-$B30)))</f>
        <v>0</v>
      </c>
      <c r="Q43" s="44"/>
      <c r="R43" s="10"/>
      <c r="S43" s="10"/>
      <c r="T43" s="10"/>
    </row>
    <row r="44" ht="13.65" customHeight="1">
      <c r="A44" s="10"/>
      <c r="B44" s="10"/>
      <c r="C44" s="60"/>
      <c r="D44" t="s" s="69">
        <v>78</v>
      </c>
      <c r="E44" s="70"/>
      <c r="F44" s="71"/>
      <c r="G44" s="10"/>
      <c r="H44" t="s" s="14">
        <v>79</v>
      </c>
      <c r="I44" s="75">
        <f>I42+I43-($B3*$B$7^2)-I31</f>
        <v>124083.894816</v>
      </c>
      <c r="J44" s="95"/>
      <c r="K44" t="s" s="69">
        <v>78</v>
      </c>
      <c r="L44" s="70"/>
      <c r="M44" s="71"/>
      <c r="N44" s="10"/>
      <c r="O44" t="s" s="14">
        <v>79</v>
      </c>
      <c r="P44" s="75">
        <f>P42+P43-($B3*$B$7^3)-P31</f>
        <v>114236.227555741</v>
      </c>
      <c r="Q44" s="44"/>
      <c r="R44" s="10"/>
      <c r="S44" s="10"/>
      <c r="T44" s="10"/>
    </row>
    <row r="45" ht="13.65" customHeight="1">
      <c r="A45" s="10"/>
      <c r="B45" s="10"/>
      <c r="C45" s="60"/>
      <c r="D45" t="s" s="50">
        <v>53</v>
      </c>
      <c r="E45" t="s" s="46">
        <v>54</v>
      </c>
      <c r="F45" t="s" s="9">
        <v>55</v>
      </c>
      <c r="G45" s="10"/>
      <c r="H45" t="s" s="14">
        <v>80</v>
      </c>
      <c r="I45" s="75">
        <f>F51+F52</f>
        <v>32261.81265216</v>
      </c>
      <c r="J45" s="95"/>
      <c r="K45" t="s" s="50">
        <v>53</v>
      </c>
      <c r="L45" t="s" s="46">
        <v>54</v>
      </c>
      <c r="M45" t="s" s="9">
        <v>55</v>
      </c>
      <c r="N45" s="10"/>
      <c r="O45" t="s" s="14">
        <v>80</v>
      </c>
      <c r="P45" s="75">
        <f>M51+M52</f>
        <v>29701.4191644927</v>
      </c>
      <c r="Q45" s="44"/>
      <c r="R45" s="10"/>
      <c r="S45" s="10"/>
      <c r="T45" s="10"/>
    </row>
    <row r="46" ht="13.65" customHeight="1">
      <c r="A46" s="10"/>
      <c r="B46" s="10"/>
      <c r="C46" s="60"/>
      <c r="D46" s="79">
        <v>0</v>
      </c>
      <c r="E46" s="54">
        <v>200000</v>
      </c>
      <c r="F46" s="15">
        <f>IF((I$33-I$31)&lt;=E46,I$31*D46,0)</f>
        <v>0</v>
      </c>
      <c r="G46" s="10"/>
      <c r="H46" t="s" s="8">
        <v>71</v>
      </c>
      <c r="I46" s="15">
        <f>I35</f>
        <v>948.047971153847</v>
      </c>
      <c r="J46" s="60"/>
      <c r="K46" s="79">
        <v>0</v>
      </c>
      <c r="L46" s="54">
        <v>200000</v>
      </c>
      <c r="M46" s="15">
        <f>IF((P$33-P$31)&lt;=L46,P$31*K46,0)</f>
        <v>0</v>
      </c>
      <c r="N46" s="10"/>
      <c r="O46" t="s" s="8">
        <v>71</v>
      </c>
      <c r="P46" s="15">
        <f>P35</f>
        <v>3180.204028846160</v>
      </c>
      <c r="Q46" s="10"/>
      <c r="R46" s="10"/>
      <c r="S46" s="10"/>
      <c r="T46" s="10"/>
    </row>
    <row r="47" ht="13.65" customHeight="1">
      <c r="A47" s="10"/>
      <c r="B47" s="10"/>
      <c r="C47" s="60"/>
      <c r="D47" s="79">
        <v>0.038</v>
      </c>
      <c r="E47" t="s" s="9">
        <v>73</v>
      </c>
      <c r="F47" s="15">
        <f>MAX(0,IF((I$33-I$31)&gt;E46,(I$31-E46)*D47,0))</f>
        <v>0</v>
      </c>
      <c r="G47" s="10"/>
      <c r="H47" t="s" s="14">
        <v>53</v>
      </c>
      <c r="I47" s="61">
        <f>I45/I42</f>
        <v>0.154596721132626</v>
      </c>
      <c r="J47" s="37"/>
      <c r="K47" s="79">
        <v>0.038</v>
      </c>
      <c r="L47" t="s" s="46">
        <v>73</v>
      </c>
      <c r="M47" s="15">
        <f>MAX(0,IF((P$33-P$31)&gt;L46,(P$31-L46)*K47,0))</f>
        <v>0</v>
      </c>
      <c r="N47" s="10"/>
      <c r="O47" t="s" s="14">
        <v>53</v>
      </c>
      <c r="P47" s="61">
        <f>P45/P42</f>
        <v>0.137400212141664</v>
      </c>
      <c r="Q47" s="58"/>
      <c r="R47" s="10"/>
      <c r="S47" s="10"/>
      <c r="T47" s="10"/>
    </row>
    <row r="48" ht="13.65" customHeight="1">
      <c r="A48" s="10"/>
      <c r="B48" s="10"/>
      <c r="C48" s="60"/>
      <c r="D48" s="63"/>
      <c r="E48" s="10"/>
      <c r="F48" s="10"/>
      <c r="G48" s="10"/>
      <c r="H48" t="s" s="14">
        <v>81</v>
      </c>
      <c r="I48" s="56">
        <f>IF(I34&gt;I45,((I34+I35)-(I45+I46))/D51,0)</f>
        <v>30156.2689556577</v>
      </c>
      <c r="J48" s="37"/>
      <c r="K48" s="63"/>
      <c r="L48" s="10"/>
      <c r="M48" s="10"/>
      <c r="N48" s="10"/>
      <c r="O48" t="s" s="14">
        <v>81</v>
      </c>
      <c r="P48" s="56">
        <f>IF(P34&gt;P45,((P34+P35)-(P45+P46))/K51,0)</f>
        <v>27931.3540582781</v>
      </c>
      <c r="Q48" s="58"/>
      <c r="R48" s="10"/>
      <c r="S48" s="10"/>
      <c r="T48" s="10"/>
    </row>
    <row r="49" ht="13.65" customHeight="1">
      <c r="A49" s="10"/>
      <c r="B49" s="10"/>
      <c r="C49" s="60"/>
      <c r="D49" t="s" s="69">
        <v>80</v>
      </c>
      <c r="E49" s="70"/>
      <c r="F49" s="71"/>
      <c r="G49" s="10"/>
      <c r="H49" s="10"/>
      <c r="I49" s="72"/>
      <c r="J49" s="95"/>
      <c r="K49" t="s" s="69">
        <v>80</v>
      </c>
      <c r="L49" s="70"/>
      <c r="M49" s="71"/>
      <c r="N49" s="10"/>
      <c r="O49" s="10"/>
      <c r="P49" s="72"/>
      <c r="Q49" s="44"/>
      <c r="R49" s="10"/>
      <c r="S49" s="10"/>
      <c r="T49" s="10"/>
    </row>
    <row r="50" ht="13.65" customHeight="1">
      <c r="A50" s="10"/>
      <c r="B50" s="10"/>
      <c r="C50" s="60"/>
      <c r="D50" t="s" s="50">
        <v>53</v>
      </c>
      <c r="E50" t="s" s="46">
        <v>54</v>
      </c>
      <c r="F50" t="s" s="9">
        <v>55</v>
      </c>
      <c r="G50" s="10"/>
      <c r="H50" s="10"/>
      <c r="I50" s="72"/>
      <c r="J50" s="95"/>
      <c r="K50" t="s" s="50">
        <v>53</v>
      </c>
      <c r="L50" t="s" s="46">
        <v>54</v>
      </c>
      <c r="M50" t="s" s="9">
        <v>55</v>
      </c>
      <c r="N50" s="10"/>
      <c r="O50" s="10"/>
      <c r="P50" s="72"/>
      <c r="Q50" s="44"/>
      <c r="R50" s="10"/>
      <c r="S50" s="10"/>
      <c r="T50" s="10"/>
    </row>
    <row r="51" ht="13.65" customHeight="1">
      <c r="A51" s="10"/>
      <c r="B51" s="10"/>
      <c r="C51" s="60"/>
      <c r="D51" t="s" s="57">
        <v>82</v>
      </c>
      <c r="E51" s="54">
        <f>L25*(L25/E25)</f>
        <v>212492.296148074</v>
      </c>
      <c r="F51" s="15">
        <f>MIN(I44,E51)*D51</f>
        <v>32261.81265216</v>
      </c>
      <c r="G51" s="10"/>
      <c r="H51" t="s" s="81">
        <v>83</v>
      </c>
      <c r="I51" s="70"/>
      <c r="J51" s="95"/>
      <c r="K51" t="s" s="57">
        <v>82</v>
      </c>
      <c r="L51" s="54">
        <f>E51*$B$7</f>
        <v>219143.305017509</v>
      </c>
      <c r="M51" s="15">
        <f>MIN(P44,L51)*K51</f>
        <v>29701.4191644927</v>
      </c>
      <c r="N51" s="10"/>
      <c r="O51" t="s" s="81">
        <v>83</v>
      </c>
      <c r="P51" s="70"/>
      <c r="Q51" s="44"/>
      <c r="R51" s="10"/>
      <c r="S51" s="10"/>
      <c r="T51" s="10"/>
    </row>
    <row r="52" ht="13.65" customHeight="1">
      <c r="A52" s="10"/>
      <c r="B52" s="10"/>
      <c r="C52" s="60"/>
      <c r="D52" t="s" s="88">
        <v>84</v>
      </c>
      <c r="E52" t="s" s="89">
        <v>73</v>
      </c>
      <c r="F52" s="84">
        <f>IF(I44&gt;E51,(I44-E51)*D52,0)</f>
        <v>0</v>
      </c>
      <c r="G52" s="90"/>
      <c r="H52" s="91">
        <f>MIN(I48/'Schedule'!$A$1,(B10-O26))</f>
        <v>6136.878860722610</v>
      </c>
      <c r="I52" s="92"/>
      <c r="J52" s="95"/>
      <c r="K52" t="s" s="88">
        <v>84</v>
      </c>
      <c r="L52" t="s" s="89">
        <v>73</v>
      </c>
      <c r="M52" s="84">
        <f>IF(P44&gt;L51,(P44-L51)*K52,0)</f>
        <v>0</v>
      </c>
      <c r="N52" s="90"/>
      <c r="O52" s="91">
        <f>MIN(P48/'Schedule'!$A$1,(B10-O26-H52))</f>
        <v>0</v>
      </c>
      <c r="P52" s="92"/>
      <c r="Q52" s="44"/>
      <c r="R52" s="10"/>
      <c r="S52" s="10"/>
      <c r="T52" s="10"/>
    </row>
  </sheetData>
  <mergeCells count="30">
    <mergeCell ref="D2:F2"/>
    <mergeCell ref="H2:I3"/>
    <mergeCell ref="K2:M2"/>
    <mergeCell ref="O2:P3"/>
    <mergeCell ref="S5:T5"/>
    <mergeCell ref="S11:T11"/>
    <mergeCell ref="D12:F12"/>
    <mergeCell ref="K12:M12"/>
    <mergeCell ref="D18:F18"/>
    <mergeCell ref="K18:M18"/>
    <mergeCell ref="D23:F23"/>
    <mergeCell ref="K23:M23"/>
    <mergeCell ref="H25:I25"/>
    <mergeCell ref="O25:P25"/>
    <mergeCell ref="H26:I26"/>
    <mergeCell ref="O26:P26"/>
    <mergeCell ref="D28:F28"/>
    <mergeCell ref="H28:I29"/>
    <mergeCell ref="K28:M28"/>
    <mergeCell ref="O28:P29"/>
    <mergeCell ref="D38:F38"/>
    <mergeCell ref="K38:M38"/>
    <mergeCell ref="D44:F44"/>
    <mergeCell ref="K44:M44"/>
    <mergeCell ref="D49:F49"/>
    <mergeCell ref="K49:M49"/>
    <mergeCell ref="H51:I51"/>
    <mergeCell ref="O51:P51"/>
    <mergeCell ref="H52:I52"/>
    <mergeCell ref="O52:P52"/>
  </mergeCells>
  <conditionalFormatting sqref="B2 F3 M3 E4:F4 I4 L4:M4 P4 E5:F5 I5 L5:M5 P5 E6:F6 I6 L6:M6 P6 E7:F7 I7 L7:M7 P7 E8:F8 I8 L8:M8 P8 E9:F9 I9 L9:M10 P9 E10:F10 R11:R12 F13 M13 E14:F15 L14:M15 I15:I16 P15:P16 E16:F16 L16:M16 I17:I19 P17:P19 F19 M19 E20:F20 I20 L20:M21 P20 E21:F21 I22 P22 F24 M24 E25:F26 L25:M26 F29 M29 E30:F30 I30 L30:M30 P30 E31:F31 I31 L31:M31 P31 E32:F32 I32 L32:M32 P32 E33:F33 I33 L33:M33 P33 E34:F34 I34 L34:M34 P34 E35:F35 I35 L35:M36 P35 E36:F36 F39 M39 E40:F41 L40:M41 I41:I42 P41:P42 F42 L42:M42 I43:I45 P43:P45 F45 M45 E46:F46 I46 L46:M47 P46 F47 I48 P48 F50 M50 E51:F52 L51:M52">
    <cfRule type="cellIs" dxfId="1" priority="1" operator="lessThan" stopIfTrue="1">
      <formula>0</formula>
    </cfRule>
  </conditionalFormatting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Roman,Regular"&amp;12&amp;K000000AMT</oddHead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U26"/>
  <sheetViews>
    <sheetView workbookViewId="0" showGridLines="0" defaultGridColor="1"/>
  </sheetViews>
  <sheetFormatPr defaultColWidth="8.83333" defaultRowHeight="12.8" customHeight="1" outlineLevelRow="0" outlineLevelCol="0"/>
  <cols>
    <col min="1" max="1" width="15.6719" style="96" customWidth="1"/>
    <col min="2" max="2" width="8" style="96" customWidth="1"/>
    <col min="3" max="3" width="9.35156" style="96" customWidth="1"/>
    <col min="4" max="4" width="18.8516" style="96" customWidth="1"/>
    <col min="5" max="5" width="7.5" style="96" customWidth="1"/>
    <col min="6" max="6" width="11.1719" style="96" customWidth="1"/>
    <col min="7" max="7" width="10.1719" style="96" customWidth="1"/>
    <col min="8" max="8" width="9.67188" style="96" customWidth="1"/>
    <col min="9" max="9" width="12.3516" style="96" customWidth="1"/>
    <col min="10" max="10" width="2.5" style="96" customWidth="1"/>
    <col min="11" max="11" width="13.6719" style="96" customWidth="1"/>
    <col min="12" max="12" width="12.3516" style="96" customWidth="1"/>
    <col min="13" max="13" width="8" style="96" customWidth="1"/>
    <col min="14" max="14" width="9.17188" style="96" customWidth="1"/>
    <col min="15" max="15" width="6.85156" style="96" customWidth="1"/>
    <col min="16" max="17" width="12.3516" style="96" customWidth="1"/>
    <col min="18" max="18" width="11.8516" style="96" customWidth="1"/>
    <col min="19" max="21" width="11.5" style="96" customWidth="1"/>
    <col min="22" max="16384" width="8.85156" style="96" customWidth="1"/>
  </cols>
  <sheetData>
    <row r="1" ht="20.45" customHeight="1">
      <c r="A1" t="s" s="97">
        <v>85</v>
      </c>
      <c r="B1" s="97"/>
      <c r="C1" s="97"/>
      <c r="D1" s="97"/>
      <c r="E1" s="97"/>
      <c r="F1" s="97"/>
      <c r="G1" s="97"/>
      <c r="H1" s="97"/>
      <c r="I1" s="97"/>
      <c r="J1" s="97"/>
      <c r="K1" t="s" s="98">
        <v>86</v>
      </c>
      <c r="L1" s="98"/>
      <c r="M1" s="98"/>
      <c r="N1" s="98"/>
      <c r="O1" s="98"/>
      <c r="P1" s="98"/>
      <c r="Q1" s="98"/>
      <c r="R1" s="98"/>
      <c r="S1" s="58"/>
      <c r="T1" s="10"/>
      <c r="U1" s="10"/>
    </row>
    <row r="2" ht="13.65" customHeight="1">
      <c r="A2" t="s" s="99">
        <v>87</v>
      </c>
      <c r="B2" t="s" s="99">
        <v>88</v>
      </c>
      <c r="C2" t="s" s="99">
        <v>26</v>
      </c>
      <c r="D2" t="s" s="99">
        <v>89</v>
      </c>
      <c r="E2" t="s" s="99">
        <v>90</v>
      </c>
      <c r="F2" t="s" s="99">
        <v>91</v>
      </c>
      <c r="G2" t="s" s="99">
        <v>92</v>
      </c>
      <c r="H2" t="s" s="99">
        <v>93</v>
      </c>
      <c r="I2" t="s" s="99">
        <v>94</v>
      </c>
      <c r="J2" s="100"/>
      <c r="K2" t="s" s="99">
        <v>87</v>
      </c>
      <c r="L2" t="s" s="99">
        <v>95</v>
      </c>
      <c r="M2" t="s" s="99">
        <v>88</v>
      </c>
      <c r="N2" t="s" s="99">
        <v>26</v>
      </c>
      <c r="O2" t="s" s="99">
        <v>4</v>
      </c>
      <c r="P2" t="s" s="99">
        <v>96</v>
      </c>
      <c r="Q2" t="s" s="99">
        <v>97</v>
      </c>
      <c r="R2" t="s" s="99">
        <v>27</v>
      </c>
      <c r="S2" s="58"/>
      <c r="T2" s="10"/>
      <c r="U2" s="10"/>
    </row>
    <row r="3" ht="13.65" customHeight="1">
      <c r="A3" s="101">
        <v>42457</v>
      </c>
      <c r="B3" s="102">
        <v>0.012062</v>
      </c>
      <c r="C3" s="103">
        <v>2735</v>
      </c>
      <c r="D3" t="s" s="104">
        <v>98</v>
      </c>
      <c r="E3" s="105">
        <f>MAX(0,MIN(48*0.75,DATEDIF(A3,C25,"M")-12))</f>
        <v>36</v>
      </c>
      <c r="F3" s="106">
        <f>0.25*C3*IF(DATEDIF(A3,$C$25,"Y")&gt;=1,1,0)+0.75*C3*IF(DATEDIF(A3,$C$25,"Y")&gt;=1,MIN(36,E3)/36,0)</f>
        <v>2735</v>
      </c>
      <c r="G3" s="103">
        <v>2735</v>
      </c>
      <c r="H3" s="107">
        <f>IF(F3=C3,0,IF(DATEDIF(A3,$C$25,"Y")&gt;=1,C3*0.75/48,0))</f>
        <v>0</v>
      </c>
      <c r="I3" s="101">
        <f>DATE(YEAR(A3)+1,MONTH(A3)+(0.75*48),DAY(A3))</f>
        <v>43918</v>
      </c>
      <c r="J3" s="108"/>
      <c r="K3" s="101">
        <v>42457</v>
      </c>
      <c r="L3" s="101">
        <v>44001</v>
      </c>
      <c r="M3" s="102">
        <v>0.012062</v>
      </c>
      <c r="N3" s="103">
        <v>2735</v>
      </c>
      <c r="O3" s="109">
        <f>N3*M3</f>
        <v>32.98957</v>
      </c>
      <c r="P3" s="110">
        <f>'Schedule'!A$1*N3</f>
        <v>7220.4</v>
      </c>
      <c r="Q3" s="101">
        <f>MAX(DATE(YEAR(L3)+1,MONTH(L3),DAY(L3)),DATE(YEAR(K3)+2,MONTH(K3),DAY(K3)))</f>
        <v>44366</v>
      </c>
      <c r="R3" s="110">
        <f>IF($C$25&gt;Q3,P3*0.15,P3*0.35)</f>
        <v>1083.06</v>
      </c>
      <c r="S3" s="58"/>
      <c r="T3" s="111"/>
      <c r="U3" s="24"/>
    </row>
    <row r="4" ht="13.65" customHeight="1">
      <c r="A4" s="101">
        <v>43447</v>
      </c>
      <c r="B4" s="102">
        <v>0.012062</v>
      </c>
      <c r="C4" s="103">
        <v>11264</v>
      </c>
      <c r="D4" t="s" s="104">
        <v>99</v>
      </c>
      <c r="E4" s="105">
        <f>MAX(0,MIN(36,DATEDIF(A4,C25,"M")))</f>
        <v>36</v>
      </c>
      <c r="F4" s="106">
        <f>C4*0.35+(C4*0.65)*MIN(36,E4)/36</f>
        <v>11264</v>
      </c>
      <c r="G4" s="103">
        <v>11264</v>
      </c>
      <c r="H4" s="107">
        <f>IF(F4=C4,0,C4*0.65/36)</f>
        <v>0</v>
      </c>
      <c r="I4" s="101">
        <f>DATE(YEAR(A4),MONTH(A4)+36,DAY(A4))</f>
        <v>44543</v>
      </c>
      <c r="J4" s="108"/>
      <c r="K4" s="101">
        <v>43447</v>
      </c>
      <c r="L4" s="101">
        <v>44001</v>
      </c>
      <c r="M4" s="102">
        <v>0.012062</v>
      </c>
      <c r="N4" s="103">
        <v>7603</v>
      </c>
      <c r="O4" s="109">
        <f>M4*N4</f>
        <v>91.707386</v>
      </c>
      <c r="P4" s="110">
        <f>'Schedule'!A$1*N4</f>
        <v>20071.92</v>
      </c>
      <c r="Q4" s="101">
        <f>MAX(DATE(YEAR(L4)+1,MONTH(L4),DAY(L4)),DATE(YEAR(K4)+2,MONTH(K4),DAY(K4)))</f>
        <v>44366</v>
      </c>
      <c r="R4" s="110">
        <f>IF($C$25&gt;Q4,P4*0.15,P4*0.35)</f>
        <v>3010.788</v>
      </c>
      <c r="S4" s="58"/>
      <c r="T4" s="111"/>
      <c r="U4" s="24"/>
    </row>
    <row r="5" ht="13.65" customHeight="1">
      <c r="A5" s="101">
        <v>43602</v>
      </c>
      <c r="B5" s="102">
        <v>0.012062</v>
      </c>
      <c r="C5" s="103">
        <v>3500</v>
      </c>
      <c r="D5" t="s" s="104">
        <v>98</v>
      </c>
      <c r="E5" s="105">
        <f>MAX(0,MIN(48*0.75,DATEDIF(A5,C$25,"M")-12))</f>
        <v>21</v>
      </c>
      <c r="F5" s="106">
        <f>0.25*C5*IF(DATEDIF(A5,$C$25,"Y")&gt;=1,1,0)+0.75*C5*IF(DATEDIF(A5,$C$25,"Y")&gt;=1,MIN(36,E5)/36,0)</f>
        <v>2406.25</v>
      </c>
      <c r="G5" s="103">
        <v>2407</v>
      </c>
      <c r="H5" s="107">
        <f>IF(F5=C5,0,IF(DATEDIF(A5,$C$25,"Y")&gt;=1,C5/48,0))</f>
        <v>72.9166666666667</v>
      </c>
      <c r="I5" s="101">
        <f>DATE(YEAR(A5)+1,MONTH(A5)+(48*0.75),DAY(A5))</f>
        <v>45063</v>
      </c>
      <c r="J5" s="112"/>
      <c r="K5" s="113">
        <v>43602</v>
      </c>
      <c r="L5" s="114">
        <v>44001</v>
      </c>
      <c r="M5" s="102">
        <v>0.012062</v>
      </c>
      <c r="N5" s="115">
        <v>948</v>
      </c>
      <c r="O5" s="116">
        <f>M5*N5</f>
        <v>11.434776</v>
      </c>
      <c r="P5" s="110">
        <f>'Schedule'!A$1*N5</f>
        <v>2502.72</v>
      </c>
      <c r="Q5" s="117">
        <f>MAX(DATE(YEAR(L5)+1,MONTH(L5),DAY(L5)),DATE(YEAR(K5)+2,MONTH(K5),DAY(K5)))</f>
        <v>44366</v>
      </c>
      <c r="R5" s="118">
        <f>IF($C$25&gt;Q5,P5*0.15,P5*0.35)</f>
        <v>375.408</v>
      </c>
      <c r="S5" s="10"/>
      <c r="T5" s="111"/>
      <c r="U5" s="24"/>
    </row>
    <row r="6" ht="13.65" customHeight="1">
      <c r="A6" s="101">
        <v>43768</v>
      </c>
      <c r="B6" s="102">
        <v>0.012062</v>
      </c>
      <c r="C6" s="103">
        <v>12673</v>
      </c>
      <c r="D6" t="s" s="104">
        <v>98</v>
      </c>
      <c r="E6" s="105">
        <f>MAX(0,MIN(48*0.75,DATEDIF(A6,C$25,"M")-12))</f>
        <v>15</v>
      </c>
      <c r="F6" s="106">
        <f>0.25*C6*IF(DATEDIF(A6,$C$25,"Y")&gt;=1,1,0)+0.75*C6*IF(DATEDIF(A6,$C$25,"Y")&gt;=1,MIN(36,E6)/36,0)</f>
        <v>7128.5625</v>
      </c>
      <c r="G6" s="103">
        <f>6272+593+264</f>
        <v>7129</v>
      </c>
      <c r="H6" s="107">
        <f>IF(F6=C6,0,IF(DATEDIF(A6,$C$25,"Y")&gt;=1,C6/48,0))</f>
        <v>264.020833333333</v>
      </c>
      <c r="I6" s="101">
        <f>DATE(YEAR(A6)+1,MONTH(A6)+(48*0.75),DAY(A6))</f>
        <v>45229</v>
      </c>
      <c r="J6" s="108"/>
      <c r="K6" s="101">
        <v>43447</v>
      </c>
      <c r="L6" s="119">
        <v>44293</v>
      </c>
      <c r="M6" s="102">
        <v>0.012062</v>
      </c>
      <c r="N6" s="62">
        <v>1831</v>
      </c>
      <c r="O6" s="120">
        <f>M6*N6</f>
        <v>22.085522</v>
      </c>
      <c r="P6" s="110">
        <f>'Schedule'!A$1*N6</f>
        <v>4833.84</v>
      </c>
      <c r="Q6" s="121">
        <f>MAX(DATE(YEAR(L6)+1,MONTH(L6),DAY(L6)),DATE(YEAR(K6)+2,MONTH(K6),DAY(K6)))</f>
        <v>44658</v>
      </c>
      <c r="R6" s="64">
        <f>IF($C$25&gt;Q6,P6*0.15,P6*0.35)</f>
        <v>1691.844</v>
      </c>
      <c r="S6" s="10"/>
      <c r="T6" s="10"/>
      <c r="U6" s="10"/>
    </row>
    <row r="7" ht="13.65" customHeight="1">
      <c r="A7" s="101">
        <v>44263</v>
      </c>
      <c r="B7" s="102">
        <v>0</v>
      </c>
      <c r="C7" s="103">
        <v>30095</v>
      </c>
      <c r="D7" t="s" s="104">
        <v>100</v>
      </c>
      <c r="E7" s="105">
        <f>MAX(0,MIN(48*0.75,DATEDIF(A7,C$25,"M")-12))</f>
        <v>0</v>
      </c>
      <c r="F7" s="106">
        <f>0.5*C7*IF($C$25&gt;=DATE(2022,3,10),1,0)+0.5*C7*IF(DATEDIF(A7,$C$25,"Y")&gt;=1,MIN(36,E7)/36,0)</f>
        <v>0</v>
      </c>
      <c r="G7" s="103">
        <v>0</v>
      </c>
      <c r="H7" s="107">
        <f>IF(F7=C7,0,IF($C$25&gt;=DATE(2022,3,10),C7*0.75/36,0))</f>
        <v>0</v>
      </c>
      <c r="I7" s="101">
        <f>DATE(YEAR(A7),MONTH(A7)+36,DAY(A7))</f>
        <v>45359</v>
      </c>
      <c r="J7" s="108"/>
      <c r="K7" s="117">
        <v>43602</v>
      </c>
      <c r="L7" s="122">
        <v>44293</v>
      </c>
      <c r="M7" s="102">
        <v>0.012062</v>
      </c>
      <c r="N7" s="123">
        <v>656</v>
      </c>
      <c r="O7" s="120">
        <f>M7*N7</f>
        <v>7.912672</v>
      </c>
      <c r="P7" s="110">
        <f>'Schedule'!A$1*N7</f>
        <v>1731.84</v>
      </c>
      <c r="Q7" s="121">
        <f>MAX(DATE(YEAR(L7)+1,MONTH(L7),DAY(L7)),DATE(YEAR(K7)+2,MONTH(K7),DAY(K7)))</f>
        <v>44658</v>
      </c>
      <c r="R7" s="64">
        <f>IF($C$25&gt;Q7,P7*0.15,P7*0.35)</f>
        <v>606.144</v>
      </c>
      <c r="S7" s="10"/>
      <c r="T7" s="10"/>
      <c r="U7" s="10"/>
    </row>
    <row r="8" ht="13.65" customHeight="1">
      <c r="A8" s="105"/>
      <c r="B8" s="105"/>
      <c r="C8" s="105"/>
      <c r="D8" s="105"/>
      <c r="E8" s="105"/>
      <c r="F8" s="105"/>
      <c r="G8" s="105"/>
      <c r="H8" s="105"/>
      <c r="I8" s="105"/>
      <c r="J8" s="124"/>
      <c r="K8" s="121">
        <v>43893</v>
      </c>
      <c r="L8" s="122">
        <v>44293</v>
      </c>
      <c r="M8" s="102">
        <v>0.012062</v>
      </c>
      <c r="N8" s="62">
        <v>468</v>
      </c>
      <c r="O8" s="120">
        <f>M8*N8</f>
        <v>5.645016</v>
      </c>
      <c r="P8" s="110">
        <f>'Schedule'!A$1*N8</f>
        <v>1235.52</v>
      </c>
      <c r="Q8" s="121">
        <f>MAX(DATE(YEAR(L8)+1,MONTH(L8),DAY(L8)),DATE(YEAR(K8)+2,MONTH(K8),DAY(K8)))</f>
        <v>44658</v>
      </c>
      <c r="R8" s="64">
        <f>IF($C$25&gt;Q8,P8*0.15,P8*0.35)</f>
        <v>432.432</v>
      </c>
      <c r="S8" s="10"/>
      <c r="T8" s="10"/>
      <c r="U8" s="10"/>
    </row>
    <row r="9" ht="13.65" customHeight="1">
      <c r="A9" s="125"/>
      <c r="B9" s="105"/>
      <c r="C9" s="105"/>
      <c r="D9" s="105"/>
      <c r="E9" s="105"/>
      <c r="F9" s="105"/>
      <c r="G9" s="105"/>
      <c r="H9" s="105"/>
      <c r="I9" s="105"/>
      <c r="J9" s="124"/>
      <c r="K9" s="121">
        <v>43447</v>
      </c>
      <c r="L9" s="122">
        <v>44567</v>
      </c>
      <c r="M9" s="102">
        <v>0.012062</v>
      </c>
      <c r="N9" s="123">
        <f>1830</f>
        <v>1830</v>
      </c>
      <c r="O9" s="120">
        <f>N9*M9</f>
        <v>22.07346</v>
      </c>
      <c r="P9" s="110">
        <f>'Schedule'!A$1*N9</f>
        <v>4831.2</v>
      </c>
      <c r="Q9" s="121">
        <f>MAX(DATE(YEAR(L9)+1,MONTH(L9),DAY(L9)),DATE(YEAR(K9)+2,MONTH(K9),DAY(K9)))</f>
        <v>44932</v>
      </c>
      <c r="R9" s="64">
        <f>IF($C$25&gt;Q9,P9*0.15,P9*0.35)</f>
        <v>1690.92</v>
      </c>
      <c r="S9" s="10"/>
      <c r="T9" s="64"/>
      <c r="U9" s="10"/>
    </row>
    <row r="10" ht="13.65" customHeight="1">
      <c r="A10" s="103"/>
      <c r="B10" s="105"/>
      <c r="C10" s="105"/>
      <c r="D10" s="105"/>
      <c r="E10" s="105"/>
      <c r="F10" s="105"/>
      <c r="G10" s="105"/>
      <c r="H10" s="105"/>
      <c r="I10" s="105"/>
      <c r="J10" s="124"/>
      <c r="K10" s="121">
        <v>43602</v>
      </c>
      <c r="L10" s="122">
        <v>44567</v>
      </c>
      <c r="M10" s="102">
        <v>0.012062</v>
      </c>
      <c r="N10" s="123">
        <f>657</f>
        <v>657</v>
      </c>
      <c r="O10" s="120">
        <f>N10*M10</f>
        <v>7.924734</v>
      </c>
      <c r="P10" s="110">
        <f>'Schedule'!A$1*N10</f>
        <v>1734.48</v>
      </c>
      <c r="Q10" s="121">
        <f>MAX(DATE(YEAR(L10)+1,MONTH(L10),DAY(L10)),DATE(YEAR(K10)+2,MONTH(K10),DAY(K10)))</f>
        <v>44932</v>
      </c>
      <c r="R10" s="64">
        <f>IF($C$25&gt;Q10,P10*0.15,P10*0.35)</f>
        <v>607.068</v>
      </c>
      <c r="S10" s="10"/>
      <c r="T10" s="64"/>
      <c r="U10" s="10"/>
    </row>
    <row r="11" ht="13.65" customHeight="1">
      <c r="A11" s="126"/>
      <c r="B11" s="125"/>
      <c r="C11" s="105"/>
      <c r="D11" s="105"/>
      <c r="E11" s="105"/>
      <c r="F11" s="105"/>
      <c r="G11" s="105"/>
      <c r="H11" s="105"/>
      <c r="I11" s="105"/>
      <c r="J11" s="124"/>
      <c r="K11" s="121">
        <v>43893</v>
      </c>
      <c r="L11" s="122">
        <v>44567</v>
      </c>
      <c r="M11" s="102">
        <v>0.012062</v>
      </c>
      <c r="N11" s="127">
        <f>5804</f>
        <v>5804</v>
      </c>
      <c r="O11" s="120">
        <f>N11*M11</f>
        <v>70.007848</v>
      </c>
      <c r="P11" s="110">
        <f>'Schedule'!A$1*N11</f>
        <v>15322.56</v>
      </c>
      <c r="Q11" s="121">
        <f>MAX(DATE(YEAR(L11)+1,MONTH(L11),DAY(L11)),DATE(YEAR(K11)+2,MONTH(K11),DAY(K11)))</f>
        <v>44932</v>
      </c>
      <c r="R11" s="64">
        <f>IF($C$25&gt;Q11,P11*0.15,P11*0.35)</f>
        <v>5362.896</v>
      </c>
      <c r="S11" s="10"/>
      <c r="T11" s="64"/>
      <c r="U11" s="10"/>
    </row>
    <row r="12" ht="13.65" customHeight="1">
      <c r="A12" s="128"/>
      <c r="B12" s="129"/>
      <c r="C12" s="130"/>
      <c r="D12" s="105"/>
      <c r="E12" s="105"/>
      <c r="F12" s="130"/>
      <c r="G12" s="130"/>
      <c r="H12" s="130"/>
      <c r="I12" s="130"/>
      <c r="J12" s="131"/>
      <c r="K12" s="121">
        <v>43893</v>
      </c>
      <c r="L12" s="122">
        <v>44574</v>
      </c>
      <c r="M12" s="102">
        <v>0.012062</v>
      </c>
      <c r="N12" s="103">
        <f>593</f>
        <v>593</v>
      </c>
      <c r="O12" s="132">
        <f>N12*M12</f>
        <v>7.152766</v>
      </c>
      <c r="P12" s="110">
        <f>'Schedule'!A$1*N12</f>
        <v>1565.52</v>
      </c>
      <c r="Q12" s="121">
        <f>MAX(DATE(YEAR(L12)+1,MONTH(L12),DAY(L12)),DATE(YEAR(K12)+2,MONTH(K12),DAY(K12)))</f>
        <v>44939</v>
      </c>
      <c r="R12" s="64">
        <f>IF($C$25&gt;Q12,P12*0.15,P12*0.35)</f>
        <v>547.932</v>
      </c>
      <c r="S12" s="10"/>
      <c r="T12" s="64"/>
      <c r="U12" s="10"/>
    </row>
    <row r="13" ht="13.65" customHeight="1">
      <c r="A13" s="128"/>
      <c r="B13" s="129"/>
      <c r="C13" s="130"/>
      <c r="D13" s="105"/>
      <c r="E13" s="105"/>
      <c r="F13" s="130"/>
      <c r="G13" s="130"/>
      <c r="H13" s="130"/>
      <c r="I13" s="130"/>
      <c r="J13" s="131"/>
      <c r="K13" s="121">
        <v>43602</v>
      </c>
      <c r="L13" s="122">
        <v>44594</v>
      </c>
      <c r="M13" s="102">
        <v>0.012062</v>
      </c>
      <c r="N13" s="103">
        <v>73</v>
      </c>
      <c r="O13" s="132">
        <f>N13*M13</f>
        <v>0.880526</v>
      </c>
      <c r="P13" s="110">
        <f>'Schedule'!A$1*N13</f>
        <v>192.72</v>
      </c>
      <c r="Q13" s="121">
        <f>MAX(DATE(YEAR(L13)+1,MONTH(L13),DAY(L13)),DATE(YEAR(K13)+2,MONTH(K13),DAY(K13)))</f>
        <v>44959</v>
      </c>
      <c r="R13" s="64">
        <f>IF($C$25&gt;Q13,P13*0.15,P13*0.35)</f>
        <v>67.452</v>
      </c>
      <c r="S13" s="10"/>
      <c r="T13" s="10"/>
      <c r="U13" s="10"/>
    </row>
    <row r="14" ht="13.65" customHeight="1">
      <c r="A14" s="128"/>
      <c r="B14" s="129"/>
      <c r="C14" s="130"/>
      <c r="D14" s="105"/>
      <c r="E14" s="105"/>
      <c r="F14" s="130"/>
      <c r="G14" s="130"/>
      <c r="H14" s="130"/>
      <c r="I14" s="130"/>
      <c r="J14" s="131"/>
      <c r="K14" s="133">
        <v>43893</v>
      </c>
      <c r="L14" s="134">
        <v>44594</v>
      </c>
      <c r="M14" s="102">
        <v>0.012062</v>
      </c>
      <c r="N14" s="103">
        <v>264</v>
      </c>
      <c r="O14" s="135">
        <f>N14*M14</f>
        <v>3.184368</v>
      </c>
      <c r="P14" s="110">
        <f>'Schedule'!A$1*N14</f>
        <v>696.96</v>
      </c>
      <c r="Q14" s="133">
        <f>MAX(DATE(YEAR(L14)+1,MONTH(L14),DAY(L14)),DATE(YEAR(K14)+2,MONTH(K14),DAY(K14)))</f>
        <v>44959</v>
      </c>
      <c r="R14" s="136">
        <f>IF($C$25&gt;Q14,P14*0.15,P14*0.35)</f>
        <v>243.936</v>
      </c>
      <c r="S14" s="10"/>
      <c r="T14" s="10"/>
      <c r="U14" s="10"/>
    </row>
    <row r="15" ht="13.65" customHeight="1">
      <c r="A15" s="128"/>
      <c r="B15" s="129"/>
      <c r="C15" s="130"/>
      <c r="D15" s="105"/>
      <c r="E15" s="105"/>
      <c r="F15" s="130"/>
      <c r="G15" s="130"/>
      <c r="H15" s="130"/>
      <c r="I15" s="130"/>
      <c r="J15" s="131"/>
      <c r="K15" s="137">
        <v>43602</v>
      </c>
      <c r="L15" s="138">
        <v>44610</v>
      </c>
      <c r="M15" s="102">
        <v>0.012062</v>
      </c>
      <c r="N15" s="103">
        <v>73</v>
      </c>
      <c r="O15" s="109">
        <f>N15*M15</f>
        <v>0.880526</v>
      </c>
      <c r="P15" s="110">
        <f>'Schedule'!A$1*N15</f>
        <v>192.72</v>
      </c>
      <c r="Q15" s="137">
        <f>MAX(DATE(YEAR(L15)+1,MONTH(L15),DAY(L15)),DATE(YEAR(K15)+2,MONTH(K15),DAY(K15)))</f>
        <v>44975</v>
      </c>
      <c r="R15" s="139">
        <f>IF($C$25&gt;Q15,P15*0.15,P15*0.35)</f>
        <v>67.452</v>
      </c>
      <c r="S15" s="10"/>
      <c r="T15" s="10"/>
      <c r="U15" s="10"/>
    </row>
    <row r="16" ht="13.65" customHeight="1">
      <c r="A16" s="101"/>
      <c r="B16" s="102"/>
      <c r="C16" s="103"/>
      <c r="D16" s="105"/>
      <c r="E16" s="105"/>
      <c r="F16" s="105"/>
      <c r="G16" s="105"/>
      <c r="H16" s="105"/>
      <c r="I16" s="105"/>
      <c r="J16" s="124"/>
      <c r="K16" s="105"/>
      <c r="L16" s="105"/>
      <c r="M16" s="105"/>
      <c r="N16" s="103"/>
      <c r="O16" s="109"/>
      <c r="P16" s="105"/>
      <c r="Q16" s="105"/>
      <c r="R16" s="105"/>
      <c r="S16" s="58"/>
      <c r="T16" s="10"/>
      <c r="U16" s="10"/>
    </row>
    <row r="17" ht="13.65" customHeight="1">
      <c r="A17" s="101"/>
      <c r="B17" s="102"/>
      <c r="C17" s="103"/>
      <c r="D17" s="105"/>
      <c r="E17" s="105"/>
      <c r="F17" s="105"/>
      <c r="G17" s="105"/>
      <c r="H17" s="105"/>
      <c r="I17" s="105"/>
      <c r="J17" s="124"/>
      <c r="K17" s="105"/>
      <c r="L17" s="105"/>
      <c r="M17" s="105"/>
      <c r="N17" s="103"/>
      <c r="O17" s="109"/>
      <c r="P17" s="105"/>
      <c r="Q17" s="105"/>
      <c r="R17" s="105"/>
      <c r="S17" s="58"/>
      <c r="T17" s="10"/>
      <c r="U17" s="10"/>
    </row>
    <row r="18" ht="13.65" customHeight="1">
      <c r="A18" s="101"/>
      <c r="B18" s="102"/>
      <c r="C18" s="103"/>
      <c r="D18" s="105"/>
      <c r="E18" s="105"/>
      <c r="F18" s="105"/>
      <c r="G18" s="105"/>
      <c r="H18" s="105"/>
      <c r="I18" s="105"/>
      <c r="J18" s="124"/>
      <c r="K18" s="105"/>
      <c r="L18" s="105"/>
      <c r="M18" s="105"/>
      <c r="N18" s="103"/>
      <c r="O18" s="109"/>
      <c r="P18" s="105"/>
      <c r="Q18" s="105"/>
      <c r="R18" s="105"/>
      <c r="S18" s="58"/>
      <c r="T18" s="10"/>
      <c r="U18" s="10"/>
    </row>
    <row r="19" ht="13.65" customHeight="1">
      <c r="A19" s="101"/>
      <c r="B19" s="102"/>
      <c r="C19" s="103"/>
      <c r="D19" s="105"/>
      <c r="E19" s="105"/>
      <c r="F19" s="105"/>
      <c r="G19" s="105"/>
      <c r="H19" s="105"/>
      <c r="I19" s="105"/>
      <c r="J19" s="124"/>
      <c r="K19" s="105"/>
      <c r="L19" s="105"/>
      <c r="M19" s="105"/>
      <c r="N19" s="103"/>
      <c r="O19" s="109"/>
      <c r="P19" s="105"/>
      <c r="Q19" s="105"/>
      <c r="R19" s="105"/>
      <c r="S19" s="58"/>
      <c r="T19" s="10"/>
      <c r="U19" s="10"/>
    </row>
    <row r="20" ht="13.65" customHeight="1">
      <c r="A20" s="101"/>
      <c r="B20" s="102"/>
      <c r="C20" s="103"/>
      <c r="D20" s="105"/>
      <c r="E20" s="105"/>
      <c r="F20" s="105"/>
      <c r="G20" s="105"/>
      <c r="H20" s="105"/>
      <c r="I20" s="105"/>
      <c r="J20" s="124"/>
      <c r="K20" s="105"/>
      <c r="L20" s="105"/>
      <c r="M20" s="105"/>
      <c r="N20" s="103"/>
      <c r="O20" s="109"/>
      <c r="P20" s="105"/>
      <c r="Q20" s="105"/>
      <c r="R20" s="105"/>
      <c r="S20" s="58"/>
      <c r="T20" s="10"/>
      <c r="U20" s="10"/>
    </row>
    <row r="21" ht="13.65" customHeight="1">
      <c r="A21" s="101"/>
      <c r="B21" s="102"/>
      <c r="C21" s="103"/>
      <c r="D21" s="105"/>
      <c r="E21" s="105"/>
      <c r="F21" s="105"/>
      <c r="G21" s="105"/>
      <c r="H21" s="105"/>
      <c r="I21" s="105"/>
      <c r="J21" s="124"/>
      <c r="K21" s="105"/>
      <c r="L21" s="105"/>
      <c r="M21" s="105"/>
      <c r="N21" s="103"/>
      <c r="O21" s="109"/>
      <c r="P21" s="105"/>
      <c r="Q21" s="105"/>
      <c r="R21" s="105"/>
      <c r="S21" s="58"/>
      <c r="T21" s="10"/>
      <c r="U21" s="10"/>
    </row>
    <row r="22" ht="13.65" customHeight="1">
      <c r="A22" s="101"/>
      <c r="B22" s="102"/>
      <c r="C22" s="103"/>
      <c r="D22" s="105"/>
      <c r="E22" s="105"/>
      <c r="F22" s="105"/>
      <c r="G22" s="105"/>
      <c r="H22" s="105"/>
      <c r="I22" s="105"/>
      <c r="J22" s="124"/>
      <c r="K22" s="105"/>
      <c r="L22" s="105"/>
      <c r="M22" s="105"/>
      <c r="N22" s="103"/>
      <c r="O22" s="105"/>
      <c r="P22" s="105"/>
      <c r="Q22" s="105"/>
      <c r="R22" s="105"/>
      <c r="S22" s="58"/>
      <c r="T22" s="10"/>
      <c r="U22" s="10"/>
    </row>
    <row r="23" ht="16.6" customHeight="1">
      <c r="A23" t="s" s="140">
        <f>"Grants: "&amp;COUNT(A3:A6)</f>
        <v>101</v>
      </c>
      <c r="B23" s="141"/>
      <c r="C23" s="142">
        <f>SUM(C3:C16)</f>
        <v>60267</v>
      </c>
      <c r="D23" s="142"/>
      <c r="E23" s="143"/>
      <c r="F23" s="144">
        <f>SUM(F3:F16)</f>
        <v>23533.8125</v>
      </c>
      <c r="G23" s="142">
        <f>SUM(G3:G16)</f>
        <v>23535</v>
      </c>
      <c r="H23" s="145"/>
      <c r="I23" s="146"/>
      <c r="J23" s="147"/>
      <c r="K23" t="s" s="140">
        <v>102</v>
      </c>
      <c r="L23" s="148"/>
      <c r="M23" s="148"/>
      <c r="N23" s="148"/>
      <c r="O23" s="148"/>
      <c r="P23" s="149">
        <f>SUM(P3:P22)</f>
        <v>62132.4</v>
      </c>
      <c r="Q23" s="149"/>
      <c r="R23" s="149"/>
      <c r="S23" s="58"/>
      <c r="T23" s="10"/>
      <c r="U23" s="10"/>
    </row>
    <row r="24" ht="16.6" customHeight="1">
      <c r="A24" t="s" s="150">
        <v>103</v>
      </c>
      <c r="B24" s="151"/>
      <c r="C24" s="152">
        <f>SUM(H3:H16)</f>
        <v>336.9375</v>
      </c>
      <c r="D24" s="152"/>
      <c r="E24" s="153"/>
      <c r="F24" s="154">
        <f>F23/C23</f>
        <v>0.390492516634311</v>
      </c>
      <c r="G24" s="154">
        <f>G23/F23</f>
        <v>1.00005045931253</v>
      </c>
      <c r="H24" s="153"/>
      <c r="I24" s="153"/>
      <c r="J24" s="155"/>
      <c r="K24" t="s" s="140">
        <v>104</v>
      </c>
      <c r="L24" s="148"/>
      <c r="M24" s="148"/>
      <c r="N24" s="148"/>
      <c r="O24" s="148"/>
      <c r="P24" s="156">
        <f>SUM(R3:R22)</f>
        <v>15787.332</v>
      </c>
      <c r="Q24" s="156"/>
      <c r="R24" s="156"/>
      <c r="S24" s="58"/>
      <c r="T24" s="10"/>
      <c r="U24" s="10"/>
    </row>
    <row r="25" ht="23.4" customHeight="1">
      <c r="A25" s="101"/>
      <c r="B25" t="s" s="99">
        <v>105</v>
      </c>
      <c r="C25" s="157">
        <f>TODAY()</f>
        <v>44610</v>
      </c>
      <c r="D25" s="103"/>
      <c r="E25" s="105"/>
      <c r="F25" s="105"/>
      <c r="G25" s="105"/>
      <c r="H25" s="158"/>
      <c r="I25" s="105"/>
      <c r="J25" s="105"/>
      <c r="K25" t="s" s="159">
        <v>106</v>
      </c>
      <c r="L25" s="160"/>
      <c r="M25" s="160"/>
      <c r="N25" s="160"/>
      <c r="O25" s="160"/>
      <c r="P25" s="161">
        <f>P23-P24</f>
        <v>46345.068</v>
      </c>
      <c r="Q25" s="161"/>
      <c r="R25" s="161"/>
      <c r="S25" s="58"/>
      <c r="T25" s="10"/>
      <c r="U25" s="10"/>
    </row>
    <row r="26" ht="16.6" customHeight="1">
      <c r="A26" s="101"/>
      <c r="B26" s="130"/>
      <c r="C26" s="157"/>
      <c r="D26" s="103"/>
      <c r="E26" s="105"/>
      <c r="F26" s="105"/>
      <c r="G26" s="105"/>
      <c r="H26" s="105"/>
      <c r="I26" s="105"/>
      <c r="J26" s="105"/>
      <c r="K26" t="s" s="162">
        <v>107</v>
      </c>
      <c r="L26" s="163"/>
      <c r="M26" s="163"/>
      <c r="N26" s="163"/>
      <c r="O26" s="163"/>
      <c r="P26" s="164">
        <f>(C23-G23)*'Schedule'!A1*0.65</f>
        <v>63032.112</v>
      </c>
      <c r="Q26" s="164"/>
      <c r="R26" s="164"/>
      <c r="S26" s="58"/>
      <c r="T26" s="10"/>
      <c r="U26" s="10"/>
    </row>
  </sheetData>
  <mergeCells count="10">
    <mergeCell ref="A1:I1"/>
    <mergeCell ref="K1:R1"/>
    <mergeCell ref="K23:O23"/>
    <mergeCell ref="P23:R23"/>
    <mergeCell ref="K24:O24"/>
    <mergeCell ref="P24:R24"/>
    <mergeCell ref="K25:O25"/>
    <mergeCell ref="P25:R25"/>
    <mergeCell ref="K26:O26"/>
    <mergeCell ref="P26:R26"/>
  </mergeCells>
  <conditionalFormatting sqref="P3:P15 R3:R15 P23:R26">
    <cfRule type="cellIs" dxfId="2" priority="1" operator="lessThan" stopIfTrue="1">
      <formula>0</formula>
    </cfRule>
  </conditionalFormatting>
  <conditionalFormatting sqref="T9:T12">
    <cfRule type="cellIs" dxfId="3" priority="1" operator="lessThan" stopIfTrue="1">
      <formula>0</formula>
    </cfRule>
  </conditionalFormatting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Roman,Regular"&amp;12&amp;K000000ISO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