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SO" sheetId="1" state="visible" r:id="rId2"/>
    <sheet name="AMT" sheetId="2" state="visible" r:id="rId3"/>
    <sheet name="Scenarios" sheetId="3" state="visible" r:id="rId4"/>
    <sheet name="NQS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<sst xmlns="http://schemas.openxmlformats.org/spreadsheetml/2006/main" count="148" uniqueCount="69">
  <si>
    <t xml:space="preserve">STOCK PRICE</t>
  </si>
  <si>
    <t xml:space="preserve">GRANTS</t>
  </si>
  <si>
    <t xml:space="preserve">PURCHASES</t>
  </si>
  <si>
    <t xml:space="preserve">GRANT DATE</t>
  </si>
  <si>
    <t xml:space="preserve">PRICE</t>
  </si>
  <si>
    <t xml:space="preserve">SHARES</t>
  </si>
  <si>
    <t xml:space="preserve">VESTING</t>
  </si>
  <si>
    <t xml:space="preserve">MO</t>
  </si>
  <si>
    <t xml:space="preserve"># VESTED</t>
  </si>
  <si>
    <t xml:space="preserve"># OWNED</t>
  </si>
  <si>
    <t xml:space="preserve">PER MO</t>
  </si>
  <si>
    <t xml:space="preserve">COMPLETE</t>
  </si>
  <si>
    <t xml:space="preserve">EXERCISED</t>
  </si>
  <si>
    <t xml:space="preserve">COST</t>
  </si>
  <si>
    <t xml:space="preserve">VALUE</t>
  </si>
  <si>
    <t xml:space="preserve">L-T DATE</t>
  </si>
  <si>
    <t xml:space="preserve">TAX</t>
  </si>
  <si>
    <t xml:space="preserve">25% @ 1yr -&gt; 1/48/mo</t>
  </si>
  <si>
    <t xml:space="preserve">35% now -&gt; 1/36/mo</t>
  </si>
  <si>
    <t xml:space="preserve">50% @ open, 1/36/mo</t>
  </si>
  <si>
    <t xml:space="preserve">UNREALIZED GAINS</t>
  </si>
  <si>
    <t xml:space="preserve">Vesting/Month</t>
  </si>
  <si>
    <t xml:space="preserve">ESTIMATED TAX OWED</t>
  </si>
  <si>
    <t xml:space="preserve">Day</t>
  </si>
  <si>
    <t xml:space="preserve">TAKEAWAY</t>
  </si>
  <si>
    <t xml:space="preserve">UNEXERCISED VALUE (65%)</t>
  </si>
  <si>
    <t xml:space="preserve">Std Deduct</t>
  </si>
  <si>
    <t xml:space="preserve">AMT Exemption</t>
  </si>
  <si>
    <t xml:space="preserve">Threshold</t>
  </si>
  <si>
    <t xml:space="preserve">Phaseout Rate</t>
  </si>
  <si>
    <t xml:space="preserve">ORDINARY</t>
  </si>
  <si>
    <t xml:space="preserve">Income</t>
  </si>
  <si>
    <t xml:space="preserve">Rate</t>
  </si>
  <si>
    <t xml:space="preserve">Singles</t>
  </si>
  <si>
    <t xml:space="preserve">Pay</t>
  </si>
  <si>
    <t xml:space="preserve">ST Gains</t>
  </si>
  <si>
    <t xml:space="preserve">10%</t>
  </si>
  <si>
    <t xml:space="preserve">LT Gains</t>
  </si>
  <si>
    <t xml:space="preserve">12%</t>
  </si>
  <si>
    <t xml:space="preserve">AGI</t>
  </si>
  <si>
    <t xml:space="preserve">22%</t>
  </si>
  <si>
    <t xml:space="preserve">Ordinary</t>
  </si>
  <si>
    <t xml:space="preserve">24%</t>
  </si>
  <si>
    <t xml:space="preserve">32%</t>
  </si>
  <si>
    <t xml:space="preserve">35%</t>
  </si>
  <si>
    <t xml:space="preserve">37%</t>
  </si>
  <si>
    <t xml:space="preserve">LONG-TERM CAPITAL GAINS</t>
  </si>
  <si>
    <t xml:space="preserve">Benefit</t>
  </si>
  <si>
    <t xml:space="preserve">Phased</t>
  </si>
  <si>
    <t xml:space="preserve">FAMTI</t>
  </si>
  <si>
    <t xml:space="preserve">AMT</t>
  </si>
  <si>
    <t xml:space="preserve">MEDICARE SURTAX</t>
  </si>
  <si>
    <t xml:space="preserve">Budget</t>
  </si>
  <si>
    <t xml:space="preserve">Shares to exercise</t>
  </si>
  <si>
    <t xml:space="preserve">26%</t>
  </si>
  <si>
    <t xml:space="preserve">28%</t>
  </si>
  <si>
    <t xml:space="preserve">Total Income</t>
  </si>
  <si>
    <t xml:space="preserve">IPO Date</t>
  </si>
  <si>
    <t xml:space="preserve">Lock Out Days</t>
  </si>
  <si>
    <t xml:space="preserve">AMT Income</t>
  </si>
  <si>
    <t xml:space="preserve">Open Date</t>
  </si>
  <si>
    <t xml:space="preserve">Phased Out</t>
  </si>
  <si>
    <t xml:space="preserve">LONG-TERM CAPITAL</t>
  </si>
  <si>
    <t xml:space="preserve">ISO?</t>
  </si>
  <si>
    <t xml:space="preserve">YR</t>
  </si>
  <si>
    <t xml:space="preserve">%</t>
  </si>
  <si>
    <t xml:space="preserve">FULL VEST DATE</t>
  </si>
  <si>
    <t xml:space="preserve">N/A</t>
  </si>
  <si>
    <t xml:space="preserve">UNVESTED VALUE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</si>
</sst>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@"/>
    <numFmt numFmtId="166" formatCode="[$$-409]#,##0.00;[RED]\-[$$-409]#,##0.00"/>
    <numFmt numFmtId="167" formatCode="0.000"/>
    <numFmt numFmtId="168" formatCode="DD\-MMM\-YYYY"/>
    <numFmt numFmtId="169" formatCode="\$#,##0.0000"/>
    <numFmt numFmtId="170" formatCode="#,##0"/>
    <numFmt numFmtId="171" formatCode="#,##0.0"/>
    <numFmt numFmtId="172" formatCode="0.0"/>
    <numFmt numFmtId="173" formatCode="0.00"/>
    <numFmt numFmtId="174" formatCode="#,##0.00"/>
    <numFmt numFmtId="175" formatCode="0.0000%"/>
    <numFmt numFmtId="176" formatCode="0.0000"/>
    <numFmt numFmtId="177" formatCode="0"/>
    <numFmt numFmtId="178" formatCode="[$$-409]#,##0;\-[$$-409]#,##0"/>
    <numFmt numFmtId="179" formatCode="0%"/>
    <numFmt numFmtId="180" formatCode="0.00%"/>
    <numFmt numFmtId="181" formatCode="MM/DD/YY"/>
    <numFmt numFmtId="182" formatCode="[$$-409]#,##0;[RED]\-[$$-409]#,##0"/>
    <numFmt numFmtId="183" formatCode="0.0%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b val="true"/>
      <sz val="18"/>
      <color rgb="FF006C3B"/>
      <name val="Arial"/>
      <family val="0"/>
      <charset val="1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21409A"/>
      <name val="Arial"/>
      <family val="2"/>
      <charset val="1"/>
    </font>
    <font>
      <b val="true"/>
      <sz val="12"/>
      <color rgb="FFBA131A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18"/>
      <color rgb="FF006C3B"/>
      <name val="Arial"/>
      <family val="2"/>
      <charset val="1"/>
    </font>
    <font>
      <b val="true"/>
      <i val="true"/>
      <sz val="12"/>
      <color rgb="FF512480"/>
      <name val="Arial"/>
      <family val="2"/>
      <charset val="1"/>
    </font>
    <font>
      <b val="true"/>
      <sz val="10"/>
      <name val="Arial"/>
      <family val="0"/>
      <charset val="1"/>
    </font>
    <font>
      <sz val="10"/>
      <color rgb="FF999999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999999"/>
        <bgColor rgb="FF80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8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11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1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0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82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82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83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9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9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1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11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0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C3B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512480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BA131A"/>
      <rgbColor rgb="FF993366"/>
      <rgbColor rgb="FF21409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9" activeCellId="0" sqref="H9"/>
    </sheetView>
  </sheetViews>
  <sheetFormatPr defaultRowHeight="12.8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7.95"/>
    <col collapsed="false" customWidth="true" hidden="false" outlineLevel="0" max="3" min="3" style="0" width="9.28"/>
    <col collapsed="false" customWidth="true" hidden="false" outlineLevel="0" max="4" min="4" style="0" width="18.88"/>
    <col collapsed="false" customWidth="true" hidden="false" outlineLevel="0" max="5" min="5" style="0" width="7.49"/>
    <col collapsed="false" customWidth="true" hidden="false" outlineLevel="0" max="6" min="6" style="0" width="11.11"/>
    <col collapsed="false" customWidth="true" hidden="false" outlineLevel="0" max="7" min="7" style="0" width="10.12"/>
    <col collapsed="false" customWidth="true" hidden="false" outlineLevel="0" max="8" min="8" style="0" width="9.69"/>
    <col collapsed="false" customWidth="true" hidden="false" outlineLevel="0" max="9" min="9" style="0" width="12.37"/>
    <col collapsed="false" customWidth="true" hidden="false" outlineLevel="0" max="10" min="10" style="0" width="2.43"/>
    <col collapsed="false" customWidth="true" hidden="false" outlineLevel="0" max="11" min="11" style="0" width="13.58"/>
    <col collapsed="false" customWidth="true" hidden="false" outlineLevel="0" max="12" min="12" style="0" width="12.26"/>
    <col collapsed="false" customWidth="true" hidden="false" outlineLevel="0" max="13" min="13" style="0" width="7.95"/>
    <col collapsed="false" customWidth="true" hidden="false" outlineLevel="0" max="14" min="14" style="0" width="9.13"/>
    <col collapsed="false" customWidth="true" hidden="false" outlineLevel="0" max="15" min="15" style="0" width="6.81"/>
    <col collapsed="false" customWidth="true" hidden="false" outlineLevel="0" max="16" min="16" style="0" width="12.25"/>
    <col collapsed="false" customWidth="true" hidden="false" outlineLevel="0" max="17" min="17" style="0" width="12.26"/>
    <col collapsed="false" customWidth="true" hidden="false" outlineLevel="0" max="18" min="18" style="0" width="11.78"/>
    <col collapsed="false" customWidth="false" hidden="false" outlineLevel="0" max="1025" min="19" style="0" width="11.52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3" t="n">
        <f aca="false">N1*Q1</f>
        <v>0.92</v>
      </c>
      <c r="L1" s="3"/>
      <c r="M1" s="3"/>
      <c r="N1" s="3" t="n">
        <v>10</v>
      </c>
      <c r="O1" s="3"/>
      <c r="P1" s="3"/>
      <c r="Q1" s="4" t="n">
        <f aca="false">0.092</f>
        <v>0.092</v>
      </c>
      <c r="R1" s="4"/>
    </row>
    <row r="2" customFormat="false" ht="19.7" hidden="false" customHeight="fals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6" t="s">
        <v>2</v>
      </c>
      <c r="L2" s="6"/>
      <c r="M2" s="6"/>
      <c r="N2" s="6"/>
      <c r="O2" s="6"/>
      <c r="P2" s="6"/>
      <c r="Q2" s="6"/>
      <c r="R2" s="6"/>
    </row>
    <row r="3" customFormat="false" ht="12.8" hidden="false" customHeight="false" outlineLevel="0" collapsed="false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8"/>
      <c r="K3" s="7" t="s">
        <v>3</v>
      </c>
      <c r="L3" s="7" t="s">
        <v>12</v>
      </c>
      <c r="M3" s="7" t="s">
        <v>4</v>
      </c>
      <c r="N3" s="7" t="s">
        <v>5</v>
      </c>
      <c r="O3" s="7" t="s">
        <v>13</v>
      </c>
      <c r="P3" s="7" t="s">
        <v>14</v>
      </c>
      <c r="Q3" s="9" t="s">
        <v>15</v>
      </c>
      <c r="R3" s="9" t="s">
        <v>16</v>
      </c>
    </row>
    <row r="4" customFormat="false" ht="12.8" hidden="false" customHeight="false" outlineLevel="0" collapsed="false">
      <c r="A4" s="10" t="n">
        <v>42457</v>
      </c>
      <c r="B4" s="11" t="n">
        <v>0.0011</v>
      </c>
      <c r="C4" s="12" t="n">
        <v>30000</v>
      </c>
      <c r="D4" s="13" t="s">
        <v>17</v>
      </c>
      <c r="E4" s="14" t="n">
        <f aca="false">MAX(0,MIN(48*0.75,DATEDIF(A4,C18,"M")-12))</f>
        <v>36</v>
      </c>
      <c r="F4" s="15" t="n">
        <f aca="false">0.25*C4*IF(DATEDIF(A4,$C$18,"Y")&gt;=1, 1, 0) + 0.75*C4*IF(DATEDIF(A4,$C$18,"Y")&gt;=1, MIN(36,E4)/36, 0)</f>
        <v>30000</v>
      </c>
      <c r="G4" s="12" t="n">
        <v>30000</v>
      </c>
      <c r="H4" s="16" t="n">
        <f aca="false">IF(F4=C4, 0, IF(DATEDIF(A4,$C$18,"Y")&gt;=1, C4*0.75/48, 0))</f>
        <v>0</v>
      </c>
      <c r="I4" s="10" t="n">
        <f aca="false">DATE(YEAR(A4)+1, MONTH(A4)+(0.75*48), DAY(A4))</f>
        <v>43918</v>
      </c>
      <c r="J4" s="17"/>
      <c r="K4" s="10" t="n">
        <v>42457</v>
      </c>
      <c r="L4" s="10" t="n">
        <v>44001</v>
      </c>
      <c r="M4" s="11" t="n">
        <v>0.0011</v>
      </c>
      <c r="N4" s="12" t="n">
        <v>30000</v>
      </c>
      <c r="O4" s="18" t="n">
        <f aca="false">N4*M4</f>
        <v>33</v>
      </c>
      <c r="P4" s="19" t="n">
        <f aca="false">N4*K$1</f>
        <v>27600</v>
      </c>
      <c r="Q4" s="10" t="n">
        <f aca="false">MAX(DATE(YEAR(L4)+1,MONTH(L4),DAY(L4)),DATE(YEAR(K4)+2,MONTH(K4),DAY(K4)))</f>
        <v>44366</v>
      </c>
      <c r="R4" s="20" t="n">
        <f aca="false">IF($C$18&gt;Q4, P4*0.15, P4*0.35)</f>
        <v>4140</v>
      </c>
      <c r="T4" s="21" t="n">
        <v>0.000276</v>
      </c>
      <c r="U4" s="22" t="n">
        <f aca="false">N4/T4</f>
        <v>108695652.173913</v>
      </c>
    </row>
    <row r="5" customFormat="false" ht="12.8" hidden="false" customHeight="false" outlineLevel="0" collapsed="false">
      <c r="A5" s="10" t="n">
        <v>43447</v>
      </c>
      <c r="B5" s="11" t="n">
        <v>0.0011</v>
      </c>
      <c r="C5" s="12" t="n">
        <v>123519</v>
      </c>
      <c r="D5" s="13" t="s">
        <v>18</v>
      </c>
      <c r="E5" s="14" t="n">
        <f aca="false">MAX(0,MIN(36,DATEDIF(A5,C18,"M")))</f>
        <v>34</v>
      </c>
      <c r="F5" s="15" t="n">
        <f aca="false">C5*0.35+(C5*0.65)*MIN(36,E5)/36</f>
        <v>119058.591666667</v>
      </c>
      <c r="G5" s="23" t="n">
        <v>83375</v>
      </c>
      <c r="H5" s="16" t="n">
        <f aca="false">IF(F5=C5, 0, C5*0.65/36)</f>
        <v>2230.20416666667</v>
      </c>
      <c r="I5" s="10" t="n">
        <f aca="false">DATE(YEAR(A5), MONTH(A5)+36, DAY(A5))</f>
        <v>44543</v>
      </c>
      <c r="J5" s="24"/>
      <c r="K5" s="10" t="n">
        <v>43447</v>
      </c>
      <c r="L5" s="10" t="n">
        <v>44001</v>
      </c>
      <c r="M5" s="11" t="n">
        <v>0.0011</v>
      </c>
      <c r="N5" s="23" t="n">
        <v>83375</v>
      </c>
      <c r="O5" s="18" t="n">
        <f aca="false">M5*N5</f>
        <v>91.7125</v>
      </c>
      <c r="P5" s="19" t="n">
        <f aca="false">N5*K$1</f>
        <v>76705</v>
      </c>
      <c r="Q5" s="10" t="n">
        <f aca="false">MAX(DATE(YEAR(L5)+1,MONTH(L5),DAY(L5)),DATE(YEAR(K5)+2,MONTH(K5),DAY(K5)))</f>
        <v>44366</v>
      </c>
      <c r="R5" s="20" t="n">
        <f aca="false">IF($C$18&gt;Q5, P5*0.15, P5*0.35)</f>
        <v>11505.75</v>
      </c>
      <c r="T5" s="21" t="n">
        <v>0.000766</v>
      </c>
      <c r="U5" s="22" t="n">
        <f aca="false">N5/T5</f>
        <v>108844647.519582</v>
      </c>
    </row>
    <row r="6" customFormat="false" ht="12.8" hidden="false" customHeight="false" outlineLevel="0" collapsed="false">
      <c r="A6" s="10" t="n">
        <v>43602</v>
      </c>
      <c r="B6" s="11" t="n">
        <v>0.0011</v>
      </c>
      <c r="C6" s="12" t="n">
        <v>38380</v>
      </c>
      <c r="D6" s="13" t="s">
        <v>17</v>
      </c>
      <c r="E6" s="14" t="n">
        <f aca="false">MAX(0,MIN(48*0.75,DATEDIF(A6,C$18,"M")-12))</f>
        <v>17</v>
      </c>
      <c r="F6" s="15" t="n">
        <f aca="false">0.25*C6*IF(DATEDIF(A6,$C$18,"Y")&gt;=1, 1, 0) + 0.75*C6*IF(DATEDIF(A6,$C$18,"Y")&gt;=1, MIN(36,E6)/36, 0)</f>
        <v>23187.9166666667</v>
      </c>
      <c r="G6" s="23" t="n">
        <v>10394</v>
      </c>
      <c r="H6" s="16" t="n">
        <f aca="false">IF(F6=C6, 0, IF(DATEDIF(A6,$C$18,"Y")&gt;=1, C6*0.75/48, 0))</f>
        <v>599.6875</v>
      </c>
      <c r="I6" s="10" t="n">
        <f aca="false">DATE(YEAR(A6)+1, MONTH(A6)+(48*0.75), DAY(A6))</f>
        <v>45063</v>
      </c>
      <c r="J6" s="24"/>
      <c r="K6" s="25" t="n">
        <v>43602</v>
      </c>
      <c r="L6" s="25" t="n">
        <v>44001</v>
      </c>
      <c r="M6" s="26" t="n">
        <v>0.0011</v>
      </c>
      <c r="N6" s="27" t="n">
        <v>10394</v>
      </c>
      <c r="O6" s="28" t="n">
        <f aca="false">M6*N6</f>
        <v>11.4334</v>
      </c>
      <c r="P6" s="29" t="n">
        <f aca="false">N6*K$1</f>
        <v>9562.48</v>
      </c>
      <c r="Q6" s="25" t="n">
        <f aca="false">MAX(DATE(YEAR(L6)+1,MONTH(L6),DAY(L6)),DATE(YEAR(K6)+2,MONTH(K6),DAY(K6)))</f>
        <v>44366</v>
      </c>
      <c r="R6" s="30" t="n">
        <f aca="false">IF($C$18&gt;Q6, P6*0.15, P6*0.35)</f>
        <v>1434.372</v>
      </c>
      <c r="T6" s="21" t="n">
        <v>9.6E-005</v>
      </c>
      <c r="U6" s="22" t="n">
        <f aca="false">N6/T6</f>
        <v>108270833.333333</v>
      </c>
    </row>
    <row r="7" customFormat="false" ht="12.8" hidden="false" customHeight="false" outlineLevel="0" collapsed="false">
      <c r="A7" s="10" t="n">
        <v>43769</v>
      </c>
      <c r="B7" s="11" t="n">
        <v>0.0011</v>
      </c>
      <c r="C7" s="12" t="n">
        <v>138965</v>
      </c>
      <c r="D7" s="13" t="s">
        <v>17</v>
      </c>
      <c r="E7" s="14" t="n">
        <f aca="false">MAX(0,MIN(48*0.75,DATEDIF(A7,C$18,"M")-12))</f>
        <v>11</v>
      </c>
      <c r="F7" s="15" t="n">
        <f aca="false">0.25*C7*IF(DATEDIF(A7,$C$18,"Y")&gt;=1, 1, 0) + 0.75*C7*IF(DATEDIF(A7,$C$18,"Y")&gt;=1, MIN(36,E7)/36, 0)</f>
        <v>66587.3958333333</v>
      </c>
      <c r="G7" s="12" t="n">
        <v>32400</v>
      </c>
      <c r="H7" s="16" t="n">
        <f aca="false">IF(F7=C7, 0, IF(DATEDIF(A7,$C$18,"Y")&gt;=1, C7*0.75/48, 0))</f>
        <v>2171.328125</v>
      </c>
      <c r="I7" s="10" t="n">
        <f aca="false">DATE(YEAR(A7)+1, MONTH(A7)+(48*0.75), DAY(A7))</f>
        <v>45230</v>
      </c>
      <c r="J7" s="17"/>
      <c r="Q7" s="31"/>
    </row>
    <row r="8" customFormat="false" ht="12.8" hidden="false" customHeight="false" outlineLevel="0" collapsed="false">
      <c r="A8" s="10" t="n">
        <v>44263</v>
      </c>
      <c r="B8" s="11" t="n">
        <v>0</v>
      </c>
      <c r="C8" s="12" t="n">
        <v>330000</v>
      </c>
      <c r="D8" s="32" t="s">
        <v>19</v>
      </c>
      <c r="E8" s="14" t="n">
        <f aca="false">MAX(0,MIN(48*0.75,DATEDIF(A8,C$18,"M")-12))</f>
        <v>0</v>
      </c>
      <c r="F8" s="15" t="n">
        <f aca="false">0.5*C8*IF($C$18 &gt;= DATE(2022,1,1), 1, 0) + 0.5*C8*IF(DATEDIF(A8,$C$18,"Y")&gt;=1, MIN(36,E8)/36, 0)</f>
        <v>0</v>
      </c>
      <c r="G8" s="12" t="n">
        <v>0</v>
      </c>
      <c r="H8" s="16" t="n">
        <f aca="false">IF(F8=C8, 0, IF($C$18 &gt;= L9, C8*0.5/36, 0))</f>
        <v>0</v>
      </c>
      <c r="I8" s="10" t="n">
        <f aca="false">DATE(YEAR(A8), MONTH(A8)+36, DAY(A8))</f>
        <v>45359</v>
      </c>
      <c r="J8" s="17"/>
      <c r="K8" s="10" t="n">
        <v>43769</v>
      </c>
      <c r="L8" s="33" t="n">
        <v>44324</v>
      </c>
      <c r="M8" s="11" t="n">
        <v>0.0011</v>
      </c>
      <c r="N8" s="12" t="n">
        <v>32400</v>
      </c>
      <c r="O8" s="18" t="n">
        <f aca="false">M8*N8</f>
        <v>35.64</v>
      </c>
      <c r="P8" s="19" t="n">
        <f aca="false">N8*$K$1</f>
        <v>29808</v>
      </c>
      <c r="Q8" s="31" t="n">
        <f aca="false">MAX(DATE(YEAR(L8)+1,MONTH(L8),DAY(L8)),DATE(YEAR(K8)+2,MONTH(K8),DAY(K8)))</f>
        <v>44689</v>
      </c>
      <c r="R8" s="20" t="n">
        <f aca="false">IF($C$18&gt;Q8, P8*0.15, P8*0.35)</f>
        <v>10432.8</v>
      </c>
    </row>
    <row r="9" customFormat="false" ht="12.8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34"/>
      <c r="K9" s="10" t="n">
        <v>44263</v>
      </c>
      <c r="L9" s="33" t="n">
        <v>44642</v>
      </c>
      <c r="M9" s="11" t="n">
        <v>0</v>
      </c>
      <c r="N9" s="12" t="n">
        <v>165000</v>
      </c>
      <c r="O9" s="18" t="n">
        <f aca="false">M9*N9</f>
        <v>0</v>
      </c>
      <c r="P9" s="19" t="n">
        <f aca="false">N9*$K$1</f>
        <v>151800</v>
      </c>
      <c r="Q9" s="31" t="n">
        <f aca="false">MAX(DATE(YEAR(L9)+1,MONTH(L9),DAY(L9)),DATE(YEAR(K9)+2,MONTH(K9),DAY(K9)))</f>
        <v>45007</v>
      </c>
      <c r="R9" s="20" t="n">
        <f aca="false">IF($C$18&gt;Q9, P9*0.15, P9*0.35)</f>
        <v>53130</v>
      </c>
    </row>
    <row r="10" customFormat="false" ht="12.8" hidden="false" customHeight="false" outlineLevel="0" collapsed="false">
      <c r="A10" s="35"/>
      <c r="B10" s="14"/>
      <c r="C10" s="14"/>
      <c r="D10" s="14"/>
      <c r="E10" s="14"/>
      <c r="F10" s="14"/>
      <c r="G10" s="14"/>
      <c r="H10" s="14"/>
      <c r="I10" s="14"/>
      <c r="J10" s="34"/>
      <c r="K10" s="10"/>
      <c r="L10" s="33"/>
      <c r="M10" s="11"/>
      <c r="N10" s="12"/>
      <c r="O10" s="18"/>
      <c r="P10" s="19"/>
      <c r="Q10" s="10"/>
      <c r="R10" s="20"/>
    </row>
    <row r="11" customFormat="false" ht="12.8" hidden="false" customHeight="false" outlineLevel="0" collapsed="false">
      <c r="A11" s="12"/>
      <c r="B11" s="14"/>
      <c r="C11" s="14"/>
      <c r="D11" s="14"/>
      <c r="E11" s="14"/>
      <c r="F11" s="14"/>
      <c r="G11" s="14"/>
      <c r="H11" s="14"/>
      <c r="I11" s="14"/>
      <c r="J11" s="34"/>
      <c r="K11" s="14"/>
      <c r="L11" s="14"/>
      <c r="M11" s="14"/>
      <c r="N11" s="12"/>
      <c r="O11" s="18"/>
      <c r="P11" s="19"/>
      <c r="Q11" s="14"/>
      <c r="R11" s="14"/>
    </row>
    <row r="12" customFormat="false" ht="12.8" hidden="false" customHeight="false" outlineLevel="0" collapsed="false">
      <c r="A12" s="36"/>
      <c r="B12" s="35"/>
      <c r="C12" s="14"/>
      <c r="D12" s="14"/>
      <c r="E12" s="14"/>
      <c r="F12" s="14"/>
      <c r="G12" s="14"/>
      <c r="H12" s="14"/>
      <c r="I12" s="14"/>
      <c r="J12" s="34"/>
      <c r="K12" s="14"/>
      <c r="L12" s="14"/>
      <c r="M12" s="14"/>
      <c r="N12" s="19"/>
      <c r="O12" s="18"/>
      <c r="P12" s="14"/>
      <c r="Q12" s="14"/>
      <c r="R12" s="14"/>
    </row>
    <row r="13" customFormat="false" ht="12.8" hidden="false" customHeight="false" outlineLevel="0" collapsed="false">
      <c r="A13" s="37"/>
      <c r="B13" s="38"/>
      <c r="C13" s="9"/>
      <c r="D13" s="14"/>
      <c r="E13" s="14"/>
      <c r="F13" s="9"/>
      <c r="G13" s="9"/>
      <c r="H13" s="9"/>
      <c r="I13" s="9"/>
      <c r="J13" s="39"/>
      <c r="K13" s="14"/>
      <c r="L13" s="14"/>
      <c r="M13" s="14"/>
      <c r="N13" s="19"/>
      <c r="O13" s="18"/>
      <c r="P13" s="14"/>
      <c r="Q13" s="14"/>
      <c r="R13" s="14"/>
    </row>
    <row r="14" customFormat="false" ht="12.8" hidden="false" customHeight="false" outlineLevel="0" collapsed="false">
      <c r="A14" s="10"/>
      <c r="B14" s="11"/>
      <c r="C14" s="12"/>
      <c r="D14" s="14"/>
      <c r="E14" s="14"/>
      <c r="F14" s="14"/>
      <c r="G14" s="14"/>
      <c r="H14" s="14"/>
      <c r="I14" s="14"/>
      <c r="J14" s="34"/>
      <c r="K14" s="14"/>
      <c r="L14" s="14"/>
      <c r="M14" s="14"/>
      <c r="N14" s="19"/>
      <c r="O14" s="18"/>
      <c r="P14" s="14"/>
      <c r="Q14" s="14"/>
      <c r="R14" s="14"/>
    </row>
    <row r="15" customFormat="false" ht="12.8" hidden="false" customHeight="false" outlineLevel="0" collapsed="false">
      <c r="A15" s="10"/>
      <c r="B15" s="11"/>
      <c r="C15" s="12"/>
      <c r="D15" s="14"/>
      <c r="E15" s="14"/>
      <c r="F15" s="14"/>
      <c r="G15" s="14"/>
      <c r="H15" s="14"/>
      <c r="I15" s="14"/>
      <c r="J15" s="34"/>
      <c r="K15" s="14"/>
      <c r="L15" s="14"/>
      <c r="M15" s="14"/>
      <c r="N15" s="19"/>
      <c r="O15" s="14"/>
      <c r="P15" s="14"/>
      <c r="Q15" s="14"/>
      <c r="R15" s="14"/>
    </row>
    <row r="16" customFormat="false" ht="15" hidden="false" customHeight="false" outlineLevel="0" collapsed="false">
      <c r="A16" s="40" t="str">
        <f aca="false">"Grants: "&amp;COUNT(A4:A7)</f>
        <v>Grants: 4</v>
      </c>
      <c r="B16" s="41"/>
      <c r="C16" s="42" t="n">
        <f aca="false">SUM(C4:C14)</f>
        <v>660864</v>
      </c>
      <c r="D16" s="42"/>
      <c r="E16" s="43"/>
      <c r="F16" s="44" t="n">
        <f aca="false">SUM(F4:F14)</f>
        <v>238833.904166667</v>
      </c>
      <c r="G16" s="42" t="n">
        <f aca="false">SUM(G4:G14)</f>
        <v>156169</v>
      </c>
      <c r="H16" s="45" t="n">
        <f aca="false">SUM(H4:H8)*K1</f>
        <v>4601.12220833333</v>
      </c>
      <c r="I16" s="46"/>
      <c r="J16" s="47"/>
      <c r="K16" s="48" t="s">
        <v>20</v>
      </c>
      <c r="L16" s="48"/>
      <c r="M16" s="48"/>
      <c r="N16" s="48"/>
      <c r="O16" s="48"/>
      <c r="P16" s="49" t="n">
        <f aca="false">SUM(P4:P10)</f>
        <v>295475.48</v>
      </c>
      <c r="Q16" s="49"/>
      <c r="R16" s="49"/>
    </row>
    <row r="17" customFormat="false" ht="15" hidden="false" customHeight="false" outlineLevel="0" collapsed="false">
      <c r="A17" s="50" t="s">
        <v>21</v>
      </c>
      <c r="B17" s="51"/>
      <c r="C17" s="52" t="n">
        <f aca="false">SUM(H4:H14)</f>
        <v>5001.21979166667</v>
      </c>
      <c r="D17" s="52"/>
      <c r="E17" s="53"/>
      <c r="F17" s="54" t="n">
        <f aca="false">F16/C16</f>
        <v>0.361396450959148</v>
      </c>
      <c r="G17" s="54" t="n">
        <f aca="false">G16/F16</f>
        <v>0.653881200597968</v>
      </c>
      <c r="H17" s="53"/>
      <c r="I17" s="53"/>
      <c r="J17" s="55"/>
      <c r="K17" s="48" t="s">
        <v>22</v>
      </c>
      <c r="L17" s="48"/>
      <c r="M17" s="48"/>
      <c r="N17" s="48"/>
      <c r="O17" s="48"/>
      <c r="P17" s="56" t="n">
        <f aca="false">SUM(R4:R10)</f>
        <v>80642.922</v>
      </c>
      <c r="Q17" s="56"/>
      <c r="R17" s="56"/>
    </row>
    <row r="18" customFormat="false" ht="22.05" hidden="false" customHeight="false" outlineLevel="0" collapsed="false">
      <c r="A18" s="10"/>
      <c r="B18" s="9" t="s">
        <v>23</v>
      </c>
      <c r="C18" s="57" t="n">
        <f aca="true">TODAY()</f>
        <v>44496</v>
      </c>
      <c r="D18" s="12"/>
      <c r="E18" s="14"/>
      <c r="F18" s="14"/>
      <c r="G18" s="14"/>
      <c r="H18" s="14"/>
      <c r="I18" s="14"/>
      <c r="J18" s="14"/>
      <c r="K18" s="58" t="s">
        <v>24</v>
      </c>
      <c r="L18" s="58"/>
      <c r="M18" s="58"/>
      <c r="N18" s="58"/>
      <c r="O18" s="58"/>
      <c r="P18" s="59" t="n">
        <f aca="false">P16-P17</f>
        <v>214832.558</v>
      </c>
      <c r="Q18" s="59"/>
      <c r="R18" s="59"/>
    </row>
    <row r="19" customFormat="false" ht="15" hidden="false" customHeight="false" outlineLevel="0" collapsed="false">
      <c r="A19" s="10"/>
      <c r="B19" s="9"/>
      <c r="C19" s="57"/>
      <c r="D19" s="12"/>
      <c r="E19" s="14"/>
      <c r="F19" s="14"/>
      <c r="G19" s="14"/>
      <c r="H19" s="14"/>
      <c r="I19" s="14"/>
      <c r="J19" s="14"/>
      <c r="K19" s="60" t="s">
        <v>25</v>
      </c>
      <c r="L19" s="60"/>
      <c r="M19" s="60"/>
      <c r="N19" s="60"/>
      <c r="O19" s="60"/>
      <c r="P19" s="61" t="n">
        <f aca="false">(C16-G16)*K1*0.65</f>
        <v>301807.61</v>
      </c>
      <c r="Q19" s="61"/>
      <c r="R19" s="61"/>
    </row>
  </sheetData>
  <mergeCells count="14">
    <mergeCell ref="A1:I1"/>
    <mergeCell ref="K1:M1"/>
    <mergeCell ref="N1:P1"/>
    <mergeCell ref="Q1:R1"/>
    <mergeCell ref="A2:I2"/>
    <mergeCell ref="K2:R2"/>
    <mergeCell ref="K16:O16"/>
    <mergeCell ref="P16:R16"/>
    <mergeCell ref="K17:O17"/>
    <mergeCell ref="P17:R17"/>
    <mergeCell ref="K18:O18"/>
    <mergeCell ref="P18:R18"/>
    <mergeCell ref="K19:O19"/>
    <mergeCell ref="P19:R19"/>
  </mergeCells>
  <conditionalFormatting sqref="I4:I8">
    <cfRule type="cellIs" priority="2" operator="lessThanOrEqual" aboveAverage="0" equalAverage="0" bottom="0" percent="0" rank="0" text="" dxfId="0">
      <formula>TODAY()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4.56"/>
    <col collapsed="false" customWidth="true" hidden="false" outlineLevel="0" max="2" min="2" style="0" width="13.43"/>
    <col collapsed="false" customWidth="true" hidden="false" outlineLevel="0" max="3" min="3" style="0" width="11.78"/>
    <col collapsed="false" customWidth="true" hidden="false" outlineLevel="0" max="4" min="4" style="0" width="7.49"/>
    <col collapsed="false" customWidth="true" hidden="false" outlineLevel="0" max="5" min="5" style="0" width="9.13"/>
    <col collapsed="false" customWidth="true" hidden="false" outlineLevel="0" max="6" min="6" style="0" width="13.29"/>
    <col collapsed="false" customWidth="true" hidden="false" outlineLevel="0" max="7" min="7" style="0" width="6.69"/>
    <col collapsed="false" customWidth="true" hidden="false" outlineLevel="0" max="11" min="8" style="0" width="5.16"/>
    <col collapsed="false" customWidth="false" hidden="false" outlineLevel="0" max="1025" min="12" style="0" width="11.52"/>
  </cols>
  <sheetData>
    <row r="2" customFormat="false" ht="12.8" hidden="false" customHeight="false" outlineLevel="0" collapsed="false">
      <c r="A2" s="0" t="s">
        <v>26</v>
      </c>
      <c r="B2" s="62" t="n">
        <v>12550</v>
      </c>
    </row>
    <row r="3" customFormat="false" ht="12.8" hidden="false" customHeight="false" outlineLevel="0" collapsed="false">
      <c r="A3" s="0" t="s">
        <v>27</v>
      </c>
      <c r="B3" s="0" t="n">
        <v>73600</v>
      </c>
    </row>
    <row r="4" customFormat="false" ht="12.8" hidden="false" customHeight="false" outlineLevel="0" collapsed="false">
      <c r="A4" s="0" t="s">
        <v>28</v>
      </c>
      <c r="B4" s="0" t="n">
        <v>523600</v>
      </c>
      <c r="F4" s="63"/>
    </row>
    <row r="5" customFormat="false" ht="12.8" hidden="false" customHeight="false" outlineLevel="0" collapsed="false">
      <c r="A5" s="0" t="s">
        <v>29</v>
      </c>
      <c r="B5" s="64" t="n">
        <v>0.25</v>
      </c>
      <c r="F5" s="63"/>
    </row>
    <row r="7" customFormat="false" ht="12.8" hidden="false" customHeight="false" outlineLevel="0" collapsed="false">
      <c r="A7" s="65" t="s">
        <v>30</v>
      </c>
      <c r="B7" s="65"/>
      <c r="C7" s="65"/>
      <c r="E7" s="0" t="s">
        <v>31</v>
      </c>
      <c r="F7" s="62" t="n">
        <v>165000</v>
      </c>
    </row>
    <row r="8" customFormat="false" ht="12.8" hidden="false" customHeight="false" outlineLevel="0" collapsed="false">
      <c r="A8" s="66" t="s">
        <v>32</v>
      </c>
      <c r="B8" s="66" t="s">
        <v>33</v>
      </c>
      <c r="C8" s="66" t="s">
        <v>34</v>
      </c>
      <c r="D8" s="66"/>
      <c r="E8" s="0" t="s">
        <v>35</v>
      </c>
      <c r="F8" s="62" t="n">
        <v>0</v>
      </c>
    </row>
    <row r="9" customFormat="false" ht="12.8" hidden="false" customHeight="false" outlineLevel="0" collapsed="false">
      <c r="A9" s="67" t="s">
        <v>36</v>
      </c>
      <c r="B9" s="68" t="n">
        <v>9950</v>
      </c>
      <c r="C9" s="69" t="n">
        <f aca="false">IF($F$10&gt;$B9,($B9-0)*A9,($F$10-0)*$A9)</f>
        <v>995</v>
      </c>
      <c r="D9" s="70"/>
      <c r="E9" s="0" t="s">
        <v>37</v>
      </c>
      <c r="F9" s="62" t="n">
        <v>0</v>
      </c>
    </row>
    <row r="10" customFormat="false" ht="12.8" hidden="false" customHeight="false" outlineLevel="0" collapsed="false">
      <c r="A10" s="67" t="s">
        <v>38</v>
      </c>
      <c r="B10" s="68" t="n">
        <v>40525</v>
      </c>
      <c r="C10" s="69" t="n">
        <f aca="false">MAX(0,IF($F$10&gt;B9,MIN((B10-B9),($F$10-B9))*A10, 0))</f>
        <v>3669</v>
      </c>
      <c r="D10" s="70"/>
      <c r="E10" s="0" t="s">
        <v>39</v>
      </c>
      <c r="F10" s="62" t="n">
        <f aca="false">F7-B2+F8+F9</f>
        <v>152450</v>
      </c>
    </row>
    <row r="11" customFormat="false" ht="12.8" hidden="false" customHeight="false" outlineLevel="0" collapsed="false">
      <c r="A11" s="67" t="s">
        <v>40</v>
      </c>
      <c r="B11" s="68" t="n">
        <v>86375</v>
      </c>
      <c r="C11" s="69" t="n">
        <f aca="false">MAX(0,IF($F$10&gt;B10,MIN((B11-B10),($F$10-B10))*A11, 0))</f>
        <v>10087</v>
      </c>
      <c r="D11" s="70"/>
      <c r="E11" s="0" t="s">
        <v>41</v>
      </c>
      <c r="F11" s="71" t="n">
        <f aca="false">SUM(C9:C15)+SUM(C19:C21)+SUM(C25:C26)</f>
        <v>30609</v>
      </c>
    </row>
    <row r="12" customFormat="false" ht="12.8" hidden="false" customHeight="false" outlineLevel="0" collapsed="false">
      <c r="A12" s="67" t="s">
        <v>42</v>
      </c>
      <c r="B12" s="68" t="n">
        <v>164925</v>
      </c>
      <c r="C12" s="69" t="n">
        <f aca="false">MAX(0,IF($F$10&gt;B11,MIN((B12-B11),($F$10-B11))*A12, 0))</f>
        <v>15858</v>
      </c>
      <c r="D12" s="70"/>
      <c r="E12" s="0" t="s">
        <v>32</v>
      </c>
      <c r="F12" s="72" t="n">
        <f aca="false">F11/(F7+F8+F9)</f>
        <v>0.185509090909091</v>
      </c>
    </row>
    <row r="13" customFormat="false" ht="12.8" hidden="false" customHeight="false" outlineLevel="0" collapsed="false">
      <c r="A13" s="67" t="s">
        <v>43</v>
      </c>
      <c r="B13" s="68" t="n">
        <v>209425</v>
      </c>
      <c r="C13" s="69" t="n">
        <f aca="false">MAX(0,IF($F$10&gt;B12,MIN((B13-B12),($F$10-B12))*A13, 0))</f>
        <v>0</v>
      </c>
      <c r="D13" s="70"/>
      <c r="G13" s="63"/>
    </row>
    <row r="14" customFormat="false" ht="12.8" hidden="false" customHeight="false" outlineLevel="0" collapsed="false">
      <c r="A14" s="67" t="s">
        <v>44</v>
      </c>
      <c r="B14" s="68" t="n">
        <v>523600</v>
      </c>
      <c r="C14" s="69" t="n">
        <f aca="false">MAX(0,IF($F$10&gt;B13,MIN((B14-B13),($F$10-B13))*A14, 0))</f>
        <v>0</v>
      </c>
      <c r="D14" s="70"/>
    </row>
    <row r="15" customFormat="false" ht="12.8" hidden="false" customHeight="false" outlineLevel="0" collapsed="false">
      <c r="A15" s="67" t="s">
        <v>45</v>
      </c>
      <c r="B15" s="69"/>
      <c r="C15" s="69" t="n">
        <f aca="false">MAX(0,IF($F$10&gt;B14,($F$10-B14)*A15, 0))</f>
        <v>0</v>
      </c>
      <c r="D15" s="70"/>
    </row>
    <row r="17" customFormat="false" ht="12.8" hidden="false" customHeight="false" outlineLevel="0" collapsed="false">
      <c r="A17" s="65" t="s">
        <v>46</v>
      </c>
      <c r="B17" s="65"/>
      <c r="C17" s="65"/>
    </row>
    <row r="18" customFormat="false" ht="12.8" hidden="false" customHeight="false" outlineLevel="0" collapsed="false">
      <c r="A18" s="66" t="s">
        <v>32</v>
      </c>
      <c r="B18" s="66" t="s">
        <v>33</v>
      </c>
      <c r="C18" s="73" t="s">
        <v>34</v>
      </c>
      <c r="E18" s="0" t="s">
        <v>47</v>
      </c>
      <c r="F18" s="62"/>
    </row>
    <row r="19" customFormat="false" ht="12.8" hidden="false" customHeight="false" outlineLevel="0" collapsed="false">
      <c r="A19" s="74" t="n">
        <v>0</v>
      </c>
      <c r="B19" s="68" t="n">
        <v>40400</v>
      </c>
      <c r="C19" s="63" t="n">
        <f aca="false">IF(F$10&lt;=B19, F$9*A19, 0)</f>
        <v>0</v>
      </c>
      <c r="E19" s="0" t="s">
        <v>31</v>
      </c>
      <c r="F19" s="62" t="n">
        <f aca="false">F7+F8+F9+F18</f>
        <v>165000</v>
      </c>
    </row>
    <row r="20" customFormat="false" ht="12.8" hidden="false" customHeight="false" outlineLevel="0" collapsed="false">
      <c r="A20" s="74" t="n">
        <v>0.15</v>
      </c>
      <c r="B20" s="69" t="n">
        <v>445850</v>
      </c>
      <c r="C20" s="63" t="n">
        <f aca="false">IF(F$10&gt;B19,IF(F$10&lt;=B20, F$9*A20, 0),0)</f>
        <v>0</v>
      </c>
      <c r="E20" s="0" t="s">
        <v>48</v>
      </c>
      <c r="F20" s="62" t="n">
        <f aca="false">MIN(B3,MAX(0,B5*(F19-B4)))</f>
        <v>0</v>
      </c>
    </row>
    <row r="21" customFormat="false" ht="12.8" hidden="false" customHeight="false" outlineLevel="0" collapsed="false">
      <c r="A21" s="75" t="n">
        <v>0.2</v>
      </c>
      <c r="C21" s="63" t="n">
        <f aca="false">IF(F$10&gt;B20,(F$9)*A21, 0)</f>
        <v>0</v>
      </c>
      <c r="E21" s="70" t="s">
        <v>49</v>
      </c>
      <c r="F21" s="62" t="n">
        <f aca="false">F19-B3+F20</f>
        <v>91400</v>
      </c>
    </row>
    <row r="22" customFormat="false" ht="12.8" hidden="false" customHeight="false" outlineLevel="0" collapsed="false">
      <c r="E22" s="70" t="s">
        <v>50</v>
      </c>
      <c r="F22" s="71" t="n">
        <f aca="false">C30+C31</f>
        <v>23764</v>
      </c>
    </row>
    <row r="23" customFormat="false" ht="12.8" hidden="false" customHeight="false" outlineLevel="0" collapsed="false">
      <c r="A23" s="65" t="s">
        <v>51</v>
      </c>
      <c r="B23" s="65"/>
      <c r="C23" s="65"/>
      <c r="E23" s="70" t="s">
        <v>32</v>
      </c>
      <c r="F23" s="72" t="n">
        <f aca="false">F22/F19</f>
        <v>0.144024242424242</v>
      </c>
    </row>
    <row r="24" customFormat="false" ht="12.8" hidden="false" customHeight="false" outlineLevel="0" collapsed="false">
      <c r="A24" s="66" t="s">
        <v>32</v>
      </c>
      <c r="B24" s="66" t="s">
        <v>33</v>
      </c>
      <c r="C24" s="73" t="s">
        <v>34</v>
      </c>
      <c r="E24" s="70"/>
      <c r="F24" s="62"/>
    </row>
    <row r="25" customFormat="false" ht="12.8" hidden="false" customHeight="false" outlineLevel="0" collapsed="false">
      <c r="A25" s="76" t="n">
        <v>0</v>
      </c>
      <c r="B25" s="68" t="n">
        <v>200000</v>
      </c>
      <c r="C25" s="63" t="n">
        <f aca="false">IF(F$7&lt;=B25, F$9*A25, 0)</f>
        <v>0</v>
      </c>
      <c r="E25" s="70" t="s">
        <v>52</v>
      </c>
      <c r="F25" s="62" t="n">
        <f aca="false">IF(F11&gt;F22,(F11-F22)/A30,0)</f>
        <v>26326.9230769231</v>
      </c>
    </row>
    <row r="26" customFormat="false" ht="12.8" hidden="false" customHeight="false" outlineLevel="0" collapsed="false">
      <c r="A26" s="76" t="n">
        <v>0.038</v>
      </c>
      <c r="C26" s="63" t="n">
        <f aca="false">MAX(0,IF(F$10&gt;B25,(F$10-B25)*A26, 0))</f>
        <v>0</v>
      </c>
    </row>
    <row r="28" customFormat="false" ht="12.8" hidden="false" customHeight="false" outlineLevel="0" collapsed="false">
      <c r="A28" s="65" t="s">
        <v>50</v>
      </c>
      <c r="B28" s="65"/>
      <c r="C28" s="65"/>
      <c r="E28" s="77" t="s">
        <v>53</v>
      </c>
      <c r="F28" s="77"/>
    </row>
    <row r="29" customFormat="false" ht="12.8" hidden="false" customHeight="false" outlineLevel="0" collapsed="false">
      <c r="A29" s="66" t="s">
        <v>32</v>
      </c>
      <c r="B29" s="66" t="s">
        <v>33</v>
      </c>
      <c r="C29" s="73" t="s">
        <v>34</v>
      </c>
      <c r="E29" s="78" t="n">
        <f aca="false">F25/ISO!K1</f>
        <v>28616.220735786</v>
      </c>
      <c r="F29" s="78"/>
    </row>
    <row r="30" customFormat="false" ht="12.8" hidden="false" customHeight="false" outlineLevel="0" collapsed="false">
      <c r="A30" s="67" t="s">
        <v>54</v>
      </c>
      <c r="B30" s="68" t="n">
        <v>199900</v>
      </c>
      <c r="C30" s="63" t="n">
        <f aca="false">MIN(B30,F21)*A30</f>
        <v>23764</v>
      </c>
    </row>
    <row r="31" customFormat="false" ht="12.8" hidden="false" customHeight="false" outlineLevel="0" collapsed="false">
      <c r="A31" s="67" t="s">
        <v>55</v>
      </c>
      <c r="B31" s="69"/>
      <c r="C31" s="63" t="n">
        <f aca="false">MAX(0,IF(F$21&gt;B30,(F$21-B30)*A31, 0))</f>
        <v>0</v>
      </c>
    </row>
  </sheetData>
  <mergeCells count="6">
    <mergeCell ref="A7:C7"/>
    <mergeCell ref="A17:C17"/>
    <mergeCell ref="A23:C23"/>
    <mergeCell ref="A28:C28"/>
    <mergeCell ref="E28:F28"/>
    <mergeCell ref="E29:F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6" activeCellId="0" sqref="I6"/>
    </sheetView>
  </sheetViews>
  <sheetFormatPr defaultRowHeight="12.8" zeroHeight="false" outlineLevelRow="0" outlineLevelCol="0"/>
  <cols>
    <col collapsed="false" customWidth="true" hidden="false" outlineLevel="0" max="1" min="1" style="0" width="14.23"/>
    <col collapsed="false" customWidth="true" hidden="false" outlineLevel="0" max="2" min="2" style="0" width="13.09"/>
    <col collapsed="false" customWidth="true" hidden="false" outlineLevel="0" max="3" min="3" style="0" width="1.62"/>
    <col collapsed="false" customWidth="true" hidden="false" outlineLevel="0" max="4" min="4" style="0" width="11.9"/>
    <col collapsed="false" customWidth="true" hidden="false" outlineLevel="0" max="5" min="5" style="0" width="10.73"/>
    <col collapsed="false" customWidth="true" hidden="false" outlineLevel="0" max="6" min="6" style="0" width="1.62"/>
    <col collapsed="false" customWidth="true" hidden="false" outlineLevel="0" max="7" min="7" style="0" width="6.69"/>
    <col collapsed="false" customWidth="true" hidden="false" outlineLevel="0" max="8" min="8" style="0" width="5.16"/>
    <col collapsed="false" customWidth="true" hidden="false" outlineLevel="0" max="9" min="9" style="0" width="17.92"/>
    <col collapsed="false" customWidth="true" hidden="false" outlineLevel="0" max="10" min="10" style="0" width="7.73"/>
    <col collapsed="false" customWidth="true" hidden="false" outlineLevel="0" max="11" min="11" style="0" width="9.23"/>
    <col collapsed="false" customWidth="true" hidden="false" outlineLevel="0" max="12" min="12" style="0" width="7.73"/>
    <col collapsed="false" customWidth="true" hidden="false" outlineLevel="0" max="13" min="13" style="0" width="9.8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26</v>
      </c>
      <c r="B1" s="62" t="n">
        <v>12550</v>
      </c>
      <c r="C1" s="79"/>
      <c r="D1" s="0" t="s">
        <v>39</v>
      </c>
      <c r="E1" s="62" t="n">
        <f aca="false">B8-B1+E2</f>
        <v>237450</v>
      </c>
      <c r="F1" s="80"/>
      <c r="I1" s="73" t="s">
        <v>30</v>
      </c>
      <c r="J1" s="73" t="s">
        <v>32</v>
      </c>
      <c r="K1" s="73" t="s">
        <v>50</v>
      </c>
      <c r="L1" s="73" t="s">
        <v>32</v>
      </c>
      <c r="M1" s="73" t="s">
        <v>52</v>
      </c>
    </row>
    <row r="2" customFormat="false" ht="12.8" hidden="false" customHeight="false" outlineLevel="0" collapsed="false">
      <c r="A2" s="0" t="s">
        <v>27</v>
      </c>
      <c r="B2" s="0" t="n">
        <v>73600</v>
      </c>
      <c r="C2" s="79"/>
      <c r="D2" s="0" t="s">
        <v>35</v>
      </c>
      <c r="E2" s="62"/>
      <c r="F2" s="80"/>
      <c r="I2" s="62" t="n">
        <f aca="false">MAX(0,E1-B18)*A19+MIN(B18-B17,MAX(0,E1-B17))*A18+MIN(B17-B16,MAX(0,E1-B16))*A17+MIN(B16-B15,MAX(0,E1-B15))*A16+MIN(B15-B14,MAX(0,E1-B14))*A15+MIN(B14-B13,MAX(0,E1-B13))*A14+MIN(B13,MAX(0,E1))*A13+MAX(0,IF(E4&gt;E13,(E4-E13)*D14, 0))+MAX(0,IF(E4&gt;B23,MIN((B24-B23),(E3-B23))*A24, 0))+MAX(0,IF(E4&gt;B24,(E3-B24)*A25, 0))</f>
        <v>59074.85</v>
      </c>
      <c r="J2" s="72" t="n">
        <f aca="false">I2/(E4)</f>
        <v>0.248788587070962</v>
      </c>
      <c r="K2" s="62" t="n">
        <f aca="false">MIN(E18,E8)*D18+MAX(0,IF(E8&gt;E18,(E8-E18)*D19, 0))</f>
        <v>45864</v>
      </c>
      <c r="L2" s="72" t="n">
        <f aca="false">K2/(E6)</f>
        <v>0.183456</v>
      </c>
      <c r="M2" s="62" t="n">
        <f aca="false">MAX(0,(I2-K2))/((D18+D19)/2)</f>
        <v>48929.0740740741</v>
      </c>
      <c r="N2" s="62" t="n">
        <f aca="false">MAX(0,(K2-I2))/0.35</f>
        <v>0</v>
      </c>
    </row>
    <row r="3" customFormat="false" ht="12.8" hidden="false" customHeight="false" outlineLevel="0" collapsed="false">
      <c r="A3" s="0" t="s">
        <v>28</v>
      </c>
      <c r="B3" s="0" t="n">
        <v>523600</v>
      </c>
      <c r="C3" s="79"/>
      <c r="D3" s="0" t="s">
        <v>37</v>
      </c>
      <c r="E3" s="62"/>
      <c r="F3" s="81"/>
    </row>
    <row r="4" customFormat="false" ht="12.8" hidden="false" customHeight="false" outlineLevel="0" collapsed="false">
      <c r="A4" s="0" t="s">
        <v>29</v>
      </c>
      <c r="B4" s="64" t="n">
        <v>0.25</v>
      </c>
      <c r="C4" s="79"/>
      <c r="D4" s="0" t="s">
        <v>56</v>
      </c>
      <c r="E4" s="62" t="n">
        <f aca="false">E1+E3</f>
        <v>237450</v>
      </c>
      <c r="F4" s="81"/>
    </row>
    <row r="5" customFormat="false" ht="12.8" hidden="false" customHeight="false" outlineLevel="0" collapsed="false">
      <c r="A5" s="0" t="s">
        <v>57</v>
      </c>
      <c r="B5" s="82" t="n">
        <v>44378</v>
      </c>
      <c r="C5" s="79"/>
      <c r="D5" s="0" t="s">
        <v>47</v>
      </c>
      <c r="E5" s="62" t="n">
        <v>0</v>
      </c>
      <c r="F5" s="80"/>
    </row>
    <row r="6" customFormat="false" ht="12.8" hidden="false" customHeight="false" outlineLevel="0" collapsed="false">
      <c r="A6" s="0" t="s">
        <v>58</v>
      </c>
      <c r="B6" s="0" t="n">
        <v>180</v>
      </c>
      <c r="C6" s="79"/>
      <c r="D6" s="0" t="s">
        <v>59</v>
      </c>
      <c r="E6" s="62" t="n">
        <f aca="false">B8+E2+E3+E5</f>
        <v>250000</v>
      </c>
      <c r="F6" s="80"/>
      <c r="I6" s="63"/>
      <c r="K6" s="63"/>
    </row>
    <row r="7" customFormat="false" ht="12.8" hidden="false" customHeight="false" outlineLevel="0" collapsed="false">
      <c r="A7" s="0" t="s">
        <v>60</v>
      </c>
      <c r="B7" s="82" t="n">
        <f aca="false">B5+B6</f>
        <v>44558</v>
      </c>
      <c r="C7" s="79"/>
      <c r="D7" s="0" t="s">
        <v>61</v>
      </c>
      <c r="E7" s="62" t="n">
        <f aca="false">MIN(B2,MAX(0,B4*(E6-B3)))</f>
        <v>0</v>
      </c>
      <c r="F7" s="80"/>
      <c r="I7" s="62"/>
    </row>
    <row r="8" customFormat="false" ht="12.8" hidden="false" customHeight="false" outlineLevel="0" collapsed="false">
      <c r="A8" s="73" t="s">
        <v>31</v>
      </c>
      <c r="B8" s="83" t="n">
        <v>250000</v>
      </c>
      <c r="C8" s="80"/>
      <c r="D8" s="70" t="s">
        <v>49</v>
      </c>
      <c r="E8" s="62" t="n">
        <f aca="false">E6-B2+E7</f>
        <v>176400</v>
      </c>
      <c r="F8" s="80"/>
      <c r="I8" s="62"/>
    </row>
    <row r="11" customFormat="false" ht="12.8" hidden="false" customHeight="false" outlineLevel="0" collapsed="false">
      <c r="A11" s="65" t="s">
        <v>30</v>
      </c>
      <c r="B11" s="65"/>
      <c r="C11" s="65"/>
      <c r="D11" s="65" t="s">
        <v>51</v>
      </c>
      <c r="E11" s="65"/>
      <c r="F11" s="62"/>
    </row>
    <row r="12" customFormat="false" ht="12.8" hidden="false" customHeight="false" outlineLevel="0" collapsed="false">
      <c r="A12" s="66" t="s">
        <v>32</v>
      </c>
      <c r="B12" s="66" t="s">
        <v>33</v>
      </c>
      <c r="C12" s="84"/>
      <c r="D12" s="66" t="s">
        <v>32</v>
      </c>
      <c r="E12" s="66" t="s">
        <v>33</v>
      </c>
      <c r="F12" s="62"/>
    </row>
    <row r="13" customFormat="false" ht="12.8" hidden="false" customHeight="false" outlineLevel="0" collapsed="false">
      <c r="A13" s="85" t="s">
        <v>36</v>
      </c>
      <c r="B13" s="68" t="n">
        <v>9950</v>
      </c>
      <c r="C13" s="86"/>
      <c r="D13" s="87" t="n">
        <v>0</v>
      </c>
      <c r="E13" s="68" t="n">
        <v>200000</v>
      </c>
      <c r="F13" s="62"/>
    </row>
    <row r="14" customFormat="false" ht="12.8" hidden="false" customHeight="false" outlineLevel="0" collapsed="false">
      <c r="A14" s="85" t="s">
        <v>38</v>
      </c>
      <c r="B14" s="68" t="n">
        <v>40525</v>
      </c>
      <c r="C14" s="86"/>
      <c r="D14" s="87" t="n">
        <v>0.038</v>
      </c>
      <c r="F14" s="62"/>
    </row>
    <row r="15" customFormat="false" ht="12.8" hidden="false" customHeight="false" outlineLevel="0" collapsed="false">
      <c r="A15" s="85" t="s">
        <v>40</v>
      </c>
      <c r="B15" s="68" t="n">
        <v>86375</v>
      </c>
      <c r="C15" s="86"/>
      <c r="F15" s="62"/>
    </row>
    <row r="16" customFormat="false" ht="12.8" hidden="false" customHeight="false" outlineLevel="0" collapsed="false">
      <c r="A16" s="85" t="s">
        <v>42</v>
      </c>
      <c r="B16" s="68" t="n">
        <v>164925</v>
      </c>
      <c r="C16" s="86"/>
      <c r="D16" s="65" t="s">
        <v>50</v>
      </c>
      <c r="E16" s="65"/>
      <c r="F16" s="71"/>
    </row>
    <row r="17" customFormat="false" ht="12.8" hidden="false" customHeight="false" outlineLevel="0" collapsed="false">
      <c r="A17" s="85" t="s">
        <v>43</v>
      </c>
      <c r="B17" s="68" t="n">
        <v>209425</v>
      </c>
      <c r="C17" s="86"/>
      <c r="D17" s="66" t="s">
        <v>32</v>
      </c>
      <c r="E17" s="66" t="s">
        <v>33</v>
      </c>
      <c r="F17" s="72"/>
      <c r="G17" s="63"/>
    </row>
    <row r="18" customFormat="false" ht="12.8" hidden="false" customHeight="false" outlineLevel="0" collapsed="false">
      <c r="A18" s="85" t="s">
        <v>44</v>
      </c>
      <c r="B18" s="68" t="n">
        <v>523600</v>
      </c>
      <c r="C18" s="86"/>
      <c r="D18" s="85" t="s">
        <v>54</v>
      </c>
      <c r="E18" s="68" t="n">
        <v>199900</v>
      </c>
    </row>
    <row r="19" customFormat="false" ht="12.8" hidden="false" customHeight="false" outlineLevel="0" collapsed="false">
      <c r="A19" s="85" t="s">
        <v>45</v>
      </c>
      <c r="B19" s="69"/>
      <c r="C19" s="86"/>
      <c r="D19" s="85" t="s">
        <v>55</v>
      </c>
      <c r="E19" s="69"/>
    </row>
    <row r="21" customFormat="false" ht="12.8" hidden="false" customHeight="false" outlineLevel="0" collapsed="false">
      <c r="A21" s="65" t="s">
        <v>62</v>
      </c>
      <c r="B21" s="65"/>
      <c r="C21" s="65"/>
    </row>
    <row r="22" customFormat="false" ht="12.8" hidden="false" customHeight="false" outlineLevel="0" collapsed="false">
      <c r="A22" s="66" t="s">
        <v>32</v>
      </c>
      <c r="B22" s="66" t="s">
        <v>33</v>
      </c>
      <c r="C22" s="88"/>
      <c r="F22" s="62"/>
    </row>
    <row r="23" customFormat="false" ht="12.8" hidden="false" customHeight="false" outlineLevel="0" collapsed="false">
      <c r="A23" s="89" t="n">
        <v>0</v>
      </c>
      <c r="B23" s="68" t="n">
        <v>40400</v>
      </c>
      <c r="C23" s="63"/>
      <c r="F23" s="62"/>
    </row>
    <row r="24" customFormat="false" ht="12.8" hidden="false" customHeight="false" outlineLevel="0" collapsed="false">
      <c r="A24" s="89" t="n">
        <v>0.15</v>
      </c>
      <c r="B24" s="69" t="n">
        <v>445850</v>
      </c>
      <c r="C24" s="63"/>
      <c r="F24" s="62"/>
    </row>
    <row r="25" customFormat="false" ht="12.8" hidden="false" customHeight="false" outlineLevel="0" collapsed="false">
      <c r="A25" s="90" t="n">
        <v>0.2</v>
      </c>
      <c r="C25" s="63"/>
      <c r="F25" s="62"/>
    </row>
  </sheetData>
  <mergeCells count="4">
    <mergeCell ref="A11:B11"/>
    <mergeCell ref="D11:E11"/>
    <mergeCell ref="D16:E16"/>
    <mergeCell ref="A21:B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19"/>
  <sheetViews>
    <sheetView showFormulas="false" showGridLines="fals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8" activeCellId="0" sqref="P8"/>
    </sheetView>
  </sheetViews>
  <sheetFormatPr defaultRowHeight="12.8" zeroHeight="false" outlineLevelRow="0" outlineLevelCol="0"/>
  <cols>
    <col collapsed="false" customWidth="true" hidden="false" outlineLevel="0" max="1" min="1" style="91" width="13.1"/>
    <col collapsed="false" customWidth="true" hidden="false" outlineLevel="0" max="2" min="2" style="91" width="7.82"/>
    <col collapsed="false" customWidth="true" hidden="false" outlineLevel="0" max="3" min="3" style="91" width="11.43"/>
    <col collapsed="false" customWidth="true" hidden="false" outlineLevel="0" max="4" min="4" style="92" width="5.88"/>
    <col collapsed="false" customWidth="true" hidden="false" outlineLevel="0" max="5" min="5" style="91" width="18.38"/>
    <col collapsed="false" customWidth="true" hidden="false" outlineLevel="0" max="6" min="6" style="91" width="4.63"/>
    <col collapsed="false" customWidth="true" hidden="false" outlineLevel="0" max="7" min="7" style="91" width="4.48"/>
    <col collapsed="false" customWidth="true" hidden="false" outlineLevel="0" max="8" min="8" style="91" width="13.65"/>
    <col collapsed="false" customWidth="true" hidden="false" outlineLevel="0" max="9" min="9" style="91" width="11.43"/>
    <col collapsed="false" customWidth="true" hidden="false" outlineLevel="0" max="10" min="10" style="91" width="6.16"/>
    <col collapsed="false" customWidth="true" hidden="false" outlineLevel="0" max="11" min="11" style="91" width="16.87"/>
    <col collapsed="false" customWidth="true" hidden="false" outlineLevel="0" max="12" min="12" style="91" width="5.42"/>
    <col collapsed="false" customWidth="true" hidden="false" outlineLevel="0" max="13" min="13" style="91" width="13.1"/>
    <col collapsed="false" customWidth="true" hidden="false" outlineLevel="0" max="14" min="14" style="91" width="12.13"/>
    <col collapsed="false" customWidth="true" hidden="false" outlineLevel="0" max="15" min="15" style="91" width="7.68"/>
    <col collapsed="false" customWidth="true" hidden="false" outlineLevel="0" max="16" min="16" style="91" width="9.07"/>
    <col collapsed="false" customWidth="true" hidden="false" outlineLevel="0" max="17" min="17" style="91" width="6.98"/>
    <col collapsed="false" customWidth="true" hidden="false" outlineLevel="0" max="18" min="18" style="91" width="17.4"/>
    <col collapsed="false" customWidth="true" hidden="false" outlineLevel="0" max="1025" min="19" style="91" width="14.5"/>
  </cols>
  <sheetData>
    <row r="1" customFormat="false" ht="22.0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3" t="n">
        <v>2.5</v>
      </c>
      <c r="N1" s="3"/>
      <c r="O1" s="3"/>
      <c r="P1" s="3"/>
      <c r="Q1" s="3"/>
      <c r="R1" s="3"/>
      <c r="S1" s="3"/>
      <c r="T1" s="3"/>
      <c r="U1" s="9"/>
      <c r="V1" s="0"/>
      <c r="W1" s="0"/>
      <c r="X1" s="9"/>
      <c r="Y1" s="9"/>
      <c r="Z1" s="9"/>
      <c r="AA1" s="9"/>
      <c r="AB1" s="9"/>
      <c r="AC1" s="9"/>
      <c r="AD1" s="9"/>
    </row>
    <row r="2" customFormat="false" ht="19.7" hidden="false" customHeight="false" outlineLevel="0" collapsed="false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2</v>
      </c>
      <c r="N2" s="6"/>
      <c r="O2" s="6"/>
      <c r="P2" s="6"/>
      <c r="Q2" s="6"/>
      <c r="R2" s="6"/>
      <c r="S2" s="6"/>
      <c r="T2" s="6"/>
      <c r="U2" s="9"/>
      <c r="V2" s="9"/>
      <c r="W2" s="9"/>
      <c r="X2" s="9"/>
      <c r="Y2" s="9"/>
      <c r="Z2" s="9"/>
      <c r="AA2" s="9"/>
      <c r="AB2" s="9"/>
      <c r="AC2" s="9"/>
      <c r="AD2" s="9"/>
    </row>
    <row r="3" customFormat="false" ht="13.65" hidden="false" customHeight="true" outlineLevel="0" collapsed="false">
      <c r="A3" s="7" t="s">
        <v>3</v>
      </c>
      <c r="B3" s="7" t="s">
        <v>4</v>
      </c>
      <c r="C3" s="7" t="s">
        <v>5</v>
      </c>
      <c r="D3" s="7" t="s">
        <v>63</v>
      </c>
      <c r="E3" s="7" t="s">
        <v>6</v>
      </c>
      <c r="F3" s="7" t="s">
        <v>64</v>
      </c>
      <c r="G3" s="7" t="s">
        <v>7</v>
      </c>
      <c r="H3" s="7" t="s">
        <v>8</v>
      </c>
      <c r="I3" s="7" t="s">
        <v>9</v>
      </c>
      <c r="J3" s="7" t="s">
        <v>65</v>
      </c>
      <c r="K3" s="7" t="s">
        <v>66</v>
      </c>
      <c r="L3" s="8"/>
      <c r="M3" s="7" t="s">
        <v>3</v>
      </c>
      <c r="N3" s="7" t="s">
        <v>12</v>
      </c>
      <c r="O3" s="7" t="s">
        <v>4</v>
      </c>
      <c r="P3" s="7" t="s">
        <v>5</v>
      </c>
      <c r="Q3" s="7" t="s">
        <v>13</v>
      </c>
      <c r="R3" s="7" t="s">
        <v>14</v>
      </c>
      <c r="S3" s="9" t="s">
        <v>15</v>
      </c>
      <c r="T3" s="9" t="s">
        <v>16</v>
      </c>
      <c r="U3" s="9"/>
      <c r="V3" s="9"/>
      <c r="W3" s="9"/>
      <c r="X3" s="9"/>
      <c r="Y3" s="9"/>
      <c r="Z3" s="9"/>
      <c r="AA3" s="9"/>
      <c r="AB3" s="9"/>
      <c r="AC3" s="9"/>
      <c r="AD3" s="9"/>
    </row>
    <row r="4" customFormat="false" ht="15.85" hidden="false" customHeight="true" outlineLevel="0" collapsed="false">
      <c r="A4" s="10" t="n">
        <v>42457</v>
      </c>
      <c r="B4" s="11" t="n">
        <v>0.0011</v>
      </c>
      <c r="C4" s="12" t="n">
        <v>30000</v>
      </c>
      <c r="D4" s="93" t="n">
        <v>1</v>
      </c>
      <c r="E4" s="94" t="s">
        <v>17</v>
      </c>
      <c r="F4" s="95" t="n">
        <f aca="false">DATEDIF(A4,C18,"Y")</f>
        <v>4</v>
      </c>
      <c r="G4" s="14" t="n">
        <f aca="false">MAX(0,MIN(48*0.75,DATEDIF(A4,C18,"M")-12))</f>
        <v>36</v>
      </c>
      <c r="H4" s="15" t="n">
        <f aca="false">C4*0.25+C4*G4/48</f>
        <v>30000</v>
      </c>
      <c r="I4" s="12" t="n">
        <v>30000</v>
      </c>
      <c r="J4" s="96" t="n">
        <f aca="false">H4/C4</f>
        <v>1</v>
      </c>
      <c r="K4" s="10" t="n">
        <f aca="false">DATE(YEAR(A4)+4, MONTH(A4), DAY(A4))</f>
        <v>43918</v>
      </c>
      <c r="L4" s="17"/>
      <c r="M4" s="10" t="n">
        <v>42457</v>
      </c>
      <c r="N4" s="10" t="n">
        <v>44001</v>
      </c>
      <c r="O4" s="11" t="n">
        <v>0.0011</v>
      </c>
      <c r="P4" s="12" t="n">
        <v>30000</v>
      </c>
      <c r="Q4" s="18" t="n">
        <f aca="false">P4*O4</f>
        <v>33</v>
      </c>
      <c r="R4" s="19" t="n">
        <f aca="false">P4*M$1</f>
        <v>75000</v>
      </c>
      <c r="S4" s="10" t="n">
        <f aca="false">DATE(YEAR(N4)+1,MONTH(N4),DAY(N4))</f>
        <v>44366</v>
      </c>
      <c r="T4" s="20" t="n">
        <f aca="false">IF($C$18&gt;S4, R4*0.15, R4*0.35)</f>
        <v>26250</v>
      </c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customFormat="false" ht="15.85" hidden="false" customHeight="true" outlineLevel="0" collapsed="false">
      <c r="A5" s="10" t="n">
        <v>43447</v>
      </c>
      <c r="B5" s="11" t="n">
        <v>0.0011</v>
      </c>
      <c r="C5" s="12" t="n">
        <v>123519</v>
      </c>
      <c r="D5" s="93" t="n">
        <v>1</v>
      </c>
      <c r="E5" s="94" t="s">
        <v>18</v>
      </c>
      <c r="F5" s="97" t="s">
        <v>67</v>
      </c>
      <c r="G5" s="14" t="n">
        <f aca="false">MAX(0,MIN(36,DATEDIF(A5,C18,"M")))</f>
        <v>18</v>
      </c>
      <c r="H5" s="15" t="n">
        <f aca="false">C5*0.35+(C5*0.65)*G5/36</f>
        <v>83375.325</v>
      </c>
      <c r="I5" s="23" t="n">
        <v>83375</v>
      </c>
      <c r="J5" s="96" t="n">
        <f aca="false">H5/C5</f>
        <v>0.675</v>
      </c>
      <c r="K5" s="10" t="n">
        <f aca="false">DATE(YEAR(A5)+3, MONTH(A5), DAY(A5))</f>
        <v>44543</v>
      </c>
      <c r="L5" s="24"/>
      <c r="M5" s="10" t="n">
        <v>43447</v>
      </c>
      <c r="N5" s="10" t="n">
        <v>44001</v>
      </c>
      <c r="O5" s="11" t="n">
        <v>0.0011</v>
      </c>
      <c r="P5" s="23" t="n">
        <v>83375</v>
      </c>
      <c r="Q5" s="18" t="n">
        <f aca="false">O5*P5</f>
        <v>91.7125</v>
      </c>
      <c r="R5" s="19" t="n">
        <f aca="false">P5*M$1</f>
        <v>208437.5</v>
      </c>
      <c r="S5" s="10" t="n">
        <f aca="false">DATE(YEAR(N5)+1,MONTH(N5),DAY(N5))</f>
        <v>44366</v>
      </c>
      <c r="T5" s="20" t="n">
        <f aca="false">IF($C$18&gt;S5, R5*0.15, R5*0.35)</f>
        <v>72953.125</v>
      </c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customFormat="false" ht="15.85" hidden="false" customHeight="true" outlineLevel="0" collapsed="false">
      <c r="A6" s="10" t="n">
        <v>43602</v>
      </c>
      <c r="B6" s="11" t="n">
        <v>0.0011</v>
      </c>
      <c r="C6" s="12" t="n">
        <v>38380</v>
      </c>
      <c r="D6" s="93" t="n">
        <v>1</v>
      </c>
      <c r="E6" s="94" t="s">
        <v>17</v>
      </c>
      <c r="F6" s="95" t="n">
        <f aca="false">DATEDIF(A6,C18,"Y")</f>
        <v>1</v>
      </c>
      <c r="G6" s="14" t="n">
        <f aca="false">MAX(0,MIN(48*0.75,DATEDIF(A6,C18,"M")-12))</f>
        <v>1</v>
      </c>
      <c r="H6" s="15" t="n">
        <f aca="false">C6*0.25+C6*G6/48</f>
        <v>10394.5833333333</v>
      </c>
      <c r="I6" s="23" t="n">
        <v>10394</v>
      </c>
      <c r="J6" s="96" t="n">
        <f aca="false">H6/C6</f>
        <v>0.270833333333333</v>
      </c>
      <c r="K6" s="10" t="n">
        <f aca="false">DATE(YEAR(A6)+4, MONTH(A6), DAY(A6))</f>
        <v>45063</v>
      </c>
      <c r="L6" s="24"/>
      <c r="M6" s="25" t="n">
        <v>43602</v>
      </c>
      <c r="N6" s="25" t="n">
        <v>44001</v>
      </c>
      <c r="O6" s="26" t="n">
        <v>0.0011</v>
      </c>
      <c r="P6" s="27" t="n">
        <v>10394</v>
      </c>
      <c r="Q6" s="28" t="n">
        <f aca="false">O6*P6</f>
        <v>11.4334</v>
      </c>
      <c r="R6" s="29" t="n">
        <f aca="false">P6*M$1</f>
        <v>25985</v>
      </c>
      <c r="S6" s="25" t="n">
        <f aca="false">DATE(YEAR(N6)+1,MONTH(N6),DAY(N6))</f>
        <v>44366</v>
      </c>
      <c r="T6" s="30" t="n">
        <f aca="false">IF($C$18&gt;S6, R6*0.15, R6*0.35)</f>
        <v>9094.75</v>
      </c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customFormat="false" ht="15.85" hidden="false" customHeight="true" outlineLevel="0" collapsed="false">
      <c r="A7" s="10" t="n">
        <v>43769</v>
      </c>
      <c r="B7" s="11" t="n">
        <v>0.0011</v>
      </c>
      <c r="C7" s="12" t="n">
        <v>138965</v>
      </c>
      <c r="D7" s="93" t="n">
        <v>1</v>
      </c>
      <c r="E7" s="94" t="s">
        <v>17</v>
      </c>
      <c r="F7" s="95" t="n">
        <f aca="false">DATEDIF(A7,C18,"Y")</f>
        <v>0</v>
      </c>
      <c r="G7" s="14" t="n">
        <f aca="false">MAX(0,MIN(48*0.75,DATEDIF(A7,C18,"M")-12))</f>
        <v>0</v>
      </c>
      <c r="H7" s="15" t="n">
        <f aca="false">C7*IF(F7&gt;=1,0.25,0)+C7*G7/48</f>
        <v>0</v>
      </c>
      <c r="I7" s="12" t="n">
        <v>0</v>
      </c>
      <c r="J7" s="96" t="n">
        <f aca="false">H7/C7</f>
        <v>0</v>
      </c>
      <c r="K7" s="10" t="n">
        <f aca="false">DATE(YEAR(A7)+4, MONTH(A7), DAY(A7))</f>
        <v>45230</v>
      </c>
      <c r="L7" s="17"/>
      <c r="M7" s="10" t="n">
        <v>43447</v>
      </c>
      <c r="N7" s="33" t="n">
        <v>47848</v>
      </c>
      <c r="O7" s="11" t="n">
        <v>0.0011</v>
      </c>
      <c r="P7" s="12" t="n">
        <f aca="false">H5-I5</f>
        <v>0.325000000011642</v>
      </c>
      <c r="Q7" s="18" t="n">
        <f aca="false">O7*P7</f>
        <v>0.000357500000012806</v>
      </c>
      <c r="R7" s="19" t="n">
        <f aca="false">P7*M$1</f>
        <v>0.812500000029104</v>
      </c>
      <c r="S7" s="10" t="n">
        <f aca="false">DATE(YEAR(N7)+1,MONTH(N7),DAY(N7))</f>
        <v>48213</v>
      </c>
      <c r="T7" s="20" t="n">
        <f aca="false">IF($C$18&gt;S7, R7*0.15, R7*0.35)</f>
        <v>0.284375000010186</v>
      </c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customFormat="false" ht="15.85" hidden="false" customHeight="true" outlineLevel="0" collapsed="false">
      <c r="A8" s="14"/>
      <c r="B8" s="11"/>
      <c r="C8" s="12"/>
      <c r="D8" s="93"/>
      <c r="E8" s="12"/>
      <c r="F8" s="96"/>
      <c r="G8" s="14"/>
      <c r="H8" s="15"/>
      <c r="I8" s="12"/>
      <c r="J8" s="14"/>
      <c r="K8" s="14"/>
      <c r="L8" s="17"/>
      <c r="M8" s="10" t="n">
        <v>43602</v>
      </c>
      <c r="N8" s="33" t="n">
        <v>47848</v>
      </c>
      <c r="O8" s="11" t="n">
        <v>0.0011</v>
      </c>
      <c r="P8" s="12" t="n">
        <f aca="false">H6-I6</f>
        <v>0.58333333333394</v>
      </c>
      <c r="Q8" s="18" t="n">
        <f aca="false">O8*P8</f>
        <v>0.000641666666667334</v>
      </c>
      <c r="R8" s="19" t="n">
        <f aca="false">P8*M$1</f>
        <v>1.45833333333485</v>
      </c>
      <c r="S8" s="10" t="n">
        <f aca="false">DATE(YEAR(N8)+1,MONTH(N8),DAY(N8))</f>
        <v>48213</v>
      </c>
      <c r="T8" s="20" t="n">
        <f aca="false">IF($C$18&gt;S8, R8*0.15, R8*0.35)</f>
        <v>0.510416666667197</v>
      </c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customFormat="false" ht="15.85" hidden="false" customHeight="true" outlineLevel="0" collapsed="false">
      <c r="A9" s="14"/>
      <c r="B9" s="14"/>
      <c r="C9" s="14"/>
      <c r="D9" s="98"/>
      <c r="E9" s="14"/>
      <c r="F9" s="14"/>
      <c r="G9" s="14"/>
      <c r="H9" s="14"/>
      <c r="I9" s="14"/>
      <c r="J9" s="14"/>
      <c r="K9" s="14"/>
      <c r="L9" s="34"/>
      <c r="M9" s="10" t="n">
        <v>43769</v>
      </c>
      <c r="N9" s="33" t="n">
        <v>47848</v>
      </c>
      <c r="O9" s="11" t="n">
        <v>0.0011</v>
      </c>
      <c r="P9" s="12" t="n">
        <f aca="false">H7-I7</f>
        <v>0</v>
      </c>
      <c r="Q9" s="18" t="n">
        <f aca="false">O9*P9</f>
        <v>0</v>
      </c>
      <c r="R9" s="19" t="n">
        <f aca="false">P9*M$1</f>
        <v>0</v>
      </c>
      <c r="S9" s="10" t="n">
        <f aca="false">DATE(YEAR(N9)+1,MONTH(N9),DAY(N9))</f>
        <v>48213</v>
      </c>
      <c r="T9" s="20" t="n">
        <f aca="false">IF($C$18&gt;S9, R9*0.15, R9*0.35)</f>
        <v>0</v>
      </c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customFormat="false" ht="13.65" hidden="false" customHeight="true" outlineLevel="0" collapsed="false">
      <c r="A10" s="35"/>
      <c r="B10" s="14"/>
      <c r="C10" s="14"/>
      <c r="D10" s="98"/>
      <c r="E10" s="14"/>
      <c r="F10" s="14"/>
      <c r="G10" s="14"/>
      <c r="H10" s="14"/>
      <c r="I10" s="14"/>
      <c r="J10" s="14"/>
      <c r="K10" s="14"/>
      <c r="L10" s="34"/>
      <c r="M10" s="14"/>
      <c r="N10" s="99"/>
      <c r="O10" s="14"/>
      <c r="P10" s="12"/>
      <c r="Q10" s="18"/>
      <c r="R10" s="19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customFormat="false" ht="13.65" hidden="false" customHeight="true" outlineLevel="0" collapsed="false">
      <c r="A11" s="12"/>
      <c r="B11" s="14"/>
      <c r="C11" s="14"/>
      <c r="D11" s="98"/>
      <c r="E11" s="14"/>
      <c r="F11" s="14"/>
      <c r="G11" s="14"/>
      <c r="H11" s="14"/>
      <c r="I11" s="14"/>
      <c r="J11" s="14"/>
      <c r="K11" s="14"/>
      <c r="L11" s="34"/>
      <c r="M11" s="14"/>
      <c r="N11" s="14"/>
      <c r="O11" s="14"/>
      <c r="P11" s="12"/>
      <c r="Q11" s="18"/>
      <c r="R11" s="19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customFormat="false" ht="13.65" hidden="false" customHeight="true" outlineLevel="0" collapsed="false">
      <c r="A12" s="36"/>
      <c r="B12" s="35"/>
      <c r="C12" s="14"/>
      <c r="D12" s="98"/>
      <c r="E12" s="14"/>
      <c r="F12" s="14"/>
      <c r="G12" s="14"/>
      <c r="H12" s="14"/>
      <c r="I12" s="14"/>
      <c r="J12" s="14"/>
      <c r="K12" s="14"/>
      <c r="L12" s="34"/>
      <c r="M12" s="14"/>
      <c r="N12" s="14"/>
      <c r="O12" s="14"/>
      <c r="P12" s="19"/>
      <c r="Q12" s="18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customFormat="false" ht="13.65" hidden="false" customHeight="true" outlineLevel="0" collapsed="false">
      <c r="A13" s="37"/>
      <c r="B13" s="38"/>
      <c r="C13" s="9"/>
      <c r="D13" s="9"/>
      <c r="E13" s="14"/>
      <c r="F13" s="14"/>
      <c r="G13" s="14"/>
      <c r="H13" s="9"/>
      <c r="I13" s="9"/>
      <c r="J13" s="9"/>
      <c r="K13" s="9"/>
      <c r="L13" s="39"/>
      <c r="M13" s="14"/>
      <c r="N13" s="14"/>
      <c r="O13" s="14"/>
      <c r="P13" s="19"/>
      <c r="Q13" s="18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customFormat="false" ht="13.65" hidden="false" customHeight="true" outlineLevel="0" collapsed="false">
      <c r="A14" s="10"/>
      <c r="B14" s="11"/>
      <c r="C14" s="12"/>
      <c r="D14" s="93"/>
      <c r="E14" s="14"/>
      <c r="F14" s="14"/>
      <c r="G14" s="14"/>
      <c r="H14" s="14"/>
      <c r="I14" s="14"/>
      <c r="J14" s="14"/>
      <c r="K14" s="14"/>
      <c r="L14" s="34"/>
      <c r="M14" s="14"/>
      <c r="N14" s="14"/>
      <c r="O14" s="14"/>
      <c r="P14" s="19"/>
      <c r="Q14" s="18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customFormat="false" ht="12.8" hidden="false" customHeight="false" outlineLevel="0" collapsed="false">
      <c r="A15" s="10"/>
      <c r="B15" s="11"/>
      <c r="C15" s="12"/>
      <c r="D15" s="93"/>
      <c r="E15" s="14"/>
      <c r="F15" s="14"/>
      <c r="G15" s="14"/>
      <c r="H15" s="14"/>
      <c r="I15" s="14"/>
      <c r="J15" s="14"/>
      <c r="K15" s="14"/>
      <c r="L15" s="34"/>
      <c r="M15" s="14"/>
      <c r="N15" s="14"/>
      <c r="O15" s="14"/>
      <c r="P15" s="19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="101" customFormat="true" ht="15" hidden="false" customHeight="false" outlineLevel="0" collapsed="false">
      <c r="A16" s="40" t="str">
        <f aca="false">"Grants: "&amp;COUNT(A4:A7)</f>
        <v>Grants: 4</v>
      </c>
      <c r="B16" s="41"/>
      <c r="C16" s="42" t="n">
        <f aca="false">SUM(C4:C7)</f>
        <v>330864</v>
      </c>
      <c r="D16" s="100"/>
      <c r="E16" s="42"/>
      <c r="F16" s="46"/>
      <c r="G16" s="43"/>
      <c r="H16" s="44" t="n">
        <f aca="false">SUM(H4:H8)</f>
        <v>123769.908333333</v>
      </c>
      <c r="I16" s="42" t="n">
        <f aca="false">SUM(I4:I8)</f>
        <v>123769</v>
      </c>
      <c r="J16" s="46" t="n">
        <f aca="false">H16/C16</f>
        <v>0.374080916428905</v>
      </c>
      <c r="K16" s="46"/>
      <c r="L16" s="47"/>
      <c r="M16" s="48" t="s">
        <v>20</v>
      </c>
      <c r="N16" s="48"/>
      <c r="O16" s="48"/>
      <c r="P16" s="48"/>
      <c r="Q16" s="48"/>
      <c r="R16" s="49" t="n">
        <f aca="false">SUM(R4:R8)</f>
        <v>309424.770833333</v>
      </c>
      <c r="S16" s="49"/>
      <c r="T16" s="49"/>
      <c r="U16" s="43"/>
      <c r="V16" s="43"/>
      <c r="W16" s="43"/>
      <c r="X16" s="43"/>
      <c r="Y16" s="43"/>
      <c r="Z16" s="43"/>
      <c r="AA16" s="43"/>
      <c r="AB16" s="43"/>
      <c r="AC16" s="43"/>
      <c r="AD16" s="43"/>
    </row>
    <row r="17" s="104" customFormat="true" ht="15" hidden="false" customHeight="false" outlineLevel="0" collapsed="false">
      <c r="A17" s="50"/>
      <c r="B17" s="51"/>
      <c r="C17" s="52"/>
      <c r="D17" s="102"/>
      <c r="E17" s="52"/>
      <c r="F17" s="103"/>
      <c r="G17" s="53"/>
      <c r="H17" s="53"/>
      <c r="I17" s="53"/>
      <c r="J17" s="53"/>
      <c r="K17" s="53"/>
      <c r="L17" s="55"/>
      <c r="M17" s="48" t="s">
        <v>22</v>
      </c>
      <c r="N17" s="48"/>
      <c r="O17" s="48"/>
      <c r="P17" s="48"/>
      <c r="Q17" s="48"/>
      <c r="R17" s="56" t="n">
        <f aca="false">SUM(T4:T9)</f>
        <v>108298.669791667</v>
      </c>
      <c r="S17" s="56"/>
      <c r="T17" s="56"/>
      <c r="U17" s="53"/>
      <c r="V17" s="53"/>
      <c r="W17" s="53"/>
      <c r="X17" s="53"/>
      <c r="Y17" s="53"/>
      <c r="Z17" s="53"/>
      <c r="AA17" s="53"/>
      <c r="AB17" s="53"/>
      <c r="AC17" s="53"/>
      <c r="AD17" s="53"/>
    </row>
    <row r="18" customFormat="false" ht="27.75" hidden="false" customHeight="true" outlineLevel="0" collapsed="false">
      <c r="A18" s="10"/>
      <c r="B18" s="9" t="s">
        <v>23</v>
      </c>
      <c r="C18" s="57" t="n">
        <v>44001</v>
      </c>
      <c r="D18" s="57"/>
      <c r="E18" s="12"/>
      <c r="F18" s="96"/>
      <c r="G18" s="14"/>
      <c r="H18" s="14"/>
      <c r="I18" s="14"/>
      <c r="J18" s="14"/>
      <c r="K18" s="14"/>
      <c r="L18" s="14"/>
      <c r="M18" s="58" t="s">
        <v>24</v>
      </c>
      <c r="N18" s="58"/>
      <c r="O18" s="58"/>
      <c r="P18" s="58"/>
      <c r="Q18" s="58"/>
      <c r="R18" s="59" t="n">
        <f aca="false">R16-R17</f>
        <v>201126.101041667</v>
      </c>
      <c r="S18" s="59"/>
      <c r="T18" s="59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customFormat="false" ht="17.25" hidden="false" customHeight="true" outlineLevel="0" collapsed="false">
      <c r="A19" s="10"/>
      <c r="B19" s="9"/>
      <c r="C19" s="57"/>
      <c r="D19" s="57"/>
      <c r="E19" s="12"/>
      <c r="F19" s="96"/>
      <c r="G19" s="14"/>
      <c r="H19" s="14"/>
      <c r="I19" s="14"/>
      <c r="J19" s="14"/>
      <c r="K19" s="14"/>
      <c r="L19" s="14"/>
      <c r="M19" s="60" t="s">
        <v>68</v>
      </c>
      <c r="N19" s="60"/>
      <c r="O19" s="60"/>
      <c r="P19" s="60"/>
      <c r="Q19" s="60"/>
      <c r="R19" s="61" t="n">
        <f aca="false">(C16-H16)*M1*0.65</f>
        <v>336527.898958333</v>
      </c>
      <c r="S19" s="61"/>
      <c r="T19" s="61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</sheetData>
  <mergeCells count="12">
    <mergeCell ref="A1:K1"/>
    <mergeCell ref="M1:T1"/>
    <mergeCell ref="A2:K2"/>
    <mergeCell ref="M2:T2"/>
    <mergeCell ref="M16:Q16"/>
    <mergeCell ref="R16:T16"/>
    <mergeCell ref="M17:Q17"/>
    <mergeCell ref="R17:T17"/>
    <mergeCell ref="M18:Q18"/>
    <mergeCell ref="R18:T18"/>
    <mergeCell ref="M19:Q19"/>
    <mergeCell ref="R19:T19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2021-10-27T15:44:42Z</dcterms:modified>
  <cp:revision>33</cp:revision>
  <dc:subject/>
  <dc:title/>
</cp:coreProperties>
</file>