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O" sheetId="1" state="visible" r:id="rId2"/>
    <sheet name="AMT" sheetId="2" state="visible" r:id="rId3"/>
    <sheet name="NQS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<sst xmlns="http://schemas.openxmlformats.org/spreadsheetml/2006/main" count="104" uniqueCount="60">
  <si>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</si>
  <si>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</si>
  <si>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</si>
  <si>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</si>
  <si>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</si>
  <si>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</si>
  <si>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</si>
  <si>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</si>
  <si>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</si>
  <si>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</si>
  <si>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</si>
  <si>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</si>
  <si>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</si>
  <si>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</si>
  <si>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</si>
  <si>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</si>
  <si>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</si>
  <si>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</si>
  <si>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</si>
  <si>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</si>
  <si>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</si>
  <si>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</si>
  <si>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</si>
  <si>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</si>
  <si>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UNVESTED VALUE (65%)</t>
  </si>
  <si>
    <t xml:space="preserve">Std Deduct</t>
  </si>
  <si>
    <t xml:space="preserve">AMT Exemption</t>
  </si>
  <si>
    <t xml:space="preserve">Threshold</t>
  </si>
  <si>
    <t xml:space="preserve">Phaseout Rate</t>
  </si>
  <si>
    <t xml:space="preserve">ORDINARY</t>
  </si>
  <si>
    <t xml:space="preserve">Income</t>
  </si>
  <si>
    <t xml:space="preserve">Rate</t>
  </si>
  <si>
    <t xml:space="preserve">Singles</t>
  </si>
  <si>
    <t xml:space="preserve">Pay</t>
  </si>
  <si>
    <t xml:space="preserve">ST Gains</t>
  </si>
  <si>
    <t xml:space="preserve">10%</t>
  </si>
  <si>
    <t xml:space="preserve">LT Gains</t>
  </si>
  <si>
    <t xml:space="preserve">12%</t>
  </si>
  <si>
    <t xml:space="preserve">AGI</t>
  </si>
  <si>
    <t xml:space="preserve">22%</t>
  </si>
  <si>
    <t xml:space="preserve">Normal</t>
  </si>
  <si>
    <t xml:space="preserve">24%</t>
  </si>
  <si>
    <t xml:space="preserve">32%</t>
  </si>
  <si>
    <t xml:space="preserve">35%</t>
  </si>
  <si>
    <t xml:space="preserve">Benefit</t>
  </si>
  <si>
    <t xml:space="preserve">37%</t>
  </si>
  <si>
    <t xml:space="preserve">Phased</t>
  </si>
  <si>
    <t xml:space="preserve">AMT</t>
  </si>
  <si>
    <t xml:space="preserve">FAMTI</t>
  </si>
  <si>
    <t xml:space="preserve">26%</t>
  </si>
  <si>
    <t xml:space="preserve">28%</t>
  </si>
  <si>
    <t xml:space="preserve">Budget</t>
  </si>
  <si>
    <t xml:space="preserve">LONG-TERM CAPITAL GAINS</t>
  </si>
  <si>
    <t xml:space="preserve">MEDICARE SURTAX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</si>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</sst>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[$$-409]#,##0.00;[RED]\-[$$-409]#,##0.00"/>
    <numFmt numFmtId="167" formatCode="DD\-MMM\-YYYY"/>
    <numFmt numFmtId="168" formatCode="\$#,##0.0000"/>
    <numFmt numFmtId="169" formatCode="#,##0"/>
    <numFmt numFmtId="170" formatCode="#,##0.0"/>
    <numFmt numFmtId="171" formatCode="0.0"/>
    <numFmt numFmtId="172" formatCode="0.00"/>
    <numFmt numFmtId="173" formatCode="#,##0.00"/>
    <numFmt numFmtId="174" formatCode="0.0000"/>
    <numFmt numFmtId="175" formatCode="0"/>
    <numFmt numFmtId="176" formatCode="0%"/>
    <numFmt numFmtId="177" formatCode="0.00%"/>
    <numFmt numFmtId="178" formatCode="MM/DD/YY"/>
    <numFmt numFmtId="179" formatCode="[$$-409]#,##0;[RED]\-[$$-409]#,##0"/>
    <numFmt numFmtId="180" formatCode="0.0%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4.37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8.78"/>
    <col collapsed="false" customWidth="true" hidden="false" outlineLevel="0" max="9" min="9" style="0" width="12.36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 t="n">
        <v>10</v>
      </c>
      <c r="L1" s="3"/>
      <c r="M1" s="3"/>
      <c r="N1" s="3"/>
      <c r="O1" s="3"/>
      <c r="P1" s="3"/>
      <c r="Q1" s="3"/>
      <c r="R1" s="3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7"/>
      <c r="K3" s="6" t="s">
        <v>3</v>
      </c>
      <c r="L3" s="6" t="s">
        <v>12</v>
      </c>
      <c r="M3" s="6" t="s">
        <v>4</v>
      </c>
      <c r="N3" s="6" t="s">
        <v>5</v>
      </c>
      <c r="O3" s="6" t="s">
        <v>13</v>
      </c>
      <c r="P3" s="6" t="s">
        <v>14</v>
      </c>
      <c r="Q3" s="8" t="s">
        <v>15</v>
      </c>
      <c r="R3" s="8" t="s">
        <v>16</v>
      </c>
    </row>
    <row r="4" customFormat="false" ht="12.8" hidden="false" customHeight="false" outlineLevel="0" collapsed="false">
      <c r="A4" s="9" t="n">
        <v>42457</v>
      </c>
      <c r="B4" s="10" t="n">
        <v>0.0011</v>
      </c>
      <c r="C4" s="11" t="n">
        <v>30000</v>
      </c>
      <c r="D4" s="12" t="s">
        <v>17</v>
      </c>
      <c r="E4" s="13" t="n">
        <f aca="false">MAX(0,MIN(48*0.75,DATEDIF(A4,C18,"M")-12))</f>
        <v>36</v>
      </c>
      <c r="F4" s="14" t="n">
        <f aca="false">0.25*C4*IF(DATEDIF(A4,$C$18,"Y")&gt;=1, 1, 0) + 0.75*C4*IF(DATEDIF(A4,$C$18,"Y")&gt;=1, MIN(36,E4)/36, 0)</f>
        <v>30000</v>
      </c>
      <c r="G4" s="11" t="n">
        <v>30000</v>
      </c>
      <c r="H4" s="15" t="n">
        <f aca="false">IF(G4=F4, 0, IF(DATEDIF(A4,$C$18,"Y")&gt;=1, C4/48, 0))</f>
        <v>0</v>
      </c>
      <c r="I4" s="9" t="n">
        <f aca="false">DATE(YEAR(A4)+1, MONTH(A4)+(0.75*48), DAY(A4))</f>
        <v>43918</v>
      </c>
      <c r="J4" s="16"/>
      <c r="K4" s="9" t="n">
        <v>42457</v>
      </c>
      <c r="L4" s="9" t="n">
        <v>44001</v>
      </c>
      <c r="M4" s="10" t="n">
        <v>0.0011</v>
      </c>
      <c r="N4" s="11" t="n">
        <v>30000</v>
      </c>
      <c r="O4" s="17" t="n">
        <f aca="false">N4*M4</f>
        <v>33</v>
      </c>
      <c r="P4" s="18" t="n">
        <f aca="false">N4*K$1</f>
        <v>300000</v>
      </c>
      <c r="Q4" s="9" t="n">
        <f aca="false">MAX(DATE(YEAR(L4)+1,MONTH(L4),DAY(L4)),DATE(YEAR(K4)+2,MONTH(K4),DAY(K4)))</f>
        <v>44366</v>
      </c>
      <c r="R4" s="19" t="n">
        <f aca="false">IF($C$18&gt;Q4, P4*0.15, P4*0.35)</f>
        <v>105000</v>
      </c>
    </row>
    <row r="5" customFormat="false" ht="12.8" hidden="false" customHeight="false" outlineLevel="0" collapsed="false">
      <c r="A5" s="9" t="n">
        <v>43447</v>
      </c>
      <c r="B5" s="10" t="n">
        <v>0.0011</v>
      </c>
      <c r="C5" s="11" t="n">
        <v>123519</v>
      </c>
      <c r="D5" s="12" t="s">
        <v>18</v>
      </c>
      <c r="E5" s="13" t="n">
        <f aca="false">MAX(0,MIN(36,DATEDIF(A5,C18,"M")))</f>
        <v>26</v>
      </c>
      <c r="F5" s="14" t="n">
        <f aca="false">C5*0.35+(C5*0.65)*MIN(36,E5)/36</f>
        <v>101216.958333333</v>
      </c>
      <c r="G5" s="20" t="n">
        <v>83375</v>
      </c>
      <c r="H5" s="15" t="n">
        <f aca="false">IF(G5=F5, 0, C5/36)</f>
        <v>3431.08333333333</v>
      </c>
      <c r="I5" s="9" t="n">
        <f aca="false">DATE(YEAR(A5), MONTH(A5)+36, DAY(A5))</f>
        <v>44543</v>
      </c>
      <c r="J5" s="21"/>
      <c r="K5" s="9" t="n">
        <v>43447</v>
      </c>
      <c r="L5" s="9" t="n">
        <v>44001</v>
      </c>
      <c r="M5" s="10" t="n">
        <v>0.0011</v>
      </c>
      <c r="N5" s="20" t="n">
        <v>83375</v>
      </c>
      <c r="O5" s="17" t="n">
        <f aca="false">M5*N5</f>
        <v>91.7125</v>
      </c>
      <c r="P5" s="18" t="n">
        <f aca="false">N5*K$1</f>
        <v>833750</v>
      </c>
      <c r="Q5" s="9" t="n">
        <f aca="false">MAX(DATE(YEAR(L5)+1,MONTH(L5),DAY(L5)),DATE(YEAR(K5)+2,MONTH(K5),DAY(K5)))</f>
        <v>44366</v>
      </c>
      <c r="R5" s="19" t="n">
        <f aca="false">IF($C$18&gt;Q5, P5*0.15, P5*0.35)</f>
        <v>291812.5</v>
      </c>
    </row>
    <row r="6" customFormat="false" ht="12.8" hidden="false" customHeight="false" outlineLevel="0" collapsed="false">
      <c r="A6" s="9" t="n">
        <v>43602</v>
      </c>
      <c r="B6" s="10" t="n">
        <v>0.0011</v>
      </c>
      <c r="C6" s="11" t="n">
        <v>38380</v>
      </c>
      <c r="D6" s="12" t="s">
        <v>17</v>
      </c>
      <c r="E6" s="13" t="n">
        <f aca="false">MAX(0,MIN(48*0.75,DATEDIF(A6,C18,"M")-12))</f>
        <v>9</v>
      </c>
      <c r="F6" s="14" t="n">
        <f aca="false">0.25*C6*IF(DATEDIF(A6,$C$18,"Y")&gt;=1, 1, 0) + 0.75*C6*IF(DATEDIF(A6,$C$18,"Y")&gt;=1, MIN(36,E6)/36, 0)</f>
        <v>16791.25</v>
      </c>
      <c r="G6" s="20" t="n">
        <v>10394</v>
      </c>
      <c r="H6" s="15" t="n">
        <f aca="false">IF(G6=F6, 0, IF(DATEDIF(A6,$C$18,"Y")&gt;=1, C6/48, 0))</f>
        <v>799.583333333333</v>
      </c>
      <c r="I6" s="9" t="n">
        <f aca="false">DATE(YEAR(A6)+1, MONTH(A6)+(48*0.75), DAY(A6))</f>
        <v>45063</v>
      </c>
      <c r="J6" s="21"/>
      <c r="K6" s="22" t="n">
        <v>43602</v>
      </c>
      <c r="L6" s="22" t="n">
        <v>44001</v>
      </c>
      <c r="M6" s="23" t="n">
        <v>0.0011</v>
      </c>
      <c r="N6" s="24" t="n">
        <v>10394</v>
      </c>
      <c r="O6" s="25" t="n">
        <f aca="false">M6*N6</f>
        <v>11.4334</v>
      </c>
      <c r="P6" s="26" t="n">
        <f aca="false">N6*K$1</f>
        <v>103940</v>
      </c>
      <c r="Q6" s="22" t="n">
        <f aca="false">MAX(DATE(YEAR(L6)+1,MONTH(L6),DAY(L6)),DATE(YEAR(K6)+2,MONTH(K6),DAY(K6)))</f>
        <v>44366</v>
      </c>
      <c r="R6" s="27" t="n">
        <f aca="false">IF($C$18&gt;Q6, P6*0.15, P6*0.35)</f>
        <v>36379</v>
      </c>
    </row>
    <row r="7" customFormat="false" ht="12.8" hidden="false" customHeight="false" outlineLevel="0" collapsed="false">
      <c r="A7" s="9" t="n">
        <v>43769</v>
      </c>
      <c r="B7" s="10" t="n">
        <v>0.0011</v>
      </c>
      <c r="C7" s="11" t="n">
        <v>138965</v>
      </c>
      <c r="D7" s="12" t="s">
        <v>17</v>
      </c>
      <c r="E7" s="13" t="n">
        <f aca="false">MAX(0,MIN(48*0.75,DATEDIF(A7,C18,"M")-12))</f>
        <v>3</v>
      </c>
      <c r="F7" s="14" t="n">
        <f aca="false">0.25*C7*IF(DATEDIF(A7,$C$18,"Y")&gt;=1, 1, 0) + 0.75*C7*IF(DATEDIF(A7,$C$18,"Y")&gt;=1, MIN(36,E7)/36, 0)</f>
        <v>43426.5625</v>
      </c>
      <c r="G7" s="11" t="n">
        <v>0</v>
      </c>
      <c r="H7" s="15" t="n">
        <f aca="false">IF(G7=F7, 0, IF(DATEDIF(A7,$C$18,"Y")&gt;=1, C7/48, 0))</f>
        <v>2895.10416666667</v>
      </c>
      <c r="I7" s="9" t="n">
        <f aca="false">DATE(YEAR(A7)+1, MONTH(A7)+(48*0.75), DAY(A7))</f>
        <v>45230</v>
      </c>
      <c r="J7" s="16"/>
    </row>
    <row r="8" customFormat="false" ht="12.8" hidden="false" customHeight="false" outlineLevel="0" collapsed="false">
      <c r="A8" s="13"/>
      <c r="B8" s="10"/>
      <c r="C8" s="11"/>
      <c r="D8" s="11"/>
      <c r="E8" s="13"/>
      <c r="F8" s="14"/>
      <c r="G8" s="11"/>
      <c r="H8" s="13"/>
      <c r="I8" s="13"/>
      <c r="J8" s="16"/>
      <c r="K8" s="9" t="n">
        <v>43447</v>
      </c>
      <c r="L8" s="28" t="n">
        <v>44256</v>
      </c>
      <c r="M8" s="10" t="n">
        <v>0.0011</v>
      </c>
      <c r="N8" s="11" t="n">
        <f aca="false">F5-G5</f>
        <v>17841.9583333333</v>
      </c>
      <c r="O8" s="17" t="n">
        <f aca="false">M8*N8</f>
        <v>19.6261541666667</v>
      </c>
      <c r="P8" s="18" t="n">
        <f aca="false">N8*K$1</f>
        <v>178419.583333333</v>
      </c>
      <c r="Q8" s="9" t="n">
        <f aca="false">MAX(DATE(YEAR(L8)+1,MONTH(L8),DAY(L8)),DATE(YEAR(K8)+2,MONTH(K8),DAY(K8)))</f>
        <v>44621</v>
      </c>
      <c r="R8" s="19" t="n">
        <f aca="false">IF($C$18&gt;Q8, P8*0.15, P8*0.35)</f>
        <v>62446.8541666667</v>
      </c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29"/>
      <c r="K9" s="9" t="n">
        <v>43602</v>
      </c>
      <c r="L9" s="28" t="n">
        <v>44256</v>
      </c>
      <c r="M9" s="10" t="n">
        <v>0.0011</v>
      </c>
      <c r="N9" s="11" t="n">
        <f aca="false">F6-G6</f>
        <v>6397.25</v>
      </c>
      <c r="O9" s="17" t="n">
        <f aca="false">M9*N9</f>
        <v>7.036975</v>
      </c>
      <c r="P9" s="18" t="n">
        <f aca="false">N9*K$1</f>
        <v>63972.5</v>
      </c>
      <c r="Q9" s="9" t="n">
        <f aca="false">MAX(DATE(YEAR(L9)+1,MONTH(L9),DAY(L9)),DATE(YEAR(K9)+2,MONTH(K9),DAY(K9)))</f>
        <v>44621</v>
      </c>
      <c r="R9" s="19" t="n">
        <f aca="false">IF($C$18&gt;Q9, P9*0.15, P9*0.35)</f>
        <v>22390.375</v>
      </c>
    </row>
    <row r="10" customFormat="false" ht="12.8" hidden="false" customHeight="false" outlineLevel="0" collapsed="false">
      <c r="A10" s="30"/>
      <c r="B10" s="13"/>
      <c r="C10" s="13"/>
      <c r="D10" s="13"/>
      <c r="E10" s="13"/>
      <c r="F10" s="13"/>
      <c r="G10" s="13"/>
      <c r="H10" s="13"/>
      <c r="I10" s="13"/>
      <c r="J10" s="29"/>
      <c r="K10" s="9" t="n">
        <v>43769</v>
      </c>
      <c r="L10" s="28" t="n">
        <v>44256</v>
      </c>
      <c r="M10" s="10" t="n">
        <v>0.0011</v>
      </c>
      <c r="N10" s="11" t="n">
        <f aca="false">F7-G7</f>
        <v>43426.5625</v>
      </c>
      <c r="O10" s="17" t="n">
        <f aca="false">M10*N10</f>
        <v>47.76921875</v>
      </c>
      <c r="P10" s="18" t="n">
        <f aca="false">N10*K$1</f>
        <v>434265.625</v>
      </c>
      <c r="Q10" s="9" t="n">
        <f aca="false">MAX(DATE(YEAR(L10)+1,MONTH(L10),DAY(L10)),DATE(YEAR(K10)+2,MONTH(K10),DAY(K10)))</f>
        <v>44621</v>
      </c>
      <c r="R10" s="19" t="n">
        <f aca="false">IF($C$18&gt;Q10, P10*0.15, P10*0.35)</f>
        <v>151992.96875</v>
      </c>
    </row>
    <row r="11" customFormat="false" ht="12.8" hidden="false" customHeight="false" outlineLevel="0" collapsed="false">
      <c r="A11" s="11"/>
      <c r="B11" s="13"/>
      <c r="C11" s="13"/>
      <c r="D11" s="13"/>
      <c r="E11" s="13"/>
      <c r="F11" s="13"/>
      <c r="G11" s="13"/>
      <c r="H11" s="13"/>
      <c r="I11" s="13"/>
      <c r="J11" s="29"/>
      <c r="K11" s="13"/>
      <c r="L11" s="13"/>
      <c r="M11" s="13"/>
      <c r="N11" s="11"/>
      <c r="O11" s="17"/>
      <c r="P11" s="18"/>
      <c r="Q11" s="13"/>
      <c r="R11" s="13"/>
    </row>
    <row r="12" customFormat="false" ht="12.8" hidden="false" customHeight="false" outlineLevel="0" collapsed="false">
      <c r="A12" s="31"/>
      <c r="B12" s="30"/>
      <c r="C12" s="13"/>
      <c r="D12" s="13"/>
      <c r="E12" s="13"/>
      <c r="F12" s="13"/>
      <c r="G12" s="13"/>
      <c r="H12" s="13"/>
      <c r="I12" s="13"/>
      <c r="J12" s="29"/>
      <c r="K12" s="13"/>
      <c r="L12" s="13"/>
      <c r="M12" s="13"/>
      <c r="N12" s="18"/>
      <c r="O12" s="17"/>
      <c r="P12" s="13"/>
      <c r="Q12" s="13"/>
      <c r="R12" s="13"/>
    </row>
    <row r="13" customFormat="false" ht="12.8" hidden="false" customHeight="false" outlineLevel="0" collapsed="false">
      <c r="A13" s="32"/>
      <c r="B13" s="33"/>
      <c r="C13" s="8"/>
      <c r="D13" s="13"/>
      <c r="E13" s="13"/>
      <c r="F13" s="8"/>
      <c r="G13" s="8"/>
      <c r="H13" s="8"/>
      <c r="I13" s="8"/>
      <c r="J13" s="34"/>
      <c r="K13" s="13"/>
      <c r="L13" s="13"/>
      <c r="M13" s="13"/>
      <c r="N13" s="18"/>
      <c r="O13" s="17"/>
      <c r="P13" s="13"/>
      <c r="Q13" s="13"/>
      <c r="R13" s="13"/>
    </row>
    <row r="14" customFormat="false" ht="12.8" hidden="false" customHeight="false" outlineLevel="0" collapsed="false">
      <c r="A14" s="9"/>
      <c r="B14" s="10"/>
      <c r="C14" s="11"/>
      <c r="D14" s="13"/>
      <c r="E14" s="13"/>
      <c r="F14" s="13"/>
      <c r="G14" s="13"/>
      <c r="H14" s="13"/>
      <c r="I14" s="13"/>
      <c r="J14" s="29"/>
      <c r="K14" s="13"/>
      <c r="L14" s="13"/>
      <c r="M14" s="13"/>
      <c r="N14" s="18"/>
      <c r="O14" s="17"/>
      <c r="P14" s="13"/>
      <c r="Q14" s="13"/>
      <c r="R14" s="13"/>
    </row>
    <row r="15" customFormat="false" ht="12.8" hidden="false" customHeight="false" outlineLevel="0" collapsed="false">
      <c r="A15" s="9"/>
      <c r="B15" s="10"/>
      <c r="C15" s="11"/>
      <c r="D15" s="13"/>
      <c r="E15" s="13"/>
      <c r="F15" s="13"/>
      <c r="G15" s="13"/>
      <c r="H15" s="13"/>
      <c r="I15" s="13"/>
      <c r="J15" s="29"/>
      <c r="K15" s="13"/>
      <c r="L15" s="13"/>
      <c r="M15" s="13"/>
      <c r="N15" s="18"/>
      <c r="O15" s="13"/>
      <c r="P15" s="13"/>
      <c r="Q15" s="13"/>
      <c r="R15" s="13"/>
    </row>
    <row r="16" customFormat="false" ht="15" hidden="false" customHeight="false" outlineLevel="0" collapsed="false">
      <c r="A16" s="35" t="str">
        <f aca="false">"Grants: "&amp;COUNT(A4:A7)</f>
        <v>Grants: 4</v>
      </c>
      <c r="B16" s="36"/>
      <c r="C16" s="37" t="n">
        <f aca="false">SUM(C4:C7)</f>
        <v>330864</v>
      </c>
      <c r="D16" s="37"/>
      <c r="E16" s="38"/>
      <c r="F16" s="39" t="n">
        <f aca="false">SUM(F4:F8)</f>
        <v>191434.770833333</v>
      </c>
      <c r="G16" s="37" t="n">
        <f aca="false">SUM(G4:G8)</f>
        <v>123769</v>
      </c>
      <c r="H16" s="40"/>
      <c r="I16" s="40"/>
      <c r="J16" s="41"/>
      <c r="K16" s="42" t="s">
        <v>19</v>
      </c>
      <c r="L16" s="42"/>
      <c r="M16" s="42"/>
      <c r="N16" s="42"/>
      <c r="O16" s="42"/>
      <c r="P16" s="43" t="n">
        <f aca="false">SUM(P4:P10)</f>
        <v>1914347.70833333</v>
      </c>
      <c r="Q16" s="43"/>
      <c r="R16" s="43"/>
    </row>
    <row r="17" customFormat="false" ht="15" hidden="false" customHeight="false" outlineLevel="0" collapsed="false">
      <c r="A17" s="44" t="s">
        <v>20</v>
      </c>
      <c r="B17" s="45"/>
      <c r="C17" s="46" t="n">
        <f aca="false">SUM(H4:H7)</f>
        <v>7125.77083333333</v>
      </c>
      <c r="D17" s="46"/>
      <c r="E17" s="47"/>
      <c r="F17" s="48" t="n">
        <f aca="false">F16/C16</f>
        <v>0.578590511005529</v>
      </c>
      <c r="G17" s="48" t="n">
        <f aca="false">G16/F16</f>
        <v>0.646533539655424</v>
      </c>
      <c r="H17" s="47"/>
      <c r="I17" s="47"/>
      <c r="J17" s="49"/>
      <c r="K17" s="42" t="s">
        <v>21</v>
      </c>
      <c r="L17" s="42"/>
      <c r="M17" s="42"/>
      <c r="N17" s="42"/>
      <c r="O17" s="42"/>
      <c r="P17" s="50" t="n">
        <f aca="false">SUM(R4:R10)</f>
        <v>670021.697916667</v>
      </c>
      <c r="Q17" s="50"/>
      <c r="R17" s="50"/>
    </row>
    <row r="18" customFormat="false" ht="22.05" hidden="false" customHeight="false" outlineLevel="0" collapsed="false">
      <c r="A18" s="9"/>
      <c r="B18" s="8" t="s">
        <v>22</v>
      </c>
      <c r="C18" s="51" t="n">
        <f aca="true">TODAY()</f>
        <v>44250</v>
      </c>
      <c r="D18" s="11"/>
      <c r="E18" s="13"/>
      <c r="F18" s="13"/>
      <c r="G18" s="13"/>
      <c r="H18" s="13"/>
      <c r="I18" s="13"/>
      <c r="J18" s="13"/>
      <c r="K18" s="52" t="s">
        <v>23</v>
      </c>
      <c r="L18" s="52"/>
      <c r="M18" s="52"/>
      <c r="N18" s="52"/>
      <c r="O18" s="52"/>
      <c r="P18" s="53" t="n">
        <f aca="false">P16-P17</f>
        <v>1244326.01041667</v>
      </c>
      <c r="Q18" s="53"/>
      <c r="R18" s="53"/>
    </row>
    <row r="19" customFormat="false" ht="15" hidden="false" customHeight="false" outlineLevel="0" collapsed="false">
      <c r="A19" s="9"/>
      <c r="B19" s="8"/>
      <c r="C19" s="51"/>
      <c r="D19" s="11"/>
      <c r="E19" s="13"/>
      <c r="F19" s="13"/>
      <c r="G19" s="13"/>
      <c r="H19" s="13"/>
      <c r="I19" s="13"/>
      <c r="J19" s="13"/>
      <c r="K19" s="54" t="s">
        <v>24</v>
      </c>
      <c r="L19" s="54"/>
      <c r="M19" s="54"/>
      <c r="N19" s="54"/>
      <c r="O19" s="54"/>
      <c r="P19" s="55" t="n">
        <f aca="false">(C16-F16)*K1*0.65</f>
        <v>906289.989583333</v>
      </c>
      <c r="Q19" s="55"/>
      <c r="R19" s="55"/>
    </row>
  </sheetData>
  <mergeCells count="12">
    <mergeCell ref="A1:I1"/>
    <mergeCell ref="K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0.77"/>
    <col collapsed="false" customWidth="true" hidden="false" outlineLevel="0" max="3" min="3" style="0" width="11.78"/>
    <col collapsed="false" customWidth="true" hidden="false" outlineLevel="0" max="4" min="4" style="0" width="7.49"/>
    <col collapsed="false" customWidth="true" hidden="false" outlineLevel="0" max="5" min="5" style="0" width="9.12"/>
    <col collapsed="false" customWidth="true" hidden="false" outlineLevel="0" max="6" min="6" style="0" width="10.73"/>
    <col collapsed="false" customWidth="true" hidden="false" outlineLevel="0" max="7" min="7" style="0" width="6.69"/>
    <col collapsed="false" customWidth="true" hidden="false" outlineLevel="0" max="11" min="8" style="0" width="5.17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25</v>
      </c>
      <c r="B2" s="56" t="n">
        <v>12550</v>
      </c>
    </row>
    <row r="3" customFormat="false" ht="12.8" hidden="false" customHeight="false" outlineLevel="0" collapsed="false">
      <c r="A3" s="0" t="s">
        <v>26</v>
      </c>
      <c r="B3" s="0" t="n">
        <v>73600</v>
      </c>
    </row>
    <row r="4" customFormat="false" ht="12.8" hidden="false" customHeight="false" outlineLevel="0" collapsed="false">
      <c r="A4" s="0" t="s">
        <v>27</v>
      </c>
      <c r="B4" s="0" t="n">
        <v>523600</v>
      </c>
      <c r="F4" s="57"/>
    </row>
    <row r="5" customFormat="false" ht="12.8" hidden="false" customHeight="false" outlineLevel="0" collapsed="false">
      <c r="A5" s="0" t="s">
        <v>28</v>
      </c>
      <c r="B5" s="58" t="n">
        <v>0.25</v>
      </c>
      <c r="F5" s="57"/>
    </row>
    <row r="7" customFormat="false" ht="12.8" hidden="false" customHeight="false" outlineLevel="0" collapsed="false">
      <c r="A7" s="59" t="s">
        <v>29</v>
      </c>
      <c r="B7" s="59"/>
      <c r="C7" s="59"/>
      <c r="E7" s="0" t="s">
        <v>30</v>
      </c>
      <c r="F7" s="56" t="n">
        <v>150000</v>
      </c>
    </row>
    <row r="8" customFormat="false" ht="12.8" hidden="false" customHeight="false" outlineLevel="0" collapsed="false">
      <c r="A8" s="60" t="s">
        <v>31</v>
      </c>
      <c r="B8" s="60" t="s">
        <v>32</v>
      </c>
      <c r="C8" s="60" t="s">
        <v>33</v>
      </c>
      <c r="D8" s="60"/>
      <c r="E8" s="0" t="s">
        <v>34</v>
      </c>
      <c r="F8" s="56" t="n">
        <v>0</v>
      </c>
    </row>
    <row r="9" customFormat="false" ht="12.8" hidden="false" customHeight="false" outlineLevel="0" collapsed="false">
      <c r="A9" s="61" t="s">
        <v>35</v>
      </c>
      <c r="B9" s="62" t="n">
        <v>9950</v>
      </c>
      <c r="C9" s="63" t="n">
        <f aca="false">IF($F$10&gt;$B9,($B9-0)*A9,($F$10-0)*$A9)</f>
        <v>995</v>
      </c>
      <c r="D9" s="64"/>
      <c r="E9" s="0" t="s">
        <v>36</v>
      </c>
      <c r="F9" s="56" t="n">
        <v>1250000</v>
      </c>
    </row>
    <row r="10" customFormat="false" ht="12.8" hidden="false" customHeight="false" outlineLevel="0" collapsed="false">
      <c r="A10" s="61" t="s">
        <v>37</v>
      </c>
      <c r="B10" s="62" t="n">
        <v>40525</v>
      </c>
      <c r="C10" s="63" t="n">
        <f aca="false">MAX(0,IF($F$10&gt;B9,MIN((B10-B9),($F$10-B9))*A10, 0))</f>
        <v>3669</v>
      </c>
      <c r="D10" s="64"/>
      <c r="E10" s="0" t="s">
        <v>38</v>
      </c>
      <c r="F10" s="56" t="n">
        <f aca="false">F7-B2+F8</f>
        <v>137450</v>
      </c>
    </row>
    <row r="11" customFormat="false" ht="12.8" hidden="false" customHeight="false" outlineLevel="0" collapsed="false">
      <c r="A11" s="61" t="s">
        <v>39</v>
      </c>
      <c r="B11" s="62" t="n">
        <v>86375</v>
      </c>
      <c r="C11" s="63" t="n">
        <f aca="false">MAX(0,IF($F$10&gt;B10,MIN((B11-B10),($F$10-B10))*A11, 0))</f>
        <v>10087</v>
      </c>
      <c r="D11" s="64"/>
      <c r="E11" s="0" t="s">
        <v>40</v>
      </c>
      <c r="F11" s="65" t="n">
        <f aca="false">SUM(C9:C15)+SUM(C24:C26)+SUM(C30:C31)</f>
        <v>214509</v>
      </c>
    </row>
    <row r="12" customFormat="false" ht="12.8" hidden="false" customHeight="false" outlineLevel="0" collapsed="false">
      <c r="A12" s="61" t="s">
        <v>41</v>
      </c>
      <c r="B12" s="62" t="n">
        <v>164925</v>
      </c>
      <c r="C12" s="63" t="n">
        <f aca="false">MAX(0,IF($F$10&gt;B11,MIN((B12-B11),($F$10-B11))*A12, 0))</f>
        <v>12258</v>
      </c>
      <c r="D12" s="64"/>
      <c r="E12" s="0" t="s">
        <v>31</v>
      </c>
      <c r="F12" s="66" t="n">
        <f aca="false">F11/(F7+F8+F9)</f>
        <v>0.153220714285714</v>
      </c>
    </row>
    <row r="13" customFormat="false" ht="12.8" hidden="false" customHeight="false" outlineLevel="0" collapsed="false">
      <c r="A13" s="61" t="s">
        <v>42</v>
      </c>
      <c r="B13" s="62" t="n">
        <v>209425</v>
      </c>
      <c r="C13" s="63" t="n">
        <f aca="false">MAX(0,IF($F$10&gt;B12,MIN((B13-B12),($F$10-B12))*A13, 0))</f>
        <v>0</v>
      </c>
      <c r="D13" s="64"/>
      <c r="F13" s="56"/>
      <c r="G13" s="57"/>
    </row>
    <row r="14" customFormat="false" ht="12.8" hidden="false" customHeight="false" outlineLevel="0" collapsed="false">
      <c r="A14" s="61" t="s">
        <v>43</v>
      </c>
      <c r="B14" s="62" t="n">
        <v>523600</v>
      </c>
      <c r="C14" s="63" t="n">
        <f aca="false">MAX(0,IF($F$10&gt;B13,MIN((B14-B13),($F$10-B13))*A14, 0))</f>
        <v>0</v>
      </c>
      <c r="D14" s="64"/>
      <c r="E14" s="0" t="s">
        <v>44</v>
      </c>
      <c r="F14" s="56" t="n">
        <v>0</v>
      </c>
    </row>
    <row r="15" customFormat="false" ht="12.8" hidden="false" customHeight="false" outlineLevel="0" collapsed="false">
      <c r="A15" s="61" t="s">
        <v>45</v>
      </c>
      <c r="B15" s="63"/>
      <c r="C15" s="63" t="n">
        <f aca="false">MAX(0,IF($F$10&gt;B14,($F$10-B14)*A15, 0))</f>
        <v>0</v>
      </c>
      <c r="D15" s="64"/>
      <c r="E15" s="0" t="s">
        <v>30</v>
      </c>
      <c r="F15" s="56" t="n">
        <f aca="false">F7+F8+F9+F14</f>
        <v>1400000</v>
      </c>
    </row>
    <row r="16" customFormat="false" ht="12.8" hidden="false" customHeight="false" outlineLevel="0" collapsed="false">
      <c r="E16" s="0" t="s">
        <v>46</v>
      </c>
      <c r="F16" s="56" t="n">
        <f aca="false">MIN(B3,MAX(0,B5*(F15-B4)))</f>
        <v>73600</v>
      </c>
    </row>
    <row r="17" customFormat="false" ht="12.8" hidden="false" customHeight="false" outlineLevel="0" collapsed="false">
      <c r="A17" s="59" t="s">
        <v>47</v>
      </c>
      <c r="B17" s="59"/>
      <c r="C17" s="59"/>
      <c r="E17" s="64" t="s">
        <v>48</v>
      </c>
      <c r="F17" s="56" t="n">
        <f aca="false">F15-B3+F16</f>
        <v>1400000</v>
      </c>
    </row>
    <row r="18" customFormat="false" ht="12.8" hidden="false" customHeight="false" outlineLevel="0" collapsed="false">
      <c r="A18" s="60" t="s">
        <v>31</v>
      </c>
      <c r="B18" s="60" t="s">
        <v>32</v>
      </c>
      <c r="C18" s="67" t="s">
        <v>33</v>
      </c>
      <c r="E18" s="64" t="s">
        <v>47</v>
      </c>
      <c r="F18" s="65" t="n">
        <f aca="false">C19+C20</f>
        <v>388002</v>
      </c>
    </row>
    <row r="19" customFormat="false" ht="12.8" hidden="false" customHeight="false" outlineLevel="0" collapsed="false">
      <c r="A19" s="61" t="s">
        <v>49</v>
      </c>
      <c r="B19" s="62" t="n">
        <v>199900</v>
      </c>
      <c r="C19" s="57" t="n">
        <f aca="false">MIN(B19,F17)*A19</f>
        <v>51974</v>
      </c>
      <c r="E19" s="64" t="s">
        <v>31</v>
      </c>
      <c r="F19" s="66" t="n">
        <f aca="false">F18/F15</f>
        <v>0.277144285714286</v>
      </c>
    </row>
    <row r="20" customFormat="false" ht="12.8" hidden="false" customHeight="false" outlineLevel="0" collapsed="false">
      <c r="A20" s="61" t="s">
        <v>50</v>
      </c>
      <c r="B20" s="63"/>
      <c r="C20" s="57" t="n">
        <f aca="false">MAX(0,IF(F$17&gt;B19,(F$17-B19)*A20, 0))</f>
        <v>336028</v>
      </c>
      <c r="E20" s="64"/>
      <c r="F20" s="56"/>
    </row>
    <row r="21" customFormat="false" ht="12.8" hidden="false" customHeight="false" outlineLevel="0" collapsed="false">
      <c r="E21" s="64" t="s">
        <v>51</v>
      </c>
      <c r="F21" s="56" t="n">
        <f aca="false">IF(F11&gt;F18,(F11-F18)/A19,0)</f>
        <v>0</v>
      </c>
    </row>
    <row r="22" customFormat="false" ht="12.8" hidden="false" customHeight="false" outlineLevel="0" collapsed="false">
      <c r="A22" s="68" t="s">
        <v>52</v>
      </c>
      <c r="B22" s="68"/>
      <c r="C22" s="68"/>
    </row>
    <row r="23" customFormat="false" ht="12.8" hidden="false" customHeight="false" outlineLevel="0" collapsed="false">
      <c r="A23" s="60" t="s">
        <v>31</v>
      </c>
      <c r="B23" s="60" t="s">
        <v>32</v>
      </c>
      <c r="C23" s="67" t="s">
        <v>33</v>
      </c>
    </row>
    <row r="24" customFormat="false" ht="12.8" hidden="false" customHeight="false" outlineLevel="0" collapsed="false">
      <c r="A24" s="69" t="n">
        <v>0</v>
      </c>
      <c r="B24" s="62" t="n">
        <v>40400</v>
      </c>
      <c r="C24" s="57" t="n">
        <f aca="false">IF(F$7&lt;=B24, F$9*A24, 0)</f>
        <v>0</v>
      </c>
    </row>
    <row r="25" customFormat="false" ht="12.8" hidden="false" customHeight="false" outlineLevel="0" collapsed="false">
      <c r="A25" s="69" t="n">
        <v>0.15</v>
      </c>
      <c r="B25" s="63" t="n">
        <v>445850</v>
      </c>
      <c r="C25" s="57" t="n">
        <f aca="false">IF(F$7&lt;=B24, 0, IF(F$7&lt;=B25, F$9*A25, 0))</f>
        <v>187500</v>
      </c>
    </row>
    <row r="26" customFormat="false" ht="12.8" hidden="false" customHeight="false" outlineLevel="0" collapsed="false">
      <c r="A26" s="70" t="n">
        <v>0.2</v>
      </c>
      <c r="C26" s="57" t="n">
        <f aca="false">IF(F$7&lt;=B24, 0, IF(F$7&lt;=B25, 0, F$9*A26))</f>
        <v>0</v>
      </c>
    </row>
    <row r="28" customFormat="false" ht="12.8" hidden="false" customHeight="false" outlineLevel="0" collapsed="false">
      <c r="A28" s="68" t="s">
        <v>53</v>
      </c>
      <c r="B28" s="68"/>
      <c r="C28" s="68"/>
    </row>
    <row r="29" customFormat="false" ht="12.8" hidden="false" customHeight="false" outlineLevel="0" collapsed="false">
      <c r="A29" s="60" t="s">
        <v>31</v>
      </c>
      <c r="B29" s="60" t="s">
        <v>32</v>
      </c>
      <c r="C29" s="67" t="s">
        <v>33</v>
      </c>
    </row>
    <row r="30" customFormat="false" ht="12.8" hidden="false" customHeight="false" outlineLevel="0" collapsed="false">
      <c r="A30" s="71" t="n">
        <v>0</v>
      </c>
      <c r="B30" s="62" t="n">
        <v>200000</v>
      </c>
      <c r="C30" s="57" t="n">
        <f aca="false">IF(F$7&lt;=B30, F$9*A30, 0)</f>
        <v>0</v>
      </c>
    </row>
    <row r="31" customFormat="false" ht="12.8" hidden="false" customHeight="false" outlineLevel="0" collapsed="false">
      <c r="A31" s="71" t="n">
        <v>0.038</v>
      </c>
      <c r="C31" s="57" t="n">
        <f aca="false">IF(F$7&gt;B30, F$9*A31, 0)</f>
        <v>0</v>
      </c>
    </row>
  </sheetData>
  <mergeCells count="4">
    <mergeCell ref="A7:C7"/>
    <mergeCell ref="A17:C17"/>
    <mergeCell ref="A22:C22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72" width="13.1"/>
    <col collapsed="false" customWidth="true" hidden="false" outlineLevel="0" max="2" min="2" style="72" width="7.82"/>
    <col collapsed="false" customWidth="true" hidden="false" outlineLevel="0" max="3" min="3" style="72" width="11.43"/>
    <col collapsed="false" customWidth="true" hidden="false" outlineLevel="0" max="4" min="4" style="73" width="5.88"/>
    <col collapsed="false" customWidth="true" hidden="false" outlineLevel="0" max="5" min="5" style="72" width="18.38"/>
    <col collapsed="false" customWidth="true" hidden="false" outlineLevel="0" max="6" min="6" style="72" width="4.63"/>
    <col collapsed="false" customWidth="true" hidden="false" outlineLevel="0" max="7" min="7" style="72" width="4.48"/>
    <col collapsed="false" customWidth="true" hidden="false" outlineLevel="0" max="8" min="8" style="72" width="13.65"/>
    <col collapsed="false" customWidth="true" hidden="false" outlineLevel="0" max="9" min="9" style="72" width="11.43"/>
    <col collapsed="false" customWidth="true" hidden="false" outlineLevel="0" max="10" min="10" style="72" width="6.16"/>
    <col collapsed="false" customWidth="true" hidden="false" outlineLevel="0" max="11" min="11" style="72" width="16.87"/>
    <col collapsed="false" customWidth="true" hidden="false" outlineLevel="0" max="12" min="12" style="72" width="5.42"/>
    <col collapsed="false" customWidth="true" hidden="false" outlineLevel="0" max="13" min="13" style="72" width="13.1"/>
    <col collapsed="false" customWidth="true" hidden="false" outlineLevel="0" max="14" min="14" style="72" width="12.13"/>
    <col collapsed="false" customWidth="true" hidden="false" outlineLevel="0" max="15" min="15" style="72" width="7.68"/>
    <col collapsed="false" customWidth="true" hidden="false" outlineLevel="0" max="16" min="16" style="72" width="9.07"/>
    <col collapsed="false" customWidth="true" hidden="false" outlineLevel="0" max="17" min="17" style="72" width="6.98"/>
    <col collapsed="false" customWidth="true" hidden="false" outlineLevel="0" max="18" min="18" style="72" width="17.4"/>
    <col collapsed="false" customWidth="true" hidden="false" outlineLevel="0" max="1025" min="19" style="72" width="14.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2.5</v>
      </c>
      <c r="N1" s="3"/>
      <c r="O1" s="3"/>
      <c r="P1" s="3"/>
      <c r="Q1" s="3"/>
      <c r="R1" s="3"/>
      <c r="S1" s="3"/>
      <c r="T1" s="3"/>
      <c r="U1" s="8"/>
      <c r="V1" s="0"/>
      <c r="W1" s="0"/>
      <c r="X1" s="8"/>
      <c r="Y1" s="8"/>
      <c r="Z1" s="8"/>
      <c r="AA1" s="8"/>
      <c r="AB1" s="8"/>
      <c r="AC1" s="8"/>
      <c r="AD1" s="8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N2" s="5"/>
      <c r="O2" s="5"/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65" hidden="false" customHeight="true" outlineLevel="0" collapsed="false">
      <c r="A3" s="6" t="s">
        <v>3</v>
      </c>
      <c r="B3" s="6" t="s">
        <v>4</v>
      </c>
      <c r="C3" s="6" t="s">
        <v>5</v>
      </c>
      <c r="D3" s="6" t="s">
        <v>54</v>
      </c>
      <c r="E3" s="6" t="s">
        <v>6</v>
      </c>
      <c r="F3" s="6" t="s">
        <v>55</v>
      </c>
      <c r="G3" s="6" t="s">
        <v>7</v>
      </c>
      <c r="H3" s="6" t="s">
        <v>8</v>
      </c>
      <c r="I3" s="6" t="s">
        <v>9</v>
      </c>
      <c r="J3" s="6" t="s">
        <v>56</v>
      </c>
      <c r="K3" s="6" t="s">
        <v>57</v>
      </c>
      <c r="L3" s="7"/>
      <c r="M3" s="6" t="s">
        <v>3</v>
      </c>
      <c r="N3" s="6" t="s">
        <v>12</v>
      </c>
      <c r="O3" s="6" t="s">
        <v>4</v>
      </c>
      <c r="P3" s="6" t="s">
        <v>5</v>
      </c>
      <c r="Q3" s="6" t="s">
        <v>13</v>
      </c>
      <c r="R3" s="6" t="s">
        <v>14</v>
      </c>
      <c r="S3" s="8" t="s">
        <v>15</v>
      </c>
      <c r="T3" s="8" t="s">
        <v>16</v>
      </c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5.85" hidden="false" customHeight="true" outlineLevel="0" collapsed="false">
      <c r="A4" s="9" t="n">
        <v>42457</v>
      </c>
      <c r="B4" s="10" t="n">
        <v>0.0011</v>
      </c>
      <c r="C4" s="11" t="n">
        <v>30000</v>
      </c>
      <c r="D4" s="74" t="n">
        <v>1</v>
      </c>
      <c r="E4" s="12" t="s">
        <v>17</v>
      </c>
      <c r="F4" s="75" t="n">
        <f aca="false">DATEDIF(A4,C18,"Y")</f>
        <v>4</v>
      </c>
      <c r="G4" s="13" t="n">
        <f aca="false">MAX(0,MIN(48*0.75,DATEDIF(A4,C18,"M")-12))</f>
        <v>36</v>
      </c>
      <c r="H4" s="14" t="n">
        <f aca="false">C4*0.25+C4*G4/48</f>
        <v>30000</v>
      </c>
      <c r="I4" s="11" t="n">
        <v>30000</v>
      </c>
      <c r="J4" s="76" t="n">
        <f aca="false">H4/C4</f>
        <v>1</v>
      </c>
      <c r="K4" s="9" t="n">
        <f aca="false">DATE(YEAR(A4)+4, MONTH(A4), DAY(A4))</f>
        <v>43918</v>
      </c>
      <c r="L4" s="16"/>
      <c r="M4" s="9" t="n">
        <v>42457</v>
      </c>
      <c r="N4" s="9" t="n">
        <v>44001</v>
      </c>
      <c r="O4" s="10" t="n">
        <v>0.0011</v>
      </c>
      <c r="P4" s="11" t="n">
        <v>30000</v>
      </c>
      <c r="Q4" s="17" t="n">
        <f aca="false">P4*O4</f>
        <v>33</v>
      </c>
      <c r="R4" s="18" t="n">
        <f aca="false">P4*M$1</f>
        <v>75000</v>
      </c>
      <c r="S4" s="9" t="n">
        <f aca="false">DATE(YEAR(N4)+1,MONTH(N4),DAY(N4))</f>
        <v>44366</v>
      </c>
      <c r="T4" s="19" t="n">
        <f aca="false">IF($C$18&gt;S4, R4*0.15, R4*0.35)</f>
        <v>26250</v>
      </c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.85" hidden="false" customHeight="true" outlineLevel="0" collapsed="false">
      <c r="A5" s="9" t="n">
        <v>43447</v>
      </c>
      <c r="B5" s="10" t="n">
        <v>0.0011</v>
      </c>
      <c r="C5" s="11" t="n">
        <v>123519</v>
      </c>
      <c r="D5" s="74" t="n">
        <v>1</v>
      </c>
      <c r="E5" s="12" t="s">
        <v>18</v>
      </c>
      <c r="F5" s="77" t="s">
        <v>58</v>
      </c>
      <c r="G5" s="13" t="n">
        <f aca="false">MAX(0,MIN(36,DATEDIF(A5,C18,"M")))</f>
        <v>18</v>
      </c>
      <c r="H5" s="14" t="n">
        <f aca="false">C5*0.35+(C5*0.65)*G5/36</f>
        <v>83375.325</v>
      </c>
      <c r="I5" s="20" t="n">
        <v>83375</v>
      </c>
      <c r="J5" s="76" t="n">
        <f aca="false">H5/C5</f>
        <v>0.675</v>
      </c>
      <c r="K5" s="9" t="n">
        <f aca="false">DATE(YEAR(A5)+3, MONTH(A5), DAY(A5))</f>
        <v>44543</v>
      </c>
      <c r="L5" s="21"/>
      <c r="M5" s="9" t="n">
        <v>43447</v>
      </c>
      <c r="N5" s="9" t="n">
        <v>44001</v>
      </c>
      <c r="O5" s="10" t="n">
        <v>0.0011</v>
      </c>
      <c r="P5" s="20" t="n">
        <v>83375</v>
      </c>
      <c r="Q5" s="17" t="n">
        <f aca="false">O5*P5</f>
        <v>91.7125</v>
      </c>
      <c r="R5" s="18" t="n">
        <f aca="false">P5*M$1</f>
        <v>208437.5</v>
      </c>
      <c r="S5" s="9" t="n">
        <f aca="false">DATE(YEAR(N5)+1,MONTH(N5),DAY(N5))</f>
        <v>44366</v>
      </c>
      <c r="T5" s="19" t="n">
        <f aca="false">IF($C$18&gt;S5, R5*0.15, R5*0.35)</f>
        <v>72953.125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customFormat="false" ht="15.85" hidden="false" customHeight="true" outlineLevel="0" collapsed="false">
      <c r="A6" s="9" t="n">
        <v>43602</v>
      </c>
      <c r="B6" s="10" t="n">
        <v>0.0011</v>
      </c>
      <c r="C6" s="11" t="n">
        <v>38380</v>
      </c>
      <c r="D6" s="74" t="n">
        <v>1</v>
      </c>
      <c r="E6" s="12" t="s">
        <v>17</v>
      </c>
      <c r="F6" s="75" t="n">
        <f aca="false">DATEDIF(A6,C18,"Y")</f>
        <v>1</v>
      </c>
      <c r="G6" s="13" t="n">
        <f aca="false">MAX(0,MIN(48*0.75,DATEDIF(A6,C18,"M")-12))</f>
        <v>1</v>
      </c>
      <c r="H6" s="14" t="n">
        <f aca="false">C6*0.25+C6*G6/48</f>
        <v>10394.5833333333</v>
      </c>
      <c r="I6" s="20" t="n">
        <v>10394</v>
      </c>
      <c r="J6" s="76" t="n">
        <f aca="false">H6/C6</f>
        <v>0.270833333333333</v>
      </c>
      <c r="K6" s="9" t="n">
        <f aca="false">DATE(YEAR(A6)+4, MONTH(A6), DAY(A6))</f>
        <v>45063</v>
      </c>
      <c r="L6" s="21"/>
      <c r="M6" s="22" t="n">
        <v>43602</v>
      </c>
      <c r="N6" s="22" t="n">
        <v>44001</v>
      </c>
      <c r="O6" s="23" t="n">
        <v>0.0011</v>
      </c>
      <c r="P6" s="24" t="n">
        <v>10394</v>
      </c>
      <c r="Q6" s="25" t="n">
        <f aca="false">O6*P6</f>
        <v>11.4334</v>
      </c>
      <c r="R6" s="26" t="n">
        <f aca="false">P6*M$1</f>
        <v>25985</v>
      </c>
      <c r="S6" s="22" t="n">
        <f aca="false">DATE(YEAR(N6)+1,MONTH(N6),DAY(N6))</f>
        <v>44366</v>
      </c>
      <c r="T6" s="27" t="n">
        <f aca="false">IF($C$18&gt;S6, R6*0.15, R6*0.35)</f>
        <v>9094.75</v>
      </c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customFormat="false" ht="15.85" hidden="false" customHeight="true" outlineLevel="0" collapsed="false">
      <c r="A7" s="9" t="n">
        <v>43769</v>
      </c>
      <c r="B7" s="10" t="n">
        <v>0.0011</v>
      </c>
      <c r="C7" s="11" t="n">
        <v>138965</v>
      </c>
      <c r="D7" s="74" t="n">
        <v>1</v>
      </c>
      <c r="E7" s="12" t="s">
        <v>17</v>
      </c>
      <c r="F7" s="75" t="n">
        <f aca="false">DATEDIF(A7,C18,"Y")</f>
        <v>0</v>
      </c>
      <c r="G7" s="13" t="n">
        <f aca="false">MAX(0,MIN(48*0.75,DATEDIF(A7,C18,"M")-12))</f>
        <v>0</v>
      </c>
      <c r="H7" s="14" t="n">
        <f aca="false">C7*IF(F7&gt;=1,0.25,0)+C7*G7/48</f>
        <v>0</v>
      </c>
      <c r="I7" s="11" t="n">
        <v>0</v>
      </c>
      <c r="J7" s="76" t="n">
        <f aca="false">H7/C7</f>
        <v>0</v>
      </c>
      <c r="K7" s="9" t="n">
        <f aca="false">DATE(YEAR(A7)+4, MONTH(A7), DAY(A7))</f>
        <v>45230</v>
      </c>
      <c r="L7" s="16"/>
      <c r="M7" s="9" t="n">
        <v>43447</v>
      </c>
      <c r="N7" s="28" t="n">
        <v>47848</v>
      </c>
      <c r="O7" s="10" t="n">
        <v>0.0011</v>
      </c>
      <c r="P7" s="11" t="n">
        <f aca="false">H5-I5</f>
        <v>0.325000000011642</v>
      </c>
      <c r="Q7" s="17" t="n">
        <f aca="false">O7*P7</f>
        <v>0.000357500000012806</v>
      </c>
      <c r="R7" s="18" t="n">
        <f aca="false">P7*M$1</f>
        <v>0.812500000029104</v>
      </c>
      <c r="S7" s="9" t="n">
        <f aca="false">DATE(YEAR(N7)+1,MONTH(N7),DAY(N7))</f>
        <v>48213</v>
      </c>
      <c r="T7" s="19" t="n">
        <f aca="false">IF($C$18&gt;S7, R7*0.15, R7*0.35)</f>
        <v>0.284375000010186</v>
      </c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customFormat="false" ht="15.85" hidden="false" customHeight="true" outlineLevel="0" collapsed="false">
      <c r="A8" s="13"/>
      <c r="B8" s="10"/>
      <c r="C8" s="11"/>
      <c r="D8" s="74"/>
      <c r="E8" s="11"/>
      <c r="F8" s="76"/>
      <c r="G8" s="13"/>
      <c r="H8" s="14"/>
      <c r="I8" s="11"/>
      <c r="J8" s="13"/>
      <c r="K8" s="13"/>
      <c r="L8" s="16"/>
      <c r="M8" s="9" t="n">
        <v>43602</v>
      </c>
      <c r="N8" s="28" t="n">
        <v>47848</v>
      </c>
      <c r="O8" s="10" t="n">
        <v>0.0011</v>
      </c>
      <c r="P8" s="11" t="n">
        <f aca="false">H6-I6</f>
        <v>0.58333333333394</v>
      </c>
      <c r="Q8" s="17" t="n">
        <f aca="false">O8*P8</f>
        <v>0.000641666666667334</v>
      </c>
      <c r="R8" s="18" t="n">
        <f aca="false">P8*M$1</f>
        <v>1.45833333333485</v>
      </c>
      <c r="S8" s="9" t="n">
        <f aca="false">DATE(YEAR(N8)+1,MONTH(N8),DAY(N8))</f>
        <v>48213</v>
      </c>
      <c r="T8" s="19" t="n">
        <f aca="false">IF($C$18&gt;S8, R8*0.15, R8*0.35)</f>
        <v>0.510416666667197</v>
      </c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customFormat="false" ht="15.85" hidden="false" customHeight="true" outlineLevel="0" collapsed="false">
      <c r="A9" s="13"/>
      <c r="B9" s="13"/>
      <c r="C9" s="13"/>
      <c r="D9" s="78"/>
      <c r="E9" s="13"/>
      <c r="F9" s="13"/>
      <c r="G9" s="13"/>
      <c r="H9" s="13"/>
      <c r="I9" s="13"/>
      <c r="J9" s="13"/>
      <c r="K9" s="13"/>
      <c r="L9" s="29"/>
      <c r="M9" s="9" t="n">
        <v>43769</v>
      </c>
      <c r="N9" s="28" t="n">
        <v>47848</v>
      </c>
      <c r="O9" s="10" t="n">
        <v>0.0011</v>
      </c>
      <c r="P9" s="11" t="n">
        <f aca="false">H7-I7</f>
        <v>0</v>
      </c>
      <c r="Q9" s="17" t="n">
        <f aca="false">O9*P9</f>
        <v>0</v>
      </c>
      <c r="R9" s="18" t="n">
        <f aca="false">P9*M$1</f>
        <v>0</v>
      </c>
      <c r="S9" s="9" t="n">
        <f aca="false">DATE(YEAR(N9)+1,MONTH(N9),DAY(N9))</f>
        <v>48213</v>
      </c>
      <c r="T9" s="19" t="n">
        <f aca="false">IF($C$18&gt;S9, R9*0.15, R9*0.35)</f>
        <v>0</v>
      </c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customFormat="false" ht="13.65" hidden="false" customHeight="true" outlineLevel="0" collapsed="false">
      <c r="A10" s="30"/>
      <c r="B10" s="13"/>
      <c r="C10" s="13"/>
      <c r="D10" s="78"/>
      <c r="E10" s="13"/>
      <c r="F10" s="13"/>
      <c r="G10" s="13"/>
      <c r="H10" s="13"/>
      <c r="I10" s="13"/>
      <c r="J10" s="13"/>
      <c r="K10" s="13"/>
      <c r="L10" s="29"/>
      <c r="M10" s="13"/>
      <c r="N10" s="79"/>
      <c r="O10" s="13"/>
      <c r="P10" s="11"/>
      <c r="Q10" s="17"/>
      <c r="R10" s="1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customFormat="false" ht="13.65" hidden="false" customHeight="true" outlineLevel="0" collapsed="false">
      <c r="A11" s="11"/>
      <c r="B11" s="13"/>
      <c r="C11" s="13"/>
      <c r="D11" s="78"/>
      <c r="E11" s="13"/>
      <c r="F11" s="13"/>
      <c r="G11" s="13"/>
      <c r="H11" s="13"/>
      <c r="I11" s="13"/>
      <c r="J11" s="13"/>
      <c r="K11" s="13"/>
      <c r="L11" s="29"/>
      <c r="M11" s="13"/>
      <c r="N11" s="13"/>
      <c r="O11" s="13"/>
      <c r="P11" s="11"/>
      <c r="Q11" s="17"/>
      <c r="R11" s="1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customFormat="false" ht="13.65" hidden="false" customHeight="true" outlineLevel="0" collapsed="false">
      <c r="A12" s="31"/>
      <c r="B12" s="30"/>
      <c r="C12" s="13"/>
      <c r="D12" s="78"/>
      <c r="E12" s="13"/>
      <c r="F12" s="13"/>
      <c r="G12" s="13"/>
      <c r="H12" s="13"/>
      <c r="I12" s="13"/>
      <c r="J12" s="13"/>
      <c r="K12" s="13"/>
      <c r="L12" s="29"/>
      <c r="M12" s="13"/>
      <c r="N12" s="13"/>
      <c r="O12" s="13"/>
      <c r="P12" s="18"/>
      <c r="Q12" s="1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customFormat="false" ht="13.65" hidden="false" customHeight="true" outlineLevel="0" collapsed="false">
      <c r="A13" s="32"/>
      <c r="B13" s="33"/>
      <c r="C13" s="8"/>
      <c r="D13" s="8"/>
      <c r="E13" s="13"/>
      <c r="F13" s="13"/>
      <c r="G13" s="13"/>
      <c r="H13" s="8"/>
      <c r="I13" s="8"/>
      <c r="J13" s="8"/>
      <c r="K13" s="8"/>
      <c r="L13" s="34"/>
      <c r="M13" s="13"/>
      <c r="N13" s="13"/>
      <c r="O13" s="13"/>
      <c r="P13" s="18"/>
      <c r="Q13" s="1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customFormat="false" ht="13.65" hidden="false" customHeight="true" outlineLevel="0" collapsed="false">
      <c r="A14" s="9"/>
      <c r="B14" s="10"/>
      <c r="C14" s="11"/>
      <c r="D14" s="74"/>
      <c r="E14" s="13"/>
      <c r="F14" s="13"/>
      <c r="G14" s="13"/>
      <c r="H14" s="13"/>
      <c r="I14" s="13"/>
      <c r="J14" s="13"/>
      <c r="K14" s="13"/>
      <c r="L14" s="29"/>
      <c r="M14" s="13"/>
      <c r="N14" s="13"/>
      <c r="O14" s="13"/>
      <c r="P14" s="18"/>
      <c r="Q14" s="1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customFormat="false" ht="12.8" hidden="false" customHeight="false" outlineLevel="0" collapsed="false">
      <c r="A15" s="9"/>
      <c r="B15" s="10"/>
      <c r="C15" s="11"/>
      <c r="D15" s="74"/>
      <c r="E15" s="13"/>
      <c r="F15" s="13"/>
      <c r="G15" s="13"/>
      <c r="H15" s="13"/>
      <c r="I15" s="13"/>
      <c r="J15" s="13"/>
      <c r="K15" s="13"/>
      <c r="L15" s="29"/>
      <c r="M15" s="13"/>
      <c r="N15" s="13"/>
      <c r="O15" s="13"/>
      <c r="P15" s="18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="81" customFormat="true" ht="15" hidden="false" customHeight="false" outlineLevel="0" collapsed="false">
      <c r="A16" s="35" t="str">
        <f aca="false">"Grants: "&amp;COUNT(A4:A7)</f>
        <v>Grants: 4</v>
      </c>
      <c r="B16" s="36"/>
      <c r="C16" s="37" t="n">
        <f aca="false">SUM(C4:C7)</f>
        <v>330864</v>
      </c>
      <c r="D16" s="80"/>
      <c r="E16" s="37"/>
      <c r="F16" s="40"/>
      <c r="G16" s="38"/>
      <c r="H16" s="39" t="n">
        <f aca="false">SUM(H4:H8)</f>
        <v>123769.908333333</v>
      </c>
      <c r="I16" s="37" t="n">
        <f aca="false">SUM(I4:I8)</f>
        <v>123769</v>
      </c>
      <c r="J16" s="40" t="n">
        <f aca="false">H16/C16</f>
        <v>0.374080916428905</v>
      </c>
      <c r="K16" s="40"/>
      <c r="L16" s="41"/>
      <c r="M16" s="42" t="s">
        <v>19</v>
      </c>
      <c r="N16" s="42"/>
      <c r="O16" s="42"/>
      <c r="P16" s="42"/>
      <c r="Q16" s="42"/>
      <c r="R16" s="43" t="n">
        <f aca="false">SUM(R4:R8)</f>
        <v>309424.770833333</v>
      </c>
      <c r="S16" s="43"/>
      <c r="T16" s="43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="84" customFormat="true" ht="15" hidden="false" customHeight="false" outlineLevel="0" collapsed="false">
      <c r="A17" s="44"/>
      <c r="B17" s="45"/>
      <c r="C17" s="46"/>
      <c r="D17" s="82"/>
      <c r="E17" s="46"/>
      <c r="F17" s="83"/>
      <c r="G17" s="47"/>
      <c r="H17" s="47"/>
      <c r="I17" s="47"/>
      <c r="J17" s="47"/>
      <c r="K17" s="47"/>
      <c r="L17" s="49"/>
      <c r="M17" s="42" t="s">
        <v>21</v>
      </c>
      <c r="N17" s="42"/>
      <c r="O17" s="42"/>
      <c r="P17" s="42"/>
      <c r="Q17" s="42"/>
      <c r="R17" s="50" t="n">
        <f aca="false">SUM(T4:T9)</f>
        <v>108298.669791667</v>
      </c>
      <c r="S17" s="50"/>
      <c r="T17" s="50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customFormat="false" ht="27.75" hidden="false" customHeight="true" outlineLevel="0" collapsed="false">
      <c r="A18" s="9"/>
      <c r="B18" s="8" t="s">
        <v>22</v>
      </c>
      <c r="C18" s="51" t="n">
        <v>44001</v>
      </c>
      <c r="D18" s="51"/>
      <c r="E18" s="11"/>
      <c r="F18" s="76"/>
      <c r="G18" s="13"/>
      <c r="H18" s="13"/>
      <c r="I18" s="13"/>
      <c r="J18" s="13"/>
      <c r="K18" s="13"/>
      <c r="L18" s="13"/>
      <c r="M18" s="52" t="s">
        <v>23</v>
      </c>
      <c r="N18" s="52"/>
      <c r="O18" s="52"/>
      <c r="P18" s="52"/>
      <c r="Q18" s="52"/>
      <c r="R18" s="53" t="n">
        <f aca="false">R16-R17</f>
        <v>201126.101041667</v>
      </c>
      <c r="S18" s="53"/>
      <c r="T18" s="5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customFormat="false" ht="17.25" hidden="false" customHeight="true" outlineLevel="0" collapsed="false">
      <c r="A19" s="9"/>
      <c r="B19" s="8"/>
      <c r="C19" s="51"/>
      <c r="D19" s="51"/>
      <c r="E19" s="11"/>
      <c r="F19" s="76"/>
      <c r="G19" s="13"/>
      <c r="H19" s="13"/>
      <c r="I19" s="13"/>
      <c r="J19" s="13"/>
      <c r="K19" s="13"/>
      <c r="L19" s="13"/>
      <c r="M19" s="54" t="s">
        <v>59</v>
      </c>
      <c r="N19" s="54"/>
      <c r="O19" s="54"/>
      <c r="P19" s="54"/>
      <c r="Q19" s="54"/>
      <c r="R19" s="55" t="n">
        <f aca="false">(C16-H16)*M1*0.65</f>
        <v>336527.898958333</v>
      </c>
      <c r="S19" s="55"/>
      <c r="T19" s="55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2021-02-23T12:14:58Z</dcterms:modified>
  <cp:revision>15</cp:revision>
  <dc:subject/>
  <dc:title/>
</cp:coreProperties>
</file>