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QSO" sheetId="1" state="visible" r:id="rId2"/>
    <sheet name="WIP - ISO" sheetId="2" state="visible" r:id="rId3"/>
    <sheet name="AM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<sst xmlns="http://schemas.openxmlformats.org/spreadsheetml/2006/main" count="96" uniqueCount="57">
  <si>
    <t xml:space="preserve">STOCK PRICE</t>
  </si>
  <si>
    <t xml:space="preserve">GRANTS</t>
  </si>
  <si>
    <t xml:space="preserve">PURCHASES</t>
  </si>
  <si>
    <t xml:space="preserve">GRANT DATE</t>
  </si>
  <si>
    <t xml:space="preserve">PRICE</t>
  </si>
  <si>
    <t xml:space="preserve">SHARES</t>
  </si>
  <si>
    <t xml:space="preserve">ISO?</t>
  </si>
  <si>
    <t xml:space="preserve">VESTING</t>
  </si>
  <si>
    <t xml:space="preserve">YR</t>
  </si>
  <si>
    <t xml:space="preserve">MO</t>
  </si>
  <si>
    <t xml:space="preserve"># VESTED</t>
  </si>
  <si>
    <t xml:space="preserve"># OWNED</t>
  </si>
  <si>
    <t xml:space="preserve">%</t>
  </si>
  <si>
    <t xml:space="preserve">FULL VEST DATE</t>
  </si>
  <si>
    <t xml:space="preserve">EXERCISED</t>
  </si>
  <si>
    <t xml:space="preserve">COST</t>
  </si>
  <si>
    <t xml:space="preserve">VALUE</t>
  </si>
  <si>
    <t xml:space="preserve">L-T DATE</t>
  </si>
  <si>
    <t xml:space="preserve">TAX</t>
  </si>
  <si>
    <t xml:space="preserve">25% @ 1yr -&gt; 1/48/mo</t>
  </si>
  <si>
    <t xml:space="preserve">35% now -&gt; 1/36/mo</t>
  </si>
  <si>
    <t xml:space="preserve">N/A</t>
  </si>
  <si>
    <t xml:space="preserve">UNREALIZED GAINS</t>
  </si>
  <si>
    <t xml:space="preserve">ESTIMATED TAX OWED</t>
  </si>
  <si>
    <t xml:space="preserve">Day</t>
  </si>
  <si>
    <t xml:space="preserve">TAKEAWAY</t>
  </si>
  <si>
    <t xml:space="preserve">UNVESTED VALUE</t>
  </si>
  <si>
    <t xml:space="preserve">AGI</t>
  </si>
  <si>
    <t xml:space="preserve">Bargain Element</t>
  </si>
  <si>
    <t xml:space="preserve">Std Deduct</t>
  </si>
  <si>
    <t xml:space="preserve">AMT Exemption</t>
  </si>
  <si>
    <t xml:space="preserve">Phaseout Threshold</t>
  </si>
  <si>
    <t xml:space="preserve">Phaseout Rate</t>
  </si>
  <si>
    <t xml:space="preserve">$0.25 per $1</t>
  </si>
  <si>
    <t xml:space="preserve">ORDINARY</t>
  </si>
  <si>
    <t xml:space="preserve">Rate</t>
  </si>
  <si>
    <t xml:space="preserve">Singles</t>
  </si>
  <si>
    <t xml:space="preserve">10%</t>
  </si>
  <si>
    <t xml:space="preserve">Up to $9,950</t>
  </si>
  <si>
    <t xml:space="preserve">12%</t>
  </si>
  <si>
    <t xml:space="preserve">$9,951 to $40,525</t>
  </si>
  <si>
    <t xml:space="preserve">22%</t>
  </si>
  <si>
    <t xml:space="preserve">$40,526 to $86,375</t>
  </si>
  <si>
    <t xml:space="preserve">24%</t>
  </si>
  <si>
    <t xml:space="preserve">$86,376 to $164,925</t>
  </si>
  <si>
    <t xml:space="preserve">32%</t>
  </si>
  <si>
    <t xml:space="preserve">$164,926 to $209,425</t>
  </si>
  <si>
    <t xml:space="preserve">35%</t>
  </si>
  <si>
    <t xml:space="preserve">$209,426 to $523,600</t>
  </si>
  <si>
    <t xml:space="preserve">37%</t>
  </si>
  <si>
    <t xml:space="preserve">$523,601 or more</t>
  </si>
  <si>
    <t xml:space="preserve">AMT</t>
  </si>
  <si>
    <t xml:space="preserve">26%</t>
  </si>
  <si>
    <t xml:space="preserve">Up to $199,900</t>
  </si>
  <si>
    <t xml:space="preserve">28%</t>
  </si>
  <si>
    <t xml:space="preserve">$199,901 or more</t>
  </si>
  <si>
    <t xml:space="preserve">Carryover Tax Credit?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</si>
</sst>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[$$-409]#,##0.00;[RED]\-[$$-409]#,##0.00"/>
    <numFmt numFmtId="167" formatCode="DD\-MMM\-YYYY"/>
    <numFmt numFmtId="168" formatCode="\$#,##0.0000"/>
    <numFmt numFmtId="169" formatCode="#,##0"/>
    <numFmt numFmtId="170" formatCode="#,##0.0"/>
    <numFmt numFmtId="171" formatCode="0%"/>
    <numFmt numFmtId="172" formatCode="0.00"/>
    <numFmt numFmtId="173" formatCode="#,##0.00"/>
    <numFmt numFmtId="174" formatCode="0.0000"/>
    <numFmt numFmtId="175" formatCode="0"/>
    <numFmt numFmtId="176" formatCode="MM/DD/YY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8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1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1" width="13.1"/>
    <col collapsed="false" customWidth="true" hidden="false" outlineLevel="0" max="2" min="2" style="1" width="7.82"/>
    <col collapsed="false" customWidth="true" hidden="false" outlineLevel="0" max="3" min="3" style="1" width="11.43"/>
    <col collapsed="false" customWidth="true" hidden="false" outlineLevel="0" max="4" min="4" style="2" width="5.88"/>
    <col collapsed="false" customWidth="true" hidden="false" outlineLevel="0" max="5" min="5" style="1" width="18.38"/>
    <col collapsed="false" customWidth="true" hidden="false" outlineLevel="0" max="6" min="6" style="1" width="4.63"/>
    <col collapsed="false" customWidth="true" hidden="false" outlineLevel="0" max="7" min="7" style="1" width="4.48"/>
    <col collapsed="false" customWidth="true" hidden="false" outlineLevel="0" max="8" min="8" style="1" width="13.65"/>
    <col collapsed="false" customWidth="true" hidden="false" outlineLevel="0" max="9" min="9" style="1" width="11.43"/>
    <col collapsed="false" customWidth="true" hidden="false" outlineLevel="0" max="10" min="10" style="1" width="6.16"/>
    <col collapsed="false" customWidth="true" hidden="false" outlineLevel="0" max="11" min="11" style="1" width="16.86"/>
    <col collapsed="false" customWidth="true" hidden="false" outlineLevel="0" max="12" min="12" style="1" width="5.42"/>
    <col collapsed="false" customWidth="true" hidden="false" outlineLevel="0" max="13" min="13" style="1" width="13.1"/>
    <col collapsed="false" customWidth="true" hidden="false" outlineLevel="0" max="14" min="14" style="1" width="12.13"/>
    <col collapsed="false" customWidth="true" hidden="false" outlineLevel="0" max="15" min="15" style="1" width="7.68"/>
    <col collapsed="false" customWidth="true" hidden="false" outlineLevel="0" max="16" min="16" style="1" width="9.07"/>
    <col collapsed="false" customWidth="true" hidden="false" outlineLevel="0" max="17" min="17" style="1" width="6.98"/>
    <col collapsed="false" customWidth="true" hidden="false" outlineLevel="0" max="18" min="18" style="1" width="17.4"/>
    <col collapsed="false" customWidth="true" hidden="false" outlineLevel="0" max="1025" min="19" style="1" width="14.5"/>
  </cols>
  <sheetData>
    <row r="1" customFormat="false" ht="22.0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5" t="n">
        <v>2.5</v>
      </c>
      <c r="N1" s="5"/>
      <c r="O1" s="5"/>
      <c r="P1" s="5"/>
      <c r="Q1" s="5"/>
      <c r="R1" s="5"/>
      <c r="S1" s="5"/>
      <c r="T1" s="5"/>
      <c r="U1" s="6"/>
      <c r="V1" s="0"/>
      <c r="W1" s="0"/>
      <c r="X1" s="6"/>
      <c r="Y1" s="6"/>
      <c r="Z1" s="6"/>
      <c r="AA1" s="6"/>
      <c r="AB1" s="6"/>
      <c r="AC1" s="6"/>
      <c r="AD1" s="6"/>
    </row>
    <row r="2" customFormat="false" ht="19.7" hidden="false" customHeight="false" outlineLevel="0" collapsed="false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 t="s">
        <v>2</v>
      </c>
      <c r="N2" s="8"/>
      <c r="O2" s="8"/>
      <c r="P2" s="8"/>
      <c r="Q2" s="8"/>
      <c r="R2" s="8"/>
      <c r="S2" s="8"/>
      <c r="T2" s="8"/>
      <c r="U2" s="6"/>
      <c r="V2" s="6"/>
      <c r="W2" s="6"/>
      <c r="X2" s="6"/>
      <c r="Y2" s="6"/>
      <c r="Z2" s="6"/>
      <c r="AA2" s="6"/>
      <c r="AB2" s="6"/>
      <c r="AC2" s="6"/>
      <c r="AD2" s="6"/>
    </row>
    <row r="3" customFormat="false" ht="13.65" hidden="false" customHeight="true" outlineLevel="0" collapsed="false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10"/>
      <c r="M3" s="9" t="s">
        <v>3</v>
      </c>
      <c r="N3" s="9" t="s">
        <v>14</v>
      </c>
      <c r="O3" s="9" t="s">
        <v>4</v>
      </c>
      <c r="P3" s="9" t="s">
        <v>5</v>
      </c>
      <c r="Q3" s="9" t="s">
        <v>15</v>
      </c>
      <c r="R3" s="9" t="s">
        <v>16</v>
      </c>
      <c r="S3" s="6" t="s">
        <v>17</v>
      </c>
      <c r="T3" s="6" t="s">
        <v>18</v>
      </c>
      <c r="U3" s="6"/>
      <c r="V3" s="6"/>
      <c r="W3" s="6"/>
      <c r="X3" s="6"/>
      <c r="Y3" s="6"/>
      <c r="Z3" s="6"/>
      <c r="AA3" s="6"/>
      <c r="AB3" s="6"/>
      <c r="AC3" s="6"/>
      <c r="AD3" s="6"/>
    </row>
    <row r="4" customFormat="false" ht="15.85" hidden="false" customHeight="true" outlineLevel="0" collapsed="false">
      <c r="A4" s="11" t="n">
        <v>42457</v>
      </c>
      <c r="B4" s="12" t="n">
        <v>0.0011</v>
      </c>
      <c r="C4" s="13" t="n">
        <v>30000</v>
      </c>
      <c r="D4" s="14" t="n">
        <v>1</v>
      </c>
      <c r="E4" s="15" t="s">
        <v>19</v>
      </c>
      <c r="F4" s="16" t="n">
        <f aca="true">DATEDIF(A4,TODAY(),"Y")</f>
        <v>4</v>
      </c>
      <c r="G4" s="17" t="n">
        <f aca="true">MAX(0,MIN(48*0.75,DATEDIF(A4,TODAY(),"M")-12))</f>
        <v>36</v>
      </c>
      <c r="H4" s="18" t="n">
        <f aca="false">C4*0.25+C4*G4/48</f>
        <v>30000</v>
      </c>
      <c r="I4" s="13" t="n">
        <v>30000</v>
      </c>
      <c r="J4" s="19" t="n">
        <f aca="false">H4/C4</f>
        <v>1</v>
      </c>
      <c r="K4" s="11" t="n">
        <f aca="false">DATE(YEAR(A4)+4, MONTH(A4), DAY(A4))</f>
        <v>43918</v>
      </c>
      <c r="L4" s="20"/>
      <c r="M4" s="11" t="n">
        <v>42457</v>
      </c>
      <c r="N4" s="11" t="n">
        <v>44001</v>
      </c>
      <c r="O4" s="12" t="n">
        <v>0.0011</v>
      </c>
      <c r="P4" s="13" t="n">
        <v>30000</v>
      </c>
      <c r="Q4" s="21" t="n">
        <f aca="false">P4*O4</f>
        <v>33</v>
      </c>
      <c r="R4" s="22" t="n">
        <f aca="false">P4*M$1</f>
        <v>75000</v>
      </c>
      <c r="S4" s="11" t="n">
        <f aca="false">DATE(YEAR(N4)+1,MONTH(N4),DAY(N4))</f>
        <v>44366</v>
      </c>
      <c r="T4" s="23" t="n">
        <f aca="false">IF($C$18&gt;S4, R4*0.15, R4*0.35)</f>
        <v>11250</v>
      </c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customFormat="false" ht="15.85" hidden="false" customHeight="true" outlineLevel="0" collapsed="false">
      <c r="A5" s="11" t="n">
        <v>43447</v>
      </c>
      <c r="B5" s="12" t="n">
        <v>0.0011</v>
      </c>
      <c r="C5" s="13" t="n">
        <v>123519</v>
      </c>
      <c r="D5" s="14" t="n">
        <v>1</v>
      </c>
      <c r="E5" s="15" t="s">
        <v>20</v>
      </c>
      <c r="F5" s="24" t="s">
        <v>21</v>
      </c>
      <c r="G5" s="17" t="n">
        <f aca="true">MAX(0,MIN(36,DATEDIF(A5,TODAY(),"M")))</f>
        <v>26</v>
      </c>
      <c r="H5" s="18" t="n">
        <f aca="false">C5*0.35+(C5*0.65)*G5/36</f>
        <v>101216.958333333</v>
      </c>
      <c r="I5" s="25" t="n">
        <v>83375</v>
      </c>
      <c r="J5" s="19" t="n">
        <f aca="false">H5/C5</f>
        <v>0.819444444444444</v>
      </c>
      <c r="K5" s="11" t="n">
        <f aca="false">DATE(YEAR(A5)+3, MONTH(A5), DAY(A5))</f>
        <v>44543</v>
      </c>
      <c r="L5" s="26"/>
      <c r="M5" s="11" t="n">
        <v>43447</v>
      </c>
      <c r="N5" s="11" t="n">
        <v>44001</v>
      </c>
      <c r="O5" s="12" t="n">
        <v>0.0011</v>
      </c>
      <c r="P5" s="25" t="n">
        <v>83375</v>
      </c>
      <c r="Q5" s="21" t="n">
        <f aca="false">O5*P5</f>
        <v>91.7125</v>
      </c>
      <c r="R5" s="22" t="n">
        <f aca="false">P5*M$1</f>
        <v>208437.5</v>
      </c>
      <c r="S5" s="11" t="n">
        <f aca="false">DATE(YEAR(N5)+1,MONTH(N5),DAY(N5))</f>
        <v>44366</v>
      </c>
      <c r="T5" s="23" t="n">
        <f aca="false">IF($C$18&gt;S5, R5*0.15, R5*0.35)</f>
        <v>31265.625</v>
      </c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customFormat="false" ht="15.85" hidden="false" customHeight="true" outlineLevel="0" collapsed="false">
      <c r="A6" s="11" t="n">
        <v>43602</v>
      </c>
      <c r="B6" s="12" t="n">
        <v>0.0011</v>
      </c>
      <c r="C6" s="13" t="n">
        <v>38380</v>
      </c>
      <c r="D6" s="14" t="n">
        <v>1</v>
      </c>
      <c r="E6" s="15" t="s">
        <v>19</v>
      </c>
      <c r="F6" s="16" t="n">
        <f aca="true">DATEDIF(A6,TODAY(),"Y")</f>
        <v>1</v>
      </c>
      <c r="G6" s="17" t="n">
        <f aca="true">MAX(0,MIN(48*0.75,DATEDIF(A6,TODAY(),"M")-12))</f>
        <v>9</v>
      </c>
      <c r="H6" s="18" t="n">
        <f aca="false">C6*0.25+C6*G6/48</f>
        <v>16791.25</v>
      </c>
      <c r="I6" s="25" t="n">
        <v>10394</v>
      </c>
      <c r="J6" s="19" t="n">
        <f aca="false">H6/C6</f>
        <v>0.4375</v>
      </c>
      <c r="K6" s="11" t="n">
        <f aca="false">DATE(YEAR(A6)+4, MONTH(A6), DAY(A6))</f>
        <v>45063</v>
      </c>
      <c r="L6" s="26"/>
      <c r="M6" s="27" t="n">
        <v>43602</v>
      </c>
      <c r="N6" s="27" t="n">
        <v>44001</v>
      </c>
      <c r="O6" s="28" t="n">
        <v>0.0011</v>
      </c>
      <c r="P6" s="29" t="n">
        <v>10394</v>
      </c>
      <c r="Q6" s="30" t="n">
        <f aca="false">O6*P6</f>
        <v>11.4334</v>
      </c>
      <c r="R6" s="31" t="n">
        <f aca="false">P6*M$1</f>
        <v>25985</v>
      </c>
      <c r="S6" s="27" t="n">
        <f aca="false">DATE(YEAR(N6)+1,MONTH(N6),DAY(N6))</f>
        <v>44366</v>
      </c>
      <c r="T6" s="32" t="n">
        <f aca="false">IF($C$18&gt;S6, R6*0.15, R6*0.35)</f>
        <v>3897.75</v>
      </c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customFormat="false" ht="15.85" hidden="false" customHeight="true" outlineLevel="0" collapsed="false">
      <c r="A7" s="11" t="n">
        <v>43769</v>
      </c>
      <c r="B7" s="12" t="n">
        <v>0.0011</v>
      </c>
      <c r="C7" s="13" t="n">
        <v>138965</v>
      </c>
      <c r="D7" s="14" t="n">
        <v>1</v>
      </c>
      <c r="E7" s="15" t="s">
        <v>19</v>
      </c>
      <c r="F7" s="16" t="n">
        <f aca="true">DATEDIF(A7,TODAY(),"Y")</f>
        <v>1</v>
      </c>
      <c r="G7" s="17" t="n">
        <f aca="true">MAX(0,MIN(48*0.75,DATEDIF(A7,TODAY(),"M")-12))</f>
        <v>3</v>
      </c>
      <c r="H7" s="18" t="n">
        <f aca="false">C7*IF(F7&gt;=1,0.25,0)+C7*G7/48</f>
        <v>43426.5625</v>
      </c>
      <c r="I7" s="13" t="n">
        <v>0</v>
      </c>
      <c r="J7" s="19" t="n">
        <f aca="false">H7/C7</f>
        <v>0.3125</v>
      </c>
      <c r="K7" s="11" t="n">
        <f aca="false">DATE(YEAR(A7)+4, MONTH(A7), DAY(A7))</f>
        <v>45230</v>
      </c>
      <c r="L7" s="20"/>
      <c r="M7" s="11" t="n">
        <v>43447</v>
      </c>
      <c r="N7" s="33" t="n">
        <v>47848</v>
      </c>
      <c r="O7" s="12" t="n">
        <v>0.0011</v>
      </c>
      <c r="P7" s="13" t="n">
        <f aca="false">H5-I5</f>
        <v>17841.9583333333</v>
      </c>
      <c r="Q7" s="21" t="n">
        <f aca="false">O7*P7</f>
        <v>19.6261541666667</v>
      </c>
      <c r="R7" s="22" t="n">
        <f aca="false">P7*M$1</f>
        <v>44604.8958333334</v>
      </c>
      <c r="S7" s="11" t="n">
        <f aca="false">DATE(YEAR(N7)+1,MONTH(N7),DAY(N7))</f>
        <v>48213</v>
      </c>
      <c r="T7" s="23" t="n">
        <f aca="false">IF($C$18&gt;S7, R7*0.15, R7*0.35)</f>
        <v>15611.7135416667</v>
      </c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customFormat="false" ht="15.85" hidden="false" customHeight="true" outlineLevel="0" collapsed="false">
      <c r="A8" s="17"/>
      <c r="B8" s="12"/>
      <c r="C8" s="13"/>
      <c r="D8" s="14"/>
      <c r="E8" s="13"/>
      <c r="F8" s="19"/>
      <c r="G8" s="17"/>
      <c r="H8" s="18"/>
      <c r="I8" s="13"/>
      <c r="J8" s="17"/>
      <c r="K8" s="17"/>
      <c r="L8" s="20"/>
      <c r="M8" s="11" t="n">
        <v>43602</v>
      </c>
      <c r="N8" s="33" t="n">
        <v>47848</v>
      </c>
      <c r="O8" s="12" t="n">
        <v>0.0011</v>
      </c>
      <c r="P8" s="13" t="n">
        <f aca="false">H6-I6</f>
        <v>6397.25</v>
      </c>
      <c r="Q8" s="21" t="n">
        <f aca="false">O8*P8</f>
        <v>7.036975</v>
      </c>
      <c r="R8" s="22" t="n">
        <f aca="false">P8*M$1</f>
        <v>15993.125</v>
      </c>
      <c r="S8" s="11" t="n">
        <f aca="false">DATE(YEAR(N8)+1,MONTH(N8),DAY(N8))</f>
        <v>48213</v>
      </c>
      <c r="T8" s="23" t="n">
        <f aca="false">IF($C$18&gt;S8, R8*0.15, R8*0.35)</f>
        <v>5597.59375</v>
      </c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customFormat="false" ht="15.85" hidden="false" customHeight="true" outlineLevel="0" collapsed="false">
      <c r="A9" s="17"/>
      <c r="B9" s="17"/>
      <c r="C9" s="17"/>
      <c r="D9" s="34"/>
      <c r="E9" s="17"/>
      <c r="F9" s="17"/>
      <c r="G9" s="17"/>
      <c r="H9" s="17"/>
      <c r="I9" s="17"/>
      <c r="J9" s="17"/>
      <c r="K9" s="17"/>
      <c r="L9" s="35"/>
      <c r="M9" s="11" t="n">
        <v>43769</v>
      </c>
      <c r="N9" s="33" t="n">
        <v>47848</v>
      </c>
      <c r="O9" s="12" t="n">
        <v>0.0011</v>
      </c>
      <c r="P9" s="13" t="n">
        <f aca="false">H7-I7</f>
        <v>43426.5625</v>
      </c>
      <c r="Q9" s="21" t="n">
        <f aca="false">O9*P9</f>
        <v>47.76921875</v>
      </c>
      <c r="R9" s="22" t="n">
        <f aca="false">P9*M$1</f>
        <v>108566.40625</v>
      </c>
      <c r="S9" s="11" t="n">
        <f aca="false">DATE(YEAR(N9)+1,MONTH(N9),DAY(N9))</f>
        <v>48213</v>
      </c>
      <c r="T9" s="23" t="n">
        <f aca="false">IF($C$18&gt;S9, R9*0.15, R9*0.35)</f>
        <v>37998.2421875</v>
      </c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customFormat="false" ht="13.65" hidden="false" customHeight="true" outlineLevel="0" collapsed="false">
      <c r="A10" s="36"/>
      <c r="B10" s="17"/>
      <c r="C10" s="17"/>
      <c r="D10" s="34"/>
      <c r="E10" s="17"/>
      <c r="F10" s="17"/>
      <c r="G10" s="17"/>
      <c r="H10" s="17"/>
      <c r="I10" s="17"/>
      <c r="J10" s="17"/>
      <c r="K10" s="17"/>
      <c r="L10" s="35"/>
      <c r="M10" s="17"/>
      <c r="N10" s="37"/>
      <c r="O10" s="17"/>
      <c r="P10" s="13"/>
      <c r="Q10" s="21"/>
      <c r="R10" s="22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customFormat="false" ht="13.65" hidden="false" customHeight="true" outlineLevel="0" collapsed="false">
      <c r="A11" s="13"/>
      <c r="B11" s="17"/>
      <c r="C11" s="17"/>
      <c r="D11" s="34"/>
      <c r="E11" s="17"/>
      <c r="F11" s="17"/>
      <c r="G11" s="17"/>
      <c r="H11" s="17"/>
      <c r="I11" s="17"/>
      <c r="J11" s="17"/>
      <c r="K11" s="17"/>
      <c r="L11" s="35"/>
      <c r="M11" s="17"/>
      <c r="N11" s="17"/>
      <c r="O11" s="17"/>
      <c r="P11" s="13"/>
      <c r="Q11" s="21"/>
      <c r="R11" s="22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customFormat="false" ht="13.65" hidden="false" customHeight="true" outlineLevel="0" collapsed="false">
      <c r="A12" s="38"/>
      <c r="B12" s="36"/>
      <c r="C12" s="17"/>
      <c r="D12" s="34"/>
      <c r="E12" s="17"/>
      <c r="F12" s="17"/>
      <c r="G12" s="17"/>
      <c r="H12" s="17"/>
      <c r="I12" s="17"/>
      <c r="J12" s="17"/>
      <c r="K12" s="17"/>
      <c r="L12" s="35"/>
      <c r="M12" s="17"/>
      <c r="N12" s="17"/>
      <c r="O12" s="17"/>
      <c r="P12" s="22"/>
      <c r="Q12" s="21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customFormat="false" ht="13.65" hidden="false" customHeight="true" outlineLevel="0" collapsed="false">
      <c r="A13" s="39"/>
      <c r="B13" s="40"/>
      <c r="C13" s="6"/>
      <c r="D13" s="6"/>
      <c r="E13" s="17"/>
      <c r="F13" s="17"/>
      <c r="G13" s="17"/>
      <c r="H13" s="6"/>
      <c r="I13" s="6"/>
      <c r="J13" s="6"/>
      <c r="K13" s="6"/>
      <c r="L13" s="41"/>
      <c r="M13" s="17"/>
      <c r="N13" s="17"/>
      <c r="O13" s="17"/>
      <c r="P13" s="22"/>
      <c r="Q13" s="21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customFormat="false" ht="13.65" hidden="false" customHeight="true" outlineLevel="0" collapsed="false">
      <c r="A14" s="11"/>
      <c r="B14" s="12"/>
      <c r="C14" s="13"/>
      <c r="D14" s="14"/>
      <c r="E14" s="17"/>
      <c r="F14" s="17"/>
      <c r="G14" s="17"/>
      <c r="H14" s="17"/>
      <c r="I14" s="17"/>
      <c r="J14" s="17"/>
      <c r="K14" s="17"/>
      <c r="L14" s="35"/>
      <c r="M14" s="17"/>
      <c r="N14" s="17"/>
      <c r="O14" s="17"/>
      <c r="P14" s="22"/>
      <c r="Q14" s="21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customFormat="false" ht="12.8" hidden="false" customHeight="false" outlineLevel="0" collapsed="false">
      <c r="A15" s="11"/>
      <c r="B15" s="12"/>
      <c r="C15" s="13"/>
      <c r="D15" s="14"/>
      <c r="E15" s="17"/>
      <c r="F15" s="17"/>
      <c r="G15" s="17"/>
      <c r="H15" s="17"/>
      <c r="I15" s="17"/>
      <c r="J15" s="17"/>
      <c r="K15" s="17"/>
      <c r="L15" s="35"/>
      <c r="M15" s="17"/>
      <c r="N15" s="17"/>
      <c r="O15" s="17"/>
      <c r="P15" s="22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="52" customFormat="true" ht="15" hidden="false" customHeight="false" outlineLevel="0" collapsed="false">
      <c r="A16" s="42" t="str">
        <f aca="false">"Grants: "&amp;COUNT(A4:A7)</f>
        <v>Grants: 4</v>
      </c>
      <c r="B16" s="43"/>
      <c r="C16" s="44" t="n">
        <f aca="false">SUM(C4:C7)</f>
        <v>330864</v>
      </c>
      <c r="D16" s="45"/>
      <c r="E16" s="44"/>
      <c r="F16" s="46"/>
      <c r="G16" s="47"/>
      <c r="H16" s="48" t="n">
        <f aca="false">SUM(H4:H8)</f>
        <v>191434.770833333</v>
      </c>
      <c r="I16" s="44" t="n">
        <f aca="false">SUM(I4:I8)</f>
        <v>123769</v>
      </c>
      <c r="J16" s="46" t="n">
        <f aca="false">H16/C16</f>
        <v>0.578590511005529</v>
      </c>
      <c r="K16" s="46"/>
      <c r="L16" s="49"/>
      <c r="M16" s="50" t="s">
        <v>22</v>
      </c>
      <c r="N16" s="50"/>
      <c r="O16" s="50"/>
      <c r="P16" s="50"/>
      <c r="Q16" s="50"/>
      <c r="R16" s="51" t="n">
        <f aca="false">SUM(R4:R8)</f>
        <v>370020.520833333</v>
      </c>
      <c r="S16" s="51"/>
      <c r="T16" s="51"/>
      <c r="U16" s="47"/>
      <c r="V16" s="47"/>
      <c r="W16" s="47"/>
      <c r="X16" s="47"/>
      <c r="Y16" s="47"/>
      <c r="Z16" s="47"/>
      <c r="AA16" s="47"/>
      <c r="AB16" s="47"/>
      <c r="AC16" s="47"/>
      <c r="AD16" s="47"/>
    </row>
    <row r="17" s="61" customFormat="true" ht="15" hidden="false" customHeight="false" outlineLevel="0" collapsed="false">
      <c r="A17" s="53"/>
      <c r="B17" s="54"/>
      <c r="C17" s="55"/>
      <c r="D17" s="56"/>
      <c r="E17" s="55"/>
      <c r="F17" s="57"/>
      <c r="G17" s="58"/>
      <c r="H17" s="58"/>
      <c r="I17" s="58"/>
      <c r="J17" s="58"/>
      <c r="K17" s="58"/>
      <c r="L17" s="59"/>
      <c r="M17" s="50" t="s">
        <v>23</v>
      </c>
      <c r="N17" s="50"/>
      <c r="O17" s="50"/>
      <c r="P17" s="50"/>
      <c r="Q17" s="50"/>
      <c r="R17" s="60" t="n">
        <f aca="false">SUM(T4:T9)</f>
        <v>105620.924479167</v>
      </c>
      <c r="S17" s="60"/>
      <c r="T17" s="60"/>
      <c r="U17" s="58"/>
      <c r="V17" s="58"/>
      <c r="W17" s="58"/>
      <c r="X17" s="58"/>
      <c r="Y17" s="58"/>
      <c r="Z17" s="58"/>
      <c r="AA17" s="58"/>
      <c r="AB17" s="58"/>
      <c r="AC17" s="58"/>
      <c r="AD17" s="58"/>
    </row>
    <row r="18" customFormat="false" ht="27.75" hidden="false" customHeight="true" outlineLevel="0" collapsed="false">
      <c r="A18" s="11"/>
      <c r="B18" s="6" t="s">
        <v>24</v>
      </c>
      <c r="C18" s="62" t="n">
        <v>44501</v>
      </c>
      <c r="D18" s="62"/>
      <c r="E18" s="13"/>
      <c r="F18" s="19"/>
      <c r="G18" s="17"/>
      <c r="H18" s="17"/>
      <c r="I18" s="17"/>
      <c r="J18" s="17"/>
      <c r="K18" s="17"/>
      <c r="L18" s="17"/>
      <c r="M18" s="63" t="s">
        <v>25</v>
      </c>
      <c r="N18" s="63"/>
      <c r="O18" s="63"/>
      <c r="P18" s="63"/>
      <c r="Q18" s="63"/>
      <c r="R18" s="64" t="n">
        <f aca="false">R16-R17</f>
        <v>264399.596354167</v>
      </c>
      <c r="S18" s="64"/>
      <c r="T18" s="64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customFormat="false" ht="17.25" hidden="false" customHeight="true" outlineLevel="0" collapsed="false">
      <c r="A19" s="11"/>
      <c r="B19" s="6"/>
      <c r="C19" s="62"/>
      <c r="D19" s="62"/>
      <c r="E19" s="13"/>
      <c r="F19" s="19"/>
      <c r="G19" s="17"/>
      <c r="H19" s="17"/>
      <c r="I19" s="17"/>
      <c r="J19" s="17"/>
      <c r="K19" s="17"/>
      <c r="L19" s="17"/>
      <c r="M19" s="65" t="s">
        <v>26</v>
      </c>
      <c r="N19" s="65"/>
      <c r="O19" s="65"/>
      <c r="P19" s="65"/>
      <c r="Q19" s="65"/>
      <c r="R19" s="66" t="n">
        <f aca="false">(C16-H16)*M1*0.65</f>
        <v>226572.497395833</v>
      </c>
      <c r="S19" s="66"/>
      <c r="T19" s="66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1" activeCellId="0" sqref="E41"/>
    </sheetView>
  </sheetViews>
  <sheetFormatPr defaultRowHeight="12.8" zeroHeight="false" outlineLevelRow="0" outlineLevelCol="0"/>
  <cols>
    <col collapsed="false" customWidth="true" hidden="false" outlineLevel="0" max="1" min="1" style="0" width="13.58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5.76"/>
    <col collapsed="false" customWidth="true" hidden="false" outlineLevel="0" max="5" min="5" style="0" width="18.88"/>
    <col collapsed="false" customWidth="true" hidden="false" outlineLevel="0" max="7" min="6" style="0" width="4.65"/>
    <col collapsed="false" customWidth="true" hidden="false" outlineLevel="0" max="8" min="8" style="0" width="11.11"/>
    <col collapsed="false" customWidth="true" hidden="false" outlineLevel="0" max="9" min="9" style="0" width="10.11"/>
    <col collapsed="false" customWidth="true" hidden="false" outlineLevel="0" max="10" min="10" style="0" width="6.31"/>
    <col collapsed="false" customWidth="true" hidden="false" outlineLevel="0" max="11" min="11" style="0" width="16.89"/>
    <col collapsed="false" customWidth="true" hidden="false" outlineLevel="0" max="12" min="12" style="0" width="2.43"/>
    <col collapsed="false" customWidth="true" hidden="false" outlineLevel="0" max="13" min="13" style="0" width="13.58"/>
    <col collapsed="false" customWidth="true" hidden="false" outlineLevel="0" max="14" min="14" style="0" width="12.26"/>
    <col collapsed="false" customWidth="true" hidden="false" outlineLevel="0" max="15" min="15" style="0" width="7.95"/>
    <col collapsed="false" customWidth="true" hidden="false" outlineLevel="0" max="16" min="16" style="0" width="9.12"/>
    <col collapsed="false" customWidth="true" hidden="false" outlineLevel="0" max="17" min="17" style="0" width="6.81"/>
    <col collapsed="false" customWidth="true" hidden="false" outlineLevel="0" max="18" min="18" style="0" width="10.61"/>
    <col collapsed="false" customWidth="true" hidden="false" outlineLevel="0" max="19" min="19" style="0" width="12.26"/>
    <col collapsed="false" customWidth="true" hidden="false" outlineLevel="0" max="20" min="20" style="0" width="10.61"/>
    <col collapsed="false" customWidth="false" hidden="false" outlineLevel="0" max="1025" min="21" style="0" width="11.52"/>
  </cols>
  <sheetData>
    <row r="1" customFormat="false" ht="22.0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5" t="n">
        <v>2.5</v>
      </c>
      <c r="N1" s="5"/>
      <c r="O1" s="5"/>
      <c r="P1" s="5"/>
      <c r="Q1" s="5"/>
      <c r="R1" s="5"/>
      <c r="S1" s="5"/>
      <c r="T1" s="5"/>
    </row>
    <row r="2" customFormat="false" ht="19.7" hidden="false" customHeight="false" outlineLevel="0" collapsed="false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 t="s">
        <v>2</v>
      </c>
      <c r="N2" s="8"/>
      <c r="O2" s="8"/>
      <c r="P2" s="8"/>
      <c r="Q2" s="8"/>
      <c r="R2" s="8"/>
      <c r="S2" s="8"/>
      <c r="T2" s="8"/>
    </row>
    <row r="3" customFormat="false" ht="12.8" hidden="false" customHeight="false" outlineLevel="0" collapsed="false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10"/>
      <c r="M3" s="9" t="s">
        <v>3</v>
      </c>
      <c r="N3" s="9" t="s">
        <v>14</v>
      </c>
      <c r="O3" s="9" t="s">
        <v>4</v>
      </c>
      <c r="P3" s="9" t="s">
        <v>5</v>
      </c>
      <c r="Q3" s="9" t="s">
        <v>15</v>
      </c>
      <c r="R3" s="9" t="s">
        <v>16</v>
      </c>
      <c r="S3" s="6" t="s">
        <v>17</v>
      </c>
      <c r="T3" s="6" t="s">
        <v>18</v>
      </c>
    </row>
    <row r="4" customFormat="false" ht="12.8" hidden="false" customHeight="false" outlineLevel="0" collapsed="false">
      <c r="A4" s="11" t="n">
        <v>42457</v>
      </c>
      <c r="B4" s="12" t="n">
        <v>0.0011</v>
      </c>
      <c r="C4" s="13" t="n">
        <v>30000</v>
      </c>
      <c r="D4" s="14" t="n">
        <v>1</v>
      </c>
      <c r="E4" s="15" t="s">
        <v>19</v>
      </c>
      <c r="F4" s="16" t="n">
        <f aca="true">DATEDIF(A4,TODAY(),"Y")</f>
        <v>4</v>
      </c>
      <c r="G4" s="17" t="n">
        <f aca="true">MAX(0,MIN(48*0.75,DATEDIF(A4,TODAY(),"M")-12))</f>
        <v>36</v>
      </c>
      <c r="H4" s="18" t="n">
        <f aca="false">C4*0.25+C4*G4/48</f>
        <v>30000</v>
      </c>
      <c r="I4" s="13" t="n">
        <v>30000</v>
      </c>
      <c r="J4" s="19" t="n">
        <f aca="false">H4/C4</f>
        <v>1</v>
      </c>
      <c r="K4" s="11" t="n">
        <f aca="false">DATE(YEAR(A4)+4, MONTH(A4), DAY(A4))</f>
        <v>43918</v>
      </c>
      <c r="L4" s="20"/>
      <c r="M4" s="11" t="n">
        <v>42457</v>
      </c>
      <c r="N4" s="11" t="n">
        <v>44001</v>
      </c>
      <c r="O4" s="12" t="n">
        <v>0.0011</v>
      </c>
      <c r="P4" s="13" t="n">
        <v>30000</v>
      </c>
      <c r="Q4" s="21" t="n">
        <f aca="false">P4*O4</f>
        <v>33</v>
      </c>
      <c r="R4" s="22" t="n">
        <f aca="false">P4*M$1</f>
        <v>75000</v>
      </c>
      <c r="S4" s="11" t="n">
        <f aca="false">DATE(YEAR(N4)+1,MONTH(N4),DAY(N4))</f>
        <v>44366</v>
      </c>
      <c r="T4" s="23" t="n">
        <f aca="false">IF($C$18&gt;S4, R4*0.15, R4*0.35)</f>
        <v>11250</v>
      </c>
    </row>
    <row r="5" customFormat="false" ht="12.8" hidden="false" customHeight="false" outlineLevel="0" collapsed="false">
      <c r="A5" s="11" t="n">
        <v>43447</v>
      </c>
      <c r="B5" s="12" t="n">
        <v>0.0011</v>
      </c>
      <c r="C5" s="13" t="n">
        <v>123519</v>
      </c>
      <c r="D5" s="14" t="n">
        <v>1</v>
      </c>
      <c r="E5" s="15" t="s">
        <v>20</v>
      </c>
      <c r="F5" s="24" t="s">
        <v>21</v>
      </c>
      <c r="G5" s="17" t="n">
        <f aca="true">MAX(0,MIN(36,DATEDIF(A5,TODAY(),"M")))</f>
        <v>26</v>
      </c>
      <c r="H5" s="18" t="n">
        <f aca="false">C5*0.35+(C5*0.65)*G5/36</f>
        <v>101216.958333333</v>
      </c>
      <c r="I5" s="25" t="n">
        <v>83375</v>
      </c>
      <c r="J5" s="19" t="n">
        <f aca="false">H5/C5</f>
        <v>0.819444444444444</v>
      </c>
      <c r="K5" s="11" t="n">
        <f aca="false">DATE(YEAR(A5)+3, MONTH(A5), DAY(A5))</f>
        <v>44543</v>
      </c>
      <c r="L5" s="26"/>
      <c r="M5" s="11" t="n">
        <v>43447</v>
      </c>
      <c r="N5" s="11" t="n">
        <v>44001</v>
      </c>
      <c r="O5" s="12" t="n">
        <v>0.0011</v>
      </c>
      <c r="P5" s="25" t="n">
        <v>83375</v>
      </c>
      <c r="Q5" s="21" t="n">
        <f aca="false">O5*P5</f>
        <v>91.7125</v>
      </c>
      <c r="R5" s="22" t="n">
        <f aca="false">P5*M$1</f>
        <v>208437.5</v>
      </c>
      <c r="S5" s="11" t="n">
        <f aca="false">DATE(YEAR(N5)+1,MONTH(N5),DAY(N5))</f>
        <v>44366</v>
      </c>
      <c r="T5" s="23" t="n">
        <f aca="false">IF($C$18&gt;S5, R5*0.15, R5*0.35)</f>
        <v>31265.625</v>
      </c>
    </row>
    <row r="6" customFormat="false" ht="12.8" hidden="false" customHeight="false" outlineLevel="0" collapsed="false">
      <c r="A6" s="11" t="n">
        <v>43602</v>
      </c>
      <c r="B6" s="12" t="n">
        <v>0.0011</v>
      </c>
      <c r="C6" s="13" t="n">
        <v>38380</v>
      </c>
      <c r="D6" s="14" t="n">
        <v>1</v>
      </c>
      <c r="E6" s="15" t="s">
        <v>19</v>
      </c>
      <c r="F6" s="16" t="n">
        <f aca="true">DATEDIF(A6,TODAY(),"Y")</f>
        <v>1</v>
      </c>
      <c r="G6" s="17" t="n">
        <f aca="true">MAX(0,MIN(48*0.75,DATEDIF(A6,TODAY(),"M")-12))</f>
        <v>9</v>
      </c>
      <c r="H6" s="18" t="n">
        <f aca="false">C6*0.25+C6*G6/48</f>
        <v>16791.25</v>
      </c>
      <c r="I6" s="25" t="n">
        <v>10394</v>
      </c>
      <c r="J6" s="19" t="n">
        <f aca="false">H6/C6</f>
        <v>0.4375</v>
      </c>
      <c r="K6" s="11" t="n">
        <f aca="false">DATE(YEAR(A6)+4, MONTH(A6), DAY(A6))</f>
        <v>45063</v>
      </c>
      <c r="L6" s="26"/>
      <c r="M6" s="27" t="n">
        <v>43602</v>
      </c>
      <c r="N6" s="27" t="n">
        <v>44001</v>
      </c>
      <c r="O6" s="28" t="n">
        <v>0.0011</v>
      </c>
      <c r="P6" s="29" t="n">
        <v>10394</v>
      </c>
      <c r="Q6" s="30" t="n">
        <f aca="false">O6*P6</f>
        <v>11.4334</v>
      </c>
      <c r="R6" s="31" t="n">
        <f aca="false">P6*M$1</f>
        <v>25985</v>
      </c>
      <c r="S6" s="27" t="n">
        <f aca="false">DATE(YEAR(N6)+1,MONTH(N6),DAY(N6))</f>
        <v>44366</v>
      </c>
      <c r="T6" s="32" t="n">
        <f aca="false">IF($C$18&gt;S6, R6*0.15, R6*0.35)</f>
        <v>3897.75</v>
      </c>
    </row>
    <row r="7" customFormat="false" ht="12.8" hidden="false" customHeight="false" outlineLevel="0" collapsed="false">
      <c r="A7" s="11" t="n">
        <v>43769</v>
      </c>
      <c r="B7" s="12" t="n">
        <v>0.0011</v>
      </c>
      <c r="C7" s="13" t="n">
        <v>138965</v>
      </c>
      <c r="D7" s="14" t="n">
        <v>1</v>
      </c>
      <c r="E7" s="15" t="s">
        <v>19</v>
      </c>
      <c r="F7" s="16" t="n">
        <f aca="true">DATEDIF(A7,TODAY(),"Y")</f>
        <v>1</v>
      </c>
      <c r="G7" s="17" t="n">
        <f aca="true">MAX(0,MIN(48*0.75,DATEDIF(A7,TODAY(),"M")-12))</f>
        <v>3</v>
      </c>
      <c r="H7" s="18" t="n">
        <f aca="false">C7*IF(F7&gt;=1,0.25,0)+C7*G7/48</f>
        <v>43426.5625</v>
      </c>
      <c r="I7" s="13" t="n">
        <v>0</v>
      </c>
      <c r="J7" s="19" t="n">
        <f aca="false">H7/C7</f>
        <v>0.3125</v>
      </c>
      <c r="K7" s="11" t="n">
        <f aca="false">DATE(YEAR(A7)+4, MONTH(A7), DAY(A7))</f>
        <v>45230</v>
      </c>
      <c r="L7" s="20"/>
      <c r="M7" s="11" t="n">
        <v>43447</v>
      </c>
      <c r="N7" s="33" t="n">
        <v>47848</v>
      </c>
      <c r="O7" s="12" t="n">
        <v>0.0011</v>
      </c>
      <c r="P7" s="13" t="n">
        <f aca="false">H5-I5</f>
        <v>17841.9583333333</v>
      </c>
      <c r="Q7" s="21" t="n">
        <f aca="false">O7*P7</f>
        <v>19.6261541666667</v>
      </c>
      <c r="R7" s="22" t="n">
        <f aca="false">P7*M$1</f>
        <v>44604.8958333334</v>
      </c>
      <c r="S7" s="11" t="n">
        <f aca="false">DATE(YEAR(N7)+1,MONTH(N7),DAY(N7))</f>
        <v>48213</v>
      </c>
      <c r="T7" s="23" t="n">
        <f aca="false">IF($C$18&gt;S7, R7*0.15, R7*0.35)</f>
        <v>15611.7135416667</v>
      </c>
    </row>
    <row r="8" customFormat="false" ht="12.8" hidden="false" customHeight="false" outlineLevel="0" collapsed="false">
      <c r="A8" s="17"/>
      <c r="B8" s="12"/>
      <c r="C8" s="13"/>
      <c r="D8" s="14"/>
      <c r="E8" s="13"/>
      <c r="F8" s="19"/>
      <c r="G8" s="17"/>
      <c r="H8" s="18"/>
      <c r="I8" s="13"/>
      <c r="J8" s="17"/>
      <c r="K8" s="17"/>
      <c r="L8" s="20"/>
      <c r="M8" s="11" t="n">
        <v>43602</v>
      </c>
      <c r="N8" s="33" t="n">
        <v>47848</v>
      </c>
      <c r="O8" s="12" t="n">
        <v>0.0011</v>
      </c>
      <c r="P8" s="13" t="n">
        <f aca="false">H6-I6</f>
        <v>6397.25</v>
      </c>
      <c r="Q8" s="21" t="n">
        <f aca="false">O8*P8</f>
        <v>7.036975</v>
      </c>
      <c r="R8" s="22" t="n">
        <f aca="false">P8*M$1</f>
        <v>15993.125</v>
      </c>
      <c r="S8" s="11" t="n">
        <f aca="false">DATE(YEAR(N8)+1,MONTH(N8),DAY(N8))</f>
        <v>48213</v>
      </c>
      <c r="T8" s="23" t="n">
        <f aca="false">IF($C$18&gt;S8, R8*0.15, R8*0.35)</f>
        <v>5597.59375</v>
      </c>
    </row>
    <row r="9" customFormat="false" ht="12.8" hidden="false" customHeight="false" outlineLevel="0" collapsed="false">
      <c r="A9" s="17"/>
      <c r="B9" s="17"/>
      <c r="C9" s="17"/>
      <c r="D9" s="34"/>
      <c r="E9" s="17"/>
      <c r="F9" s="17"/>
      <c r="G9" s="17"/>
      <c r="H9" s="17"/>
      <c r="I9" s="17"/>
      <c r="J9" s="17"/>
      <c r="K9" s="17"/>
      <c r="L9" s="35"/>
      <c r="M9" s="11" t="n">
        <v>43769</v>
      </c>
      <c r="N9" s="33" t="n">
        <v>47848</v>
      </c>
      <c r="O9" s="12" t="n">
        <v>0.0011</v>
      </c>
      <c r="P9" s="13" t="n">
        <f aca="false">H7-I7</f>
        <v>43426.5625</v>
      </c>
      <c r="Q9" s="21" t="n">
        <f aca="false">O9*P9</f>
        <v>47.76921875</v>
      </c>
      <c r="R9" s="22" t="n">
        <f aca="false">P9*M$1</f>
        <v>108566.40625</v>
      </c>
      <c r="S9" s="11" t="n">
        <f aca="false">DATE(YEAR(N9)+1,MONTH(N9),DAY(N9))</f>
        <v>48213</v>
      </c>
      <c r="T9" s="23" t="n">
        <f aca="false">IF($C$18&gt;S9, R9*0.15, R9*0.35)</f>
        <v>37998.2421875</v>
      </c>
    </row>
    <row r="10" customFormat="false" ht="12.8" hidden="false" customHeight="false" outlineLevel="0" collapsed="false">
      <c r="A10" s="36"/>
      <c r="B10" s="17"/>
      <c r="C10" s="17"/>
      <c r="D10" s="34"/>
      <c r="E10" s="17"/>
      <c r="F10" s="17"/>
      <c r="G10" s="17"/>
      <c r="H10" s="17"/>
      <c r="I10" s="17"/>
      <c r="J10" s="17"/>
      <c r="K10" s="17"/>
      <c r="L10" s="35"/>
      <c r="M10" s="17"/>
      <c r="N10" s="37"/>
      <c r="O10" s="17"/>
      <c r="P10" s="13"/>
      <c r="Q10" s="21"/>
      <c r="R10" s="22"/>
      <c r="S10" s="17"/>
      <c r="T10" s="17"/>
    </row>
    <row r="11" customFormat="false" ht="12.8" hidden="false" customHeight="false" outlineLevel="0" collapsed="false">
      <c r="A11" s="13"/>
      <c r="B11" s="17"/>
      <c r="C11" s="17"/>
      <c r="D11" s="34"/>
      <c r="E11" s="17"/>
      <c r="F11" s="17"/>
      <c r="G11" s="17"/>
      <c r="H11" s="17"/>
      <c r="I11" s="17"/>
      <c r="J11" s="17"/>
      <c r="K11" s="17"/>
      <c r="L11" s="35"/>
      <c r="M11" s="17"/>
      <c r="N11" s="17"/>
      <c r="O11" s="17"/>
      <c r="P11" s="13"/>
      <c r="Q11" s="21"/>
      <c r="R11" s="22"/>
      <c r="S11" s="17"/>
      <c r="T11" s="17"/>
    </row>
    <row r="12" customFormat="false" ht="12.8" hidden="false" customHeight="false" outlineLevel="0" collapsed="false">
      <c r="A12" s="38"/>
      <c r="B12" s="36"/>
      <c r="C12" s="17"/>
      <c r="D12" s="34"/>
      <c r="E12" s="17"/>
      <c r="F12" s="17"/>
      <c r="G12" s="17"/>
      <c r="H12" s="17"/>
      <c r="I12" s="17"/>
      <c r="J12" s="17"/>
      <c r="K12" s="17"/>
      <c r="L12" s="35"/>
      <c r="M12" s="17"/>
      <c r="N12" s="17"/>
      <c r="O12" s="17"/>
      <c r="P12" s="22"/>
      <c r="Q12" s="21"/>
      <c r="R12" s="17"/>
      <c r="S12" s="17"/>
      <c r="T12" s="17"/>
    </row>
    <row r="13" customFormat="false" ht="12.8" hidden="false" customHeight="false" outlineLevel="0" collapsed="false">
      <c r="A13" s="39"/>
      <c r="B13" s="40"/>
      <c r="C13" s="6"/>
      <c r="D13" s="6"/>
      <c r="E13" s="17"/>
      <c r="F13" s="17"/>
      <c r="G13" s="17"/>
      <c r="H13" s="6"/>
      <c r="I13" s="6"/>
      <c r="J13" s="6"/>
      <c r="K13" s="6"/>
      <c r="L13" s="41"/>
      <c r="M13" s="17"/>
      <c r="N13" s="17"/>
      <c r="O13" s="17"/>
      <c r="P13" s="22"/>
      <c r="Q13" s="21"/>
      <c r="R13" s="17"/>
      <c r="S13" s="17"/>
      <c r="T13" s="17"/>
    </row>
    <row r="14" customFormat="false" ht="12.8" hidden="false" customHeight="false" outlineLevel="0" collapsed="false">
      <c r="A14" s="11"/>
      <c r="B14" s="12"/>
      <c r="C14" s="13"/>
      <c r="D14" s="14"/>
      <c r="E14" s="17"/>
      <c r="F14" s="17"/>
      <c r="G14" s="17"/>
      <c r="H14" s="17"/>
      <c r="I14" s="17"/>
      <c r="J14" s="17"/>
      <c r="K14" s="17"/>
      <c r="L14" s="35"/>
      <c r="M14" s="17"/>
      <c r="N14" s="17"/>
      <c r="O14" s="17"/>
      <c r="P14" s="22"/>
      <c r="Q14" s="21"/>
      <c r="R14" s="17"/>
      <c r="S14" s="17"/>
      <c r="T14" s="17"/>
    </row>
    <row r="15" customFormat="false" ht="12.8" hidden="false" customHeight="false" outlineLevel="0" collapsed="false">
      <c r="A15" s="11"/>
      <c r="B15" s="12"/>
      <c r="C15" s="13"/>
      <c r="D15" s="14"/>
      <c r="E15" s="17"/>
      <c r="F15" s="17"/>
      <c r="G15" s="17"/>
      <c r="H15" s="17"/>
      <c r="I15" s="17"/>
      <c r="J15" s="17"/>
      <c r="K15" s="17"/>
      <c r="L15" s="35"/>
      <c r="M15" s="17"/>
      <c r="N15" s="17"/>
      <c r="O15" s="17"/>
      <c r="P15" s="22"/>
      <c r="Q15" s="17"/>
      <c r="R15" s="17"/>
      <c r="S15" s="17"/>
      <c r="T15" s="17"/>
    </row>
    <row r="16" customFormat="false" ht="15" hidden="false" customHeight="false" outlineLevel="0" collapsed="false">
      <c r="A16" s="42" t="str">
        <f aca="false">"Grants: "&amp;COUNT(A4:A7)</f>
        <v>Grants: 4</v>
      </c>
      <c r="B16" s="43"/>
      <c r="C16" s="44" t="n">
        <f aca="false">SUM(C4:C7)</f>
        <v>330864</v>
      </c>
      <c r="D16" s="45"/>
      <c r="E16" s="44"/>
      <c r="F16" s="46"/>
      <c r="G16" s="47"/>
      <c r="H16" s="48" t="n">
        <f aca="false">SUM(H4:H8)</f>
        <v>191434.770833333</v>
      </c>
      <c r="I16" s="44" t="n">
        <f aca="false">SUM(I4:I8)</f>
        <v>123769</v>
      </c>
      <c r="J16" s="46" t="n">
        <f aca="false">H16/C16</f>
        <v>0.578590511005529</v>
      </c>
      <c r="K16" s="46"/>
      <c r="L16" s="49"/>
      <c r="M16" s="50" t="s">
        <v>22</v>
      </c>
      <c r="N16" s="50"/>
      <c r="O16" s="50"/>
      <c r="P16" s="50"/>
      <c r="Q16" s="50"/>
      <c r="R16" s="51" t="n">
        <f aca="false">SUM(R4:R8)</f>
        <v>370020.520833333</v>
      </c>
      <c r="S16" s="51"/>
      <c r="T16" s="51"/>
    </row>
    <row r="17" customFormat="false" ht="15" hidden="false" customHeight="false" outlineLevel="0" collapsed="false">
      <c r="A17" s="53"/>
      <c r="B17" s="54"/>
      <c r="C17" s="55"/>
      <c r="D17" s="56"/>
      <c r="E17" s="55"/>
      <c r="F17" s="57"/>
      <c r="G17" s="58"/>
      <c r="H17" s="58"/>
      <c r="I17" s="58"/>
      <c r="J17" s="58"/>
      <c r="K17" s="58"/>
      <c r="L17" s="59"/>
      <c r="M17" s="50" t="s">
        <v>23</v>
      </c>
      <c r="N17" s="50"/>
      <c r="O17" s="50"/>
      <c r="P17" s="50"/>
      <c r="Q17" s="50"/>
      <c r="R17" s="60" t="n">
        <f aca="false">SUM(T4:T9)</f>
        <v>105620.924479167</v>
      </c>
      <c r="S17" s="60"/>
      <c r="T17" s="60"/>
    </row>
    <row r="18" customFormat="false" ht="22.05" hidden="false" customHeight="false" outlineLevel="0" collapsed="false">
      <c r="A18" s="11"/>
      <c r="B18" s="6" t="s">
        <v>24</v>
      </c>
      <c r="C18" s="62" t="n">
        <v>44501</v>
      </c>
      <c r="D18" s="62"/>
      <c r="E18" s="13"/>
      <c r="F18" s="19"/>
      <c r="G18" s="17"/>
      <c r="H18" s="17"/>
      <c r="I18" s="17"/>
      <c r="J18" s="17"/>
      <c r="K18" s="17"/>
      <c r="L18" s="17"/>
      <c r="M18" s="63" t="s">
        <v>25</v>
      </c>
      <c r="N18" s="63"/>
      <c r="O18" s="63"/>
      <c r="P18" s="63"/>
      <c r="Q18" s="63"/>
      <c r="R18" s="64" t="n">
        <f aca="false">R16-R17</f>
        <v>264399.596354167</v>
      </c>
      <c r="S18" s="64"/>
      <c r="T18" s="64"/>
    </row>
    <row r="19" customFormat="false" ht="15" hidden="false" customHeight="false" outlineLevel="0" collapsed="false">
      <c r="A19" s="11"/>
      <c r="B19" s="6"/>
      <c r="C19" s="62"/>
      <c r="D19" s="62"/>
      <c r="E19" s="13"/>
      <c r="F19" s="19"/>
      <c r="G19" s="17"/>
      <c r="H19" s="17"/>
      <c r="I19" s="17"/>
      <c r="J19" s="17"/>
      <c r="K19" s="17"/>
      <c r="L19" s="17"/>
      <c r="M19" s="65" t="s">
        <v>26</v>
      </c>
      <c r="N19" s="65"/>
      <c r="O19" s="65"/>
      <c r="P19" s="65"/>
      <c r="Q19" s="65"/>
      <c r="R19" s="66" t="n">
        <f aca="false">(C16-H16)*M1*0.65</f>
        <v>226572.497395833</v>
      </c>
      <c r="S19" s="66"/>
      <c r="T19" s="66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RowHeight="12.8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8.9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27</v>
      </c>
    </row>
    <row r="2" customFormat="false" ht="12.8" hidden="false" customHeight="false" outlineLevel="0" collapsed="false">
      <c r="A2" s="0" t="s">
        <v>28</v>
      </c>
    </row>
    <row r="3" customFormat="false" ht="12.8" hidden="false" customHeight="false" outlineLevel="0" collapsed="false">
      <c r="A3" s="0" t="s">
        <v>29</v>
      </c>
      <c r="B3" s="0" t="n">
        <v>12550</v>
      </c>
    </row>
    <row r="4" customFormat="false" ht="12.8" hidden="false" customHeight="false" outlineLevel="0" collapsed="false">
      <c r="A4" s="0" t="s">
        <v>30</v>
      </c>
      <c r="B4" s="0" t="n">
        <v>73600</v>
      </c>
    </row>
    <row r="5" customFormat="false" ht="12.8" hidden="false" customHeight="false" outlineLevel="0" collapsed="false">
      <c r="A5" s="0" t="s">
        <v>31</v>
      </c>
      <c r="B5" s="0" t="n">
        <v>523600</v>
      </c>
    </row>
    <row r="6" customFormat="false" ht="12.8" hidden="false" customHeight="false" outlineLevel="0" collapsed="false">
      <c r="A6" s="0" t="s">
        <v>32</v>
      </c>
      <c r="B6" s="67" t="s">
        <v>33</v>
      </c>
    </row>
    <row r="8" customFormat="false" ht="12.8" hidden="false" customHeight="false" outlineLevel="0" collapsed="false">
      <c r="A8" s="0" t="s">
        <v>34</v>
      </c>
    </row>
    <row r="9" customFormat="false" ht="12.8" hidden="false" customHeight="false" outlineLevel="0" collapsed="false">
      <c r="A9" s="68" t="s">
        <v>35</v>
      </c>
      <c r="B9" s="68" t="s">
        <v>36</v>
      </c>
      <c r="C9" s="68"/>
      <c r="D9" s="68"/>
    </row>
    <row r="10" customFormat="false" ht="12.8" hidden="false" customHeight="false" outlineLevel="0" collapsed="false">
      <c r="A10" s="69" t="s">
        <v>37</v>
      </c>
      <c r="B10" s="70" t="s">
        <v>38</v>
      </c>
      <c r="C10" s="70"/>
      <c r="D10" s="70"/>
    </row>
    <row r="11" customFormat="false" ht="12.8" hidden="false" customHeight="false" outlineLevel="0" collapsed="false">
      <c r="A11" s="69" t="s">
        <v>39</v>
      </c>
      <c r="B11" s="70" t="s">
        <v>40</v>
      </c>
      <c r="C11" s="70"/>
      <c r="D11" s="70"/>
    </row>
    <row r="12" customFormat="false" ht="12.8" hidden="false" customHeight="false" outlineLevel="0" collapsed="false">
      <c r="A12" s="69" t="s">
        <v>41</v>
      </c>
      <c r="B12" s="70" t="s">
        <v>42</v>
      </c>
      <c r="C12" s="70"/>
      <c r="D12" s="70"/>
    </row>
    <row r="13" customFormat="false" ht="12.8" hidden="false" customHeight="false" outlineLevel="0" collapsed="false">
      <c r="A13" s="69" t="s">
        <v>43</v>
      </c>
      <c r="B13" s="70" t="s">
        <v>44</v>
      </c>
      <c r="C13" s="70"/>
      <c r="D13" s="70"/>
    </row>
    <row r="14" customFormat="false" ht="12.8" hidden="false" customHeight="false" outlineLevel="0" collapsed="false">
      <c r="A14" s="69" t="s">
        <v>45</v>
      </c>
      <c r="B14" s="70" t="s">
        <v>46</v>
      </c>
      <c r="C14" s="70"/>
      <c r="D14" s="70"/>
    </row>
    <row r="15" customFormat="false" ht="12.8" hidden="false" customHeight="false" outlineLevel="0" collapsed="false">
      <c r="A15" s="69" t="s">
        <v>47</v>
      </c>
      <c r="B15" s="70" t="s">
        <v>48</v>
      </c>
      <c r="C15" s="70"/>
      <c r="D15" s="70"/>
    </row>
    <row r="16" customFormat="false" ht="12.8" hidden="false" customHeight="false" outlineLevel="0" collapsed="false">
      <c r="A16" s="69" t="s">
        <v>49</v>
      </c>
      <c r="B16" s="70" t="s">
        <v>50</v>
      </c>
    </row>
    <row r="19" customFormat="false" ht="12.8" hidden="false" customHeight="false" outlineLevel="0" collapsed="false">
      <c r="A19" s="0" t="s">
        <v>51</v>
      </c>
    </row>
    <row r="20" customFormat="false" ht="12.8" hidden="false" customHeight="false" outlineLevel="0" collapsed="false">
      <c r="A20" s="68" t="s">
        <v>35</v>
      </c>
      <c r="B20" s="68" t="s">
        <v>36</v>
      </c>
    </row>
    <row r="21" customFormat="false" ht="12.8" hidden="false" customHeight="false" outlineLevel="0" collapsed="false">
      <c r="A21" s="69" t="s">
        <v>52</v>
      </c>
      <c r="B21" s="70" t="s">
        <v>53</v>
      </c>
    </row>
    <row r="22" customFormat="false" ht="12.8" hidden="false" customHeight="false" outlineLevel="0" collapsed="false">
      <c r="A22" s="69" t="s">
        <v>54</v>
      </c>
      <c r="B22" s="71" t="s">
        <v>55</v>
      </c>
    </row>
    <row r="26" customFormat="false" ht="12.8" hidden="false" customHeight="false" outlineLevel="0" collapsed="false">
      <c r="A26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2021-02-19T13:25:53Z</dcterms:modified>
  <cp:revision>5</cp:revision>
  <dc:subject/>
  <dc:title/>
</cp:coreProperties>
</file>