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quelAngelSerraMoll/Desktop/Doctorat/AIMS/"/>
    </mc:Choice>
  </mc:AlternateContent>
  <xr:revisionPtr revIDLastSave="0" documentId="13_ncr:1_{A120DC26-22D3-C44E-8EED-FDA448CEED09}" xr6:coauthVersionLast="47" xr6:coauthVersionMax="47" xr10:uidLastSave="{00000000-0000-0000-0000-000000000000}"/>
  <bookViews>
    <workbookView xWindow="20" yWindow="680" windowWidth="28780" windowHeight="16420" activeTab="13" xr2:uid="{00000000-000D-0000-FFFF-FFFF00000000}"/>
  </bookViews>
  <sheets>
    <sheet name="Results" sheetId="20" r:id="rId1"/>
    <sheet name="Variables" sheetId="35" r:id="rId2"/>
    <sheet name="Maximum Operator" sheetId="7" r:id="rId3"/>
    <sheet name="Minimum Operator" sheetId="62" r:id="rId4"/>
    <sheet name="Arithmetic Mean" sheetId="63" r:id="rId5"/>
    <sheet name="M1w1" sheetId="69" r:id="rId6"/>
    <sheet name="M1w2" sheetId="65" r:id="rId7"/>
    <sheet name="M1w3" sheetId="66" r:id="rId8"/>
    <sheet name="M1w4" sheetId="67" r:id="rId9"/>
    <sheet name="M1w5" sheetId="64" r:id="rId10"/>
    <sheet name="M2w1" sheetId="29" r:id="rId11"/>
    <sheet name="M2w2" sheetId="68" r:id="rId12"/>
    <sheet name="M2w3" sheetId="70" r:id="rId13"/>
    <sheet name="M2w5" sheetId="7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0" l="1"/>
  <c r="C14" i="20"/>
  <c r="C13" i="20"/>
  <c r="C7" i="20"/>
  <c r="AB11" i="69"/>
  <c r="AB10" i="69"/>
  <c r="AB9" i="69"/>
  <c r="AB8" i="69"/>
  <c r="AB7" i="69"/>
  <c r="AB6" i="69"/>
  <c r="X11" i="69"/>
  <c r="X10" i="69"/>
  <c r="X9" i="69"/>
  <c r="X8" i="69"/>
  <c r="X7" i="69"/>
  <c r="X6" i="69"/>
  <c r="T11" i="69"/>
  <c r="T10" i="69"/>
  <c r="T9" i="69"/>
  <c r="U9" i="69" s="1"/>
  <c r="E16" i="69" s="1"/>
  <c r="T8" i="69"/>
  <c r="T7" i="69"/>
  <c r="T6" i="69"/>
  <c r="P11" i="69"/>
  <c r="P10" i="69"/>
  <c r="P9" i="69"/>
  <c r="P8" i="69"/>
  <c r="P7" i="69"/>
  <c r="P6" i="69"/>
  <c r="L7" i="69"/>
  <c r="L8" i="69"/>
  <c r="L9" i="69"/>
  <c r="L10" i="69"/>
  <c r="M10" i="69" s="1"/>
  <c r="C17" i="69" s="1"/>
  <c r="L11" i="69"/>
  <c r="L6" i="69"/>
  <c r="G8" i="72"/>
  <c r="F8" i="72"/>
  <c r="E8" i="72"/>
  <c r="D8" i="72"/>
  <c r="C8" i="72"/>
  <c r="L6" i="64"/>
  <c r="G7" i="72"/>
  <c r="F7" i="72"/>
  <c r="F9" i="72" s="1"/>
  <c r="F14" i="72" s="1"/>
  <c r="E7" i="72"/>
  <c r="E9" i="72" s="1"/>
  <c r="E14" i="72" s="1"/>
  <c r="D7" i="72"/>
  <c r="C7" i="72"/>
  <c r="C9" i="72" s="1"/>
  <c r="C14" i="72" s="1"/>
  <c r="G6" i="72"/>
  <c r="F6" i="72"/>
  <c r="E6" i="72"/>
  <c r="D6" i="72"/>
  <c r="C6" i="72"/>
  <c r="D10" i="70"/>
  <c r="E10" i="70"/>
  <c r="F10" i="70"/>
  <c r="G10" i="70"/>
  <c r="C10" i="70"/>
  <c r="F9" i="70"/>
  <c r="G8" i="70"/>
  <c r="F8" i="70"/>
  <c r="E8" i="70"/>
  <c r="D8" i="70"/>
  <c r="G7" i="70"/>
  <c r="F7" i="70"/>
  <c r="F11" i="70" s="1"/>
  <c r="F16" i="70" s="1"/>
  <c r="E7" i="70"/>
  <c r="D7" i="70"/>
  <c r="C7" i="70"/>
  <c r="G6" i="70"/>
  <c r="G9" i="70" s="1"/>
  <c r="F6" i="70"/>
  <c r="E6" i="70"/>
  <c r="E9" i="70" s="1"/>
  <c r="D6" i="70"/>
  <c r="D9" i="70" s="1"/>
  <c r="C6" i="70"/>
  <c r="C8" i="70" s="1"/>
  <c r="D11" i="68"/>
  <c r="E11" i="68"/>
  <c r="F11" i="68"/>
  <c r="G11" i="68"/>
  <c r="C11" i="68"/>
  <c r="D10" i="68"/>
  <c r="E10" i="68"/>
  <c r="F10" i="68"/>
  <c r="G10" i="68"/>
  <c r="C10" i="68"/>
  <c r="E9" i="68"/>
  <c r="F9" i="68"/>
  <c r="G9" i="68"/>
  <c r="D9" i="68"/>
  <c r="G8" i="68"/>
  <c r="F8" i="68"/>
  <c r="E8" i="68"/>
  <c r="D8" i="68"/>
  <c r="C146" i="69"/>
  <c r="C150" i="69" s="1"/>
  <c r="F150" i="69" s="1"/>
  <c r="C141" i="69"/>
  <c r="F129" i="69"/>
  <c r="F126" i="69" s="1"/>
  <c r="F157" i="69" s="1"/>
  <c r="C129" i="69"/>
  <c r="C126" i="69" s="1"/>
  <c r="C157" i="69" s="1"/>
  <c r="F121" i="69"/>
  <c r="C110" i="69"/>
  <c r="C109" i="69"/>
  <c r="C106" i="69"/>
  <c r="C93" i="69"/>
  <c r="C94" i="69" s="1"/>
  <c r="C96" i="69" s="1"/>
  <c r="C99" i="69" s="1"/>
  <c r="C108" i="69" s="1"/>
  <c r="C114" i="69" s="1"/>
  <c r="C73" i="69"/>
  <c r="D69" i="69"/>
  <c r="D73" i="69" s="1"/>
  <c r="E38" i="69"/>
  <c r="D38" i="69"/>
  <c r="C38" i="69"/>
  <c r="F29" i="69"/>
  <c r="F38" i="69" s="1"/>
  <c r="E29" i="69"/>
  <c r="D29" i="69"/>
  <c r="D18" i="69"/>
  <c r="E18" i="69" s="1"/>
  <c r="F18" i="69" s="1"/>
  <c r="G18" i="69" s="1"/>
  <c r="D13" i="69"/>
  <c r="E13" i="69" s="1"/>
  <c r="F13" i="69" s="1"/>
  <c r="G13" i="69" s="1"/>
  <c r="F12" i="69"/>
  <c r="AA11" i="69"/>
  <c r="Z11" i="69"/>
  <c r="W11" i="69"/>
  <c r="Y11" i="69" s="1"/>
  <c r="F19" i="69" s="1"/>
  <c r="V11" i="69"/>
  <c r="S11" i="69"/>
  <c r="R11" i="69"/>
  <c r="O11" i="69"/>
  <c r="N11" i="69"/>
  <c r="K11" i="69"/>
  <c r="J11" i="69"/>
  <c r="AC10" i="69"/>
  <c r="G17" i="69" s="1"/>
  <c r="AA10" i="69"/>
  <c r="Z10" i="69"/>
  <c r="W10" i="69"/>
  <c r="V10" i="69"/>
  <c r="U10" i="69"/>
  <c r="E17" i="69" s="1"/>
  <c r="S10" i="69"/>
  <c r="R10" i="69"/>
  <c r="O10" i="69"/>
  <c r="Q10" i="69" s="1"/>
  <c r="D17" i="69" s="1"/>
  <c r="N10" i="69"/>
  <c r="K10" i="69"/>
  <c r="J10" i="69"/>
  <c r="AC9" i="69"/>
  <c r="G16" i="69" s="1"/>
  <c r="AA9" i="69"/>
  <c r="Z9" i="69"/>
  <c r="W9" i="69"/>
  <c r="V9" i="69"/>
  <c r="S9" i="69"/>
  <c r="R9" i="69"/>
  <c r="O9" i="69"/>
  <c r="N9" i="69"/>
  <c r="M9" i="69"/>
  <c r="C16" i="69" s="1"/>
  <c r="K9" i="69"/>
  <c r="J9" i="69"/>
  <c r="AA8" i="69"/>
  <c r="Z8" i="69"/>
  <c r="W8" i="69"/>
  <c r="V8" i="69"/>
  <c r="S8" i="69"/>
  <c r="R8" i="69"/>
  <c r="U8" i="69" s="1"/>
  <c r="E11" i="69" s="1"/>
  <c r="O8" i="69"/>
  <c r="N8" i="69"/>
  <c r="K8" i="69"/>
  <c r="J8" i="69"/>
  <c r="M8" i="69" s="1"/>
  <c r="C11" i="69" s="1"/>
  <c r="AA7" i="69"/>
  <c r="Z7" i="69"/>
  <c r="W7" i="69"/>
  <c r="V7" i="69"/>
  <c r="S7" i="69"/>
  <c r="R7" i="69"/>
  <c r="O7" i="69"/>
  <c r="N7" i="69"/>
  <c r="K7" i="69"/>
  <c r="J7" i="69"/>
  <c r="E7" i="69"/>
  <c r="D7" i="69"/>
  <c r="AA6" i="69"/>
  <c r="Z6" i="69"/>
  <c r="W6" i="69"/>
  <c r="V6" i="69"/>
  <c r="S6" i="69"/>
  <c r="R6" i="69"/>
  <c r="O6" i="69"/>
  <c r="N6" i="69"/>
  <c r="K6" i="69"/>
  <c r="J6" i="69"/>
  <c r="G5" i="69"/>
  <c r="F5" i="69"/>
  <c r="E5" i="69"/>
  <c r="D5" i="69"/>
  <c r="G7" i="68"/>
  <c r="F7" i="68"/>
  <c r="E7" i="68"/>
  <c r="D7" i="68"/>
  <c r="C7" i="68"/>
  <c r="G6" i="68"/>
  <c r="G16" i="68" s="1"/>
  <c r="H16" i="68" s="1"/>
  <c r="F6" i="68"/>
  <c r="E6" i="68"/>
  <c r="D6" i="68"/>
  <c r="C6" i="68"/>
  <c r="D6" i="29"/>
  <c r="E6" i="29"/>
  <c r="F6" i="29"/>
  <c r="G6" i="29"/>
  <c r="C6" i="29"/>
  <c r="AB11" i="64"/>
  <c r="AB10" i="64"/>
  <c r="AB9" i="64"/>
  <c r="AB8" i="64"/>
  <c r="AB7" i="64"/>
  <c r="AB6" i="64"/>
  <c r="X11" i="64"/>
  <c r="X10" i="64"/>
  <c r="X9" i="64"/>
  <c r="X8" i="64"/>
  <c r="X7" i="64"/>
  <c r="X6" i="64"/>
  <c r="T11" i="64"/>
  <c r="T10" i="64"/>
  <c r="T9" i="64"/>
  <c r="T8" i="64"/>
  <c r="T7" i="64"/>
  <c r="T6" i="64"/>
  <c r="P11" i="64"/>
  <c r="P10" i="64"/>
  <c r="P9" i="64"/>
  <c r="P8" i="64"/>
  <c r="P7" i="64"/>
  <c r="P6" i="64"/>
  <c r="L7" i="64"/>
  <c r="L8" i="64"/>
  <c r="L9" i="64"/>
  <c r="L10" i="64"/>
  <c r="L11" i="64"/>
  <c r="C10" i="20"/>
  <c r="AH11" i="67"/>
  <c r="AJ11" i="67" s="1"/>
  <c r="AK11" i="67" s="1"/>
  <c r="G19" i="67" s="1"/>
  <c r="AH10" i="67"/>
  <c r="AJ10" i="67" s="1"/>
  <c r="AK10" i="67" s="1"/>
  <c r="G17" i="67" s="1"/>
  <c r="AK9" i="67"/>
  <c r="G16" i="67" s="1"/>
  <c r="AJ9" i="67"/>
  <c r="AH9" i="67"/>
  <c r="AH8" i="67"/>
  <c r="AJ8" i="67" s="1"/>
  <c r="AK8" i="67" s="1"/>
  <c r="G11" i="67" s="1"/>
  <c r="AH7" i="67"/>
  <c r="AJ7" i="67" s="1"/>
  <c r="AK7" i="67" s="1"/>
  <c r="G8" i="67" s="1"/>
  <c r="AH6" i="67"/>
  <c r="AJ6" i="67" s="1"/>
  <c r="AK6" i="67" s="1"/>
  <c r="G6" i="67" s="1"/>
  <c r="G24" i="67" s="1"/>
  <c r="AB11" i="67"/>
  <c r="AD11" i="67" s="1"/>
  <c r="AE11" i="67" s="1"/>
  <c r="AB10" i="67"/>
  <c r="AD10" i="67" s="1"/>
  <c r="AE10" i="67" s="1"/>
  <c r="AD9" i="67"/>
  <c r="AE9" i="67" s="1"/>
  <c r="AB9" i="67"/>
  <c r="AB8" i="67"/>
  <c r="AD8" i="67" s="1"/>
  <c r="AE8" i="67" s="1"/>
  <c r="AD7" i="67"/>
  <c r="AE7" i="67" s="1"/>
  <c r="AB7" i="67"/>
  <c r="AE6" i="67"/>
  <c r="AD6" i="67"/>
  <c r="AB6" i="67"/>
  <c r="V11" i="67"/>
  <c r="X11" i="67" s="1"/>
  <c r="Y11" i="67" s="1"/>
  <c r="X10" i="67"/>
  <c r="Y10" i="67" s="1"/>
  <c r="V10" i="67"/>
  <c r="X9" i="67"/>
  <c r="Y9" i="67" s="1"/>
  <c r="V9" i="67"/>
  <c r="V8" i="67"/>
  <c r="X8" i="67" s="1"/>
  <c r="Y8" i="67" s="1"/>
  <c r="X7" i="67"/>
  <c r="Y7" i="67" s="1"/>
  <c r="V7" i="67"/>
  <c r="V6" i="67"/>
  <c r="X6" i="67" s="1"/>
  <c r="Y6" i="67" s="1"/>
  <c r="R7" i="67"/>
  <c r="R8" i="67"/>
  <c r="R9" i="67"/>
  <c r="R10" i="67"/>
  <c r="R11" i="67"/>
  <c r="R6" i="67"/>
  <c r="S6" i="67" s="1"/>
  <c r="P7" i="67"/>
  <c r="P8" i="67"/>
  <c r="P9" i="67"/>
  <c r="P10" i="67"/>
  <c r="P11" i="67"/>
  <c r="P6" i="67"/>
  <c r="F155" i="67"/>
  <c r="C146" i="67"/>
  <c r="C150" i="67" s="1"/>
  <c r="F150" i="67" s="1"/>
  <c r="C141" i="67"/>
  <c r="F129" i="67"/>
  <c r="F126" i="67" s="1"/>
  <c r="F157" i="67" s="1"/>
  <c r="C129" i="67"/>
  <c r="C126" i="67" s="1"/>
  <c r="C157" i="67" s="1"/>
  <c r="F121" i="67"/>
  <c r="C110" i="67"/>
  <c r="C109" i="67"/>
  <c r="C106" i="67"/>
  <c r="C93" i="67"/>
  <c r="C94" i="67" s="1"/>
  <c r="C96" i="67" s="1"/>
  <c r="C99" i="67" s="1"/>
  <c r="C108" i="67" s="1"/>
  <c r="C114" i="67" s="1"/>
  <c r="C73" i="67"/>
  <c r="D69" i="67"/>
  <c r="D73" i="67" s="1"/>
  <c r="E38" i="67"/>
  <c r="D38" i="67"/>
  <c r="C38" i="67"/>
  <c r="F29" i="67"/>
  <c r="G29" i="67" s="1"/>
  <c r="G38" i="67" s="1"/>
  <c r="E29" i="67"/>
  <c r="D29" i="67"/>
  <c r="G18" i="67"/>
  <c r="F18" i="67"/>
  <c r="E18" i="67"/>
  <c r="D18" i="67"/>
  <c r="G13" i="67"/>
  <c r="F13" i="67"/>
  <c r="E13" i="67"/>
  <c r="D13" i="67"/>
  <c r="F12" i="67"/>
  <c r="AG11" i="67"/>
  <c r="AF11" i="67"/>
  <c r="AA11" i="67"/>
  <c r="Z11" i="67"/>
  <c r="U11" i="67"/>
  <c r="T11" i="67"/>
  <c r="O11" i="67"/>
  <c r="N11" i="67"/>
  <c r="K11" i="67"/>
  <c r="M11" i="67" s="1"/>
  <c r="C19" i="67" s="1"/>
  <c r="J11" i="67"/>
  <c r="AG10" i="67"/>
  <c r="AF10" i="67"/>
  <c r="AA10" i="67"/>
  <c r="Z10" i="67"/>
  <c r="U10" i="67"/>
  <c r="T10" i="67"/>
  <c r="O10" i="67"/>
  <c r="N10" i="67"/>
  <c r="K10" i="67"/>
  <c r="M10" i="67" s="1"/>
  <c r="C17" i="67" s="1"/>
  <c r="J10" i="67"/>
  <c r="AG9" i="67"/>
  <c r="AF9" i="67"/>
  <c r="AA9" i="67"/>
  <c r="Z9" i="67"/>
  <c r="U9" i="67"/>
  <c r="T9" i="67"/>
  <c r="O9" i="67"/>
  <c r="N9" i="67"/>
  <c r="S9" i="67" s="1"/>
  <c r="D16" i="67" s="1"/>
  <c r="K9" i="67"/>
  <c r="M9" i="67" s="1"/>
  <c r="C16" i="67" s="1"/>
  <c r="J9" i="67"/>
  <c r="AG8" i="67"/>
  <c r="AF8" i="67"/>
  <c r="AA8" i="67"/>
  <c r="Z8" i="67"/>
  <c r="U8" i="67"/>
  <c r="T8" i="67"/>
  <c r="S8" i="67"/>
  <c r="D11" i="67" s="1"/>
  <c r="O8" i="67"/>
  <c r="N8" i="67"/>
  <c r="K8" i="67"/>
  <c r="M8" i="67" s="1"/>
  <c r="C11" i="67" s="1"/>
  <c r="J8" i="67"/>
  <c r="AG7" i="67"/>
  <c r="AF7" i="67"/>
  <c r="AA7" i="67"/>
  <c r="Z7" i="67"/>
  <c r="U7" i="67"/>
  <c r="T7" i="67"/>
  <c r="O7" i="67"/>
  <c r="N7" i="67"/>
  <c r="S7" i="67" s="1"/>
  <c r="D8" i="67" s="1"/>
  <c r="K7" i="67"/>
  <c r="M7" i="67" s="1"/>
  <c r="C8" i="67" s="1"/>
  <c r="C9" i="67" s="1"/>
  <c r="J7" i="67"/>
  <c r="E7" i="67"/>
  <c r="F7" i="67" s="1"/>
  <c r="G7" i="67" s="1"/>
  <c r="D7" i="67"/>
  <c r="AG6" i="67"/>
  <c r="AF6" i="67"/>
  <c r="AA6" i="67"/>
  <c r="Z6" i="67"/>
  <c r="U6" i="67"/>
  <c r="T6" i="67"/>
  <c r="O6" i="67"/>
  <c r="N6" i="67"/>
  <c r="K6" i="67"/>
  <c r="M6" i="67" s="1"/>
  <c r="C6" i="67" s="1"/>
  <c r="J6" i="67"/>
  <c r="G5" i="67"/>
  <c r="F5" i="67"/>
  <c r="E5" i="67"/>
  <c r="D5" i="67"/>
  <c r="C9" i="20"/>
  <c r="AJ11" i="66"/>
  <c r="AJ10" i="66"/>
  <c r="AJ9" i="66"/>
  <c r="AJ8" i="66"/>
  <c r="AJ7" i="66"/>
  <c r="AJ6" i="66"/>
  <c r="AD11" i="66"/>
  <c r="AD10" i="66"/>
  <c r="AD9" i="66"/>
  <c r="AD8" i="66"/>
  <c r="AD7" i="66"/>
  <c r="AD6" i="66"/>
  <c r="X11" i="66"/>
  <c r="X10" i="66"/>
  <c r="X9" i="66"/>
  <c r="X8" i="66"/>
  <c r="X7" i="66"/>
  <c r="X6" i="66"/>
  <c r="R7" i="66"/>
  <c r="R8" i="66"/>
  <c r="R9" i="66"/>
  <c r="R10" i="66"/>
  <c r="R11" i="66"/>
  <c r="R6" i="66"/>
  <c r="C146" i="66"/>
  <c r="C150" i="66" s="1"/>
  <c r="F150" i="66" s="1"/>
  <c r="C141" i="66"/>
  <c r="F129" i="66"/>
  <c r="F126" i="66" s="1"/>
  <c r="F157" i="66" s="1"/>
  <c r="C129" i="66"/>
  <c r="C126" i="66" s="1"/>
  <c r="C157" i="66" s="1"/>
  <c r="F121" i="66"/>
  <c r="C109" i="66"/>
  <c r="C106" i="66"/>
  <c r="C93" i="66"/>
  <c r="C110" i="66" s="1"/>
  <c r="C73" i="66"/>
  <c r="D69" i="66"/>
  <c r="D73" i="66" s="1"/>
  <c r="D38" i="66"/>
  <c r="C38" i="66"/>
  <c r="E29" i="66"/>
  <c r="E38" i="66" s="1"/>
  <c r="D29" i="66"/>
  <c r="E18" i="66"/>
  <c r="F18" i="66" s="1"/>
  <c r="G18" i="66" s="1"/>
  <c r="D18" i="66"/>
  <c r="E13" i="66"/>
  <c r="F13" i="66" s="1"/>
  <c r="G13" i="66" s="1"/>
  <c r="D13" i="66"/>
  <c r="F12" i="66"/>
  <c r="AI11" i="66"/>
  <c r="AH11" i="66"/>
  <c r="AK11" i="66" s="1"/>
  <c r="G19" i="66" s="1"/>
  <c r="AG11" i="66"/>
  <c r="AF11" i="66"/>
  <c r="AB11" i="66"/>
  <c r="AA11" i="66"/>
  <c r="Z11" i="66"/>
  <c r="AC11" i="66" s="1"/>
  <c r="V11" i="66"/>
  <c r="U11" i="66"/>
  <c r="T11" i="66"/>
  <c r="W11" i="66" s="1"/>
  <c r="P11" i="66"/>
  <c r="O11" i="66"/>
  <c r="N11" i="66"/>
  <c r="Q11" i="66" s="1"/>
  <c r="S11" i="66" s="1"/>
  <c r="D19" i="66" s="1"/>
  <c r="K11" i="66"/>
  <c r="M11" i="66" s="1"/>
  <c r="C19" i="66" s="1"/>
  <c r="J11" i="66"/>
  <c r="AI10" i="66"/>
  <c r="AH10" i="66"/>
  <c r="AK10" i="66" s="1"/>
  <c r="G17" i="66" s="1"/>
  <c r="AG10" i="66"/>
  <c r="AF10" i="66"/>
  <c r="AB10" i="66"/>
  <c r="AA10" i="66"/>
  <c r="AE10" i="66" s="1"/>
  <c r="F17" i="66" s="1"/>
  <c r="Z10" i="66"/>
  <c r="AC10" i="66" s="1"/>
  <c r="V10" i="66"/>
  <c r="U10" i="66"/>
  <c r="T10" i="66"/>
  <c r="W10" i="66" s="1"/>
  <c r="P10" i="66"/>
  <c r="O10" i="66"/>
  <c r="N10" i="66"/>
  <c r="Q10" i="66" s="1"/>
  <c r="S10" i="66" s="1"/>
  <c r="D17" i="66" s="1"/>
  <c r="K10" i="66"/>
  <c r="M10" i="66" s="1"/>
  <c r="C17" i="66" s="1"/>
  <c r="J10" i="66"/>
  <c r="AI9" i="66"/>
  <c r="AH9" i="66"/>
  <c r="AK9" i="66" s="1"/>
  <c r="G16" i="66" s="1"/>
  <c r="AG9" i="66"/>
  <c r="AF9" i="66"/>
  <c r="AB9" i="66"/>
  <c r="AA9" i="66"/>
  <c r="Z9" i="66"/>
  <c r="AC9" i="66" s="1"/>
  <c r="V9" i="66"/>
  <c r="U9" i="66"/>
  <c r="T9" i="66"/>
  <c r="W9" i="66" s="1"/>
  <c r="P9" i="66"/>
  <c r="O9" i="66"/>
  <c r="N9" i="66"/>
  <c r="Q9" i="66" s="1"/>
  <c r="S9" i="66" s="1"/>
  <c r="D16" i="66" s="1"/>
  <c r="K9" i="66"/>
  <c r="M9" i="66" s="1"/>
  <c r="C16" i="66" s="1"/>
  <c r="J9" i="66"/>
  <c r="AI8" i="66"/>
  <c r="AH8" i="66"/>
  <c r="AG8" i="66"/>
  <c r="AF8" i="66"/>
  <c r="AB8" i="66"/>
  <c r="AA8" i="66"/>
  <c r="Z8" i="66"/>
  <c r="AC8" i="66" s="1"/>
  <c r="V8" i="66"/>
  <c r="U8" i="66"/>
  <c r="T8" i="66"/>
  <c r="W8" i="66" s="1"/>
  <c r="P8" i="66"/>
  <c r="O8" i="66"/>
  <c r="N8" i="66"/>
  <c r="Q8" i="66" s="1"/>
  <c r="S8" i="66" s="1"/>
  <c r="D11" i="66" s="1"/>
  <c r="K8" i="66"/>
  <c r="M8" i="66" s="1"/>
  <c r="C11" i="66" s="1"/>
  <c r="J8" i="66"/>
  <c r="AI7" i="66"/>
  <c r="AH7" i="66"/>
  <c r="AG7" i="66"/>
  <c r="AF7" i="66"/>
  <c r="AB7" i="66"/>
  <c r="AA7" i="66"/>
  <c r="Z7" i="66"/>
  <c r="AC7" i="66" s="1"/>
  <c r="V7" i="66"/>
  <c r="U7" i="66"/>
  <c r="T7" i="66"/>
  <c r="W7" i="66" s="1"/>
  <c r="P7" i="66"/>
  <c r="O7" i="66"/>
  <c r="N7" i="66"/>
  <c r="Q7" i="66" s="1"/>
  <c r="S7" i="66" s="1"/>
  <c r="D8" i="66" s="1"/>
  <c r="K7" i="66"/>
  <c r="M7" i="66" s="1"/>
  <c r="C8" i="66" s="1"/>
  <c r="C9" i="66" s="1"/>
  <c r="J7" i="66"/>
  <c r="E7" i="66"/>
  <c r="F7" i="66" s="1"/>
  <c r="G7" i="66" s="1"/>
  <c r="D7" i="66"/>
  <c r="AH6" i="66"/>
  <c r="AG6" i="66"/>
  <c r="AI6" i="66" s="1"/>
  <c r="AF6" i="66"/>
  <c r="AB6" i="66"/>
  <c r="AA6" i="66"/>
  <c r="Z6" i="66"/>
  <c r="AC6" i="66" s="1"/>
  <c r="V6" i="66"/>
  <c r="U6" i="66"/>
  <c r="T6" i="66"/>
  <c r="W6" i="66" s="1"/>
  <c r="Q6" i="66"/>
  <c r="S6" i="66" s="1"/>
  <c r="D6" i="66" s="1"/>
  <c r="P6" i="66"/>
  <c r="O6" i="66"/>
  <c r="N6" i="66"/>
  <c r="K6" i="66"/>
  <c r="M6" i="66" s="1"/>
  <c r="C6" i="66" s="1"/>
  <c r="J6" i="66"/>
  <c r="G5" i="66"/>
  <c r="F5" i="66"/>
  <c r="E5" i="66"/>
  <c r="D5" i="66"/>
  <c r="C8" i="20"/>
  <c r="AK11" i="65"/>
  <c r="AK10" i="65"/>
  <c r="AK9" i="65"/>
  <c r="AK8" i="65"/>
  <c r="AK7" i="65"/>
  <c r="AK6" i="65"/>
  <c r="AE11" i="65"/>
  <c r="AE10" i="65"/>
  <c r="AE9" i="65"/>
  <c r="AE8" i="65"/>
  <c r="AE7" i="65"/>
  <c r="AE6" i="65"/>
  <c r="Y11" i="65"/>
  <c r="Y10" i="65"/>
  <c r="Y9" i="65"/>
  <c r="Y8" i="65"/>
  <c r="Y7" i="65"/>
  <c r="Y6" i="65"/>
  <c r="S7" i="65"/>
  <c r="S8" i="65"/>
  <c r="S9" i="65"/>
  <c r="S10" i="65"/>
  <c r="S11" i="65"/>
  <c r="S6" i="65"/>
  <c r="AJ11" i="65"/>
  <c r="AJ10" i="65"/>
  <c r="AJ9" i="65"/>
  <c r="AJ8" i="65"/>
  <c r="AJ7" i="65"/>
  <c r="AJ6" i="65"/>
  <c r="AD11" i="65"/>
  <c r="AD10" i="65"/>
  <c r="AD9" i="65"/>
  <c r="AD8" i="65"/>
  <c r="AD7" i="65"/>
  <c r="AD6" i="65"/>
  <c r="X11" i="65"/>
  <c r="X10" i="65"/>
  <c r="X9" i="65"/>
  <c r="X8" i="65"/>
  <c r="X7" i="65"/>
  <c r="X6" i="65"/>
  <c r="AI11" i="65"/>
  <c r="AI10" i="65"/>
  <c r="AI9" i="65"/>
  <c r="AI8" i="65"/>
  <c r="AI7" i="65"/>
  <c r="AI6" i="65"/>
  <c r="AC11" i="65"/>
  <c r="AC10" i="65"/>
  <c r="AC9" i="65"/>
  <c r="AC8" i="65"/>
  <c r="AC7" i="65"/>
  <c r="AC6" i="65"/>
  <c r="W7" i="65"/>
  <c r="W8" i="65"/>
  <c r="W9" i="65"/>
  <c r="W10" i="65"/>
  <c r="W11" i="65"/>
  <c r="W6" i="65"/>
  <c r="AH11" i="65"/>
  <c r="AH10" i="65"/>
  <c r="AH9" i="65"/>
  <c r="AH8" i="65"/>
  <c r="AH7" i="65"/>
  <c r="AH6" i="65"/>
  <c r="AB11" i="65"/>
  <c r="AB10" i="65"/>
  <c r="AB9" i="65"/>
  <c r="AB8" i="65"/>
  <c r="AB7" i="65"/>
  <c r="AB6" i="65"/>
  <c r="V11" i="65"/>
  <c r="V10" i="65"/>
  <c r="V9" i="65"/>
  <c r="V8" i="65"/>
  <c r="V7" i="65"/>
  <c r="V6" i="65"/>
  <c r="P7" i="65"/>
  <c r="P8" i="65"/>
  <c r="P9" i="65"/>
  <c r="P10" i="65"/>
  <c r="P11" i="65"/>
  <c r="R11" i="65" s="1"/>
  <c r="P6" i="65"/>
  <c r="R7" i="65"/>
  <c r="R8" i="65"/>
  <c r="R9" i="65"/>
  <c r="R10" i="65"/>
  <c r="R6" i="65"/>
  <c r="Q7" i="65"/>
  <c r="Q8" i="65"/>
  <c r="Q9" i="65"/>
  <c r="Q10" i="65"/>
  <c r="Q11" i="65"/>
  <c r="Q6" i="65"/>
  <c r="AC8" i="69" l="1"/>
  <c r="G11" i="69" s="1"/>
  <c r="Y9" i="69"/>
  <c r="F16" i="69" s="1"/>
  <c r="G9" i="72"/>
  <c r="G14" i="72" s="1"/>
  <c r="H14" i="72" s="1"/>
  <c r="D9" i="72"/>
  <c r="D14" i="72" s="1"/>
  <c r="E11" i="70"/>
  <c r="E16" i="70" s="1"/>
  <c r="C11" i="70"/>
  <c r="C16" i="70" s="1"/>
  <c r="G11" i="70"/>
  <c r="G16" i="70" s="1"/>
  <c r="H16" i="70" s="1"/>
  <c r="D11" i="70"/>
  <c r="D16" i="70" s="1"/>
  <c r="E16" i="68"/>
  <c r="C8" i="68"/>
  <c r="F16" i="68"/>
  <c r="C16" i="68"/>
  <c r="Y8" i="69"/>
  <c r="F11" i="69" s="1"/>
  <c r="Q6" i="69"/>
  <c r="D6" i="69" s="1"/>
  <c r="D10" i="69" s="1"/>
  <c r="E9" i="69"/>
  <c r="Y7" i="69"/>
  <c r="F8" i="69" s="1"/>
  <c r="M7" i="69"/>
  <c r="C8" i="69" s="1"/>
  <c r="C9" i="69" s="1"/>
  <c r="Q11" i="69"/>
  <c r="D19" i="69" s="1"/>
  <c r="AC7" i="69"/>
  <c r="G8" i="69" s="1"/>
  <c r="AC6" i="69"/>
  <c r="G6" i="69" s="1"/>
  <c r="U7" i="69"/>
  <c r="E8" i="69" s="1"/>
  <c r="Q8" i="69"/>
  <c r="D11" i="69" s="1"/>
  <c r="E26" i="69"/>
  <c r="Y10" i="69"/>
  <c r="F17" i="69" s="1"/>
  <c r="U6" i="69"/>
  <c r="E6" i="69" s="1"/>
  <c r="Q9" i="69"/>
  <c r="D16" i="69" s="1"/>
  <c r="F141" i="69"/>
  <c r="Y6" i="69"/>
  <c r="F6" i="69" s="1"/>
  <c r="M11" i="69"/>
  <c r="C19" i="69" s="1"/>
  <c r="E24" i="69"/>
  <c r="F7" i="69"/>
  <c r="U11" i="69"/>
  <c r="E19" i="69" s="1"/>
  <c r="AC11" i="69"/>
  <c r="G19" i="69" s="1"/>
  <c r="G29" i="69"/>
  <c r="G38" i="69" s="1"/>
  <c r="F155" i="69"/>
  <c r="Q7" i="69"/>
  <c r="D8" i="69" s="1"/>
  <c r="D9" i="69" s="1"/>
  <c r="E69" i="69"/>
  <c r="D16" i="68"/>
  <c r="S10" i="67"/>
  <c r="D17" i="67" s="1"/>
  <c r="D6" i="67"/>
  <c r="S11" i="67"/>
  <c r="D19" i="67" s="1"/>
  <c r="C24" i="67"/>
  <c r="C10" i="67"/>
  <c r="G10" i="67"/>
  <c r="F8" i="67"/>
  <c r="F9" i="67" s="1"/>
  <c r="E16" i="67"/>
  <c r="D24" i="67"/>
  <c r="D10" i="67"/>
  <c r="D9" i="67"/>
  <c r="E8" i="67"/>
  <c r="E9" i="67" s="1"/>
  <c r="E11" i="67"/>
  <c r="E17" i="67"/>
  <c r="E6" i="67"/>
  <c r="G27" i="67"/>
  <c r="E19" i="67"/>
  <c r="F6" i="67"/>
  <c r="C26" i="67"/>
  <c r="C27" i="67"/>
  <c r="F141" i="67"/>
  <c r="G26" i="67"/>
  <c r="F11" i="67"/>
  <c r="F16" i="67"/>
  <c r="F17" i="67"/>
  <c r="F19" i="67"/>
  <c r="F38" i="67"/>
  <c r="G9" i="67"/>
  <c r="E69" i="67"/>
  <c r="AK8" i="66"/>
  <c r="G11" i="66" s="1"/>
  <c r="AK7" i="66"/>
  <c r="G8" i="66" s="1"/>
  <c r="G9" i="66" s="1"/>
  <c r="Y7" i="66"/>
  <c r="E8" i="66" s="1"/>
  <c r="Y6" i="66"/>
  <c r="E6" i="66" s="1"/>
  <c r="C24" i="66"/>
  <c r="C10" i="66"/>
  <c r="AE9" i="66"/>
  <c r="F16" i="66" s="1"/>
  <c r="D24" i="66"/>
  <c r="D27" i="66" s="1"/>
  <c r="Y11" i="66"/>
  <c r="E19" i="66" s="1"/>
  <c r="D26" i="66"/>
  <c r="AE8" i="66"/>
  <c r="F11" i="66" s="1"/>
  <c r="AE6" i="66"/>
  <c r="F6" i="66" s="1"/>
  <c r="AE7" i="66"/>
  <c r="F8" i="66" s="1"/>
  <c r="F9" i="66" s="1"/>
  <c r="Y10" i="66"/>
  <c r="E17" i="66" s="1"/>
  <c r="C108" i="66"/>
  <c r="C114" i="66" s="1"/>
  <c r="E10" i="66"/>
  <c r="Y8" i="66"/>
  <c r="E11" i="66" s="1"/>
  <c r="E24" i="66" s="1"/>
  <c r="Y9" i="66"/>
  <c r="E16" i="66" s="1"/>
  <c r="AE11" i="66"/>
  <c r="F19" i="66" s="1"/>
  <c r="F141" i="66"/>
  <c r="F29" i="66"/>
  <c r="AK6" i="66"/>
  <c r="G6" i="66" s="1"/>
  <c r="E69" i="66"/>
  <c r="D9" i="66"/>
  <c r="D10" i="66"/>
  <c r="C94" i="66"/>
  <c r="C96" i="66" s="1"/>
  <c r="C99" i="66" s="1"/>
  <c r="E9" i="66"/>
  <c r="F155" i="66"/>
  <c r="E10" i="69" l="1"/>
  <c r="C20" i="72"/>
  <c r="C22" i="70"/>
  <c r="C22" i="68"/>
  <c r="G7" i="69"/>
  <c r="G9" i="69" s="1"/>
  <c r="F9" i="69"/>
  <c r="D24" i="69"/>
  <c r="D26" i="69" s="1"/>
  <c r="F10" i="69"/>
  <c r="E25" i="69"/>
  <c r="E14" i="69"/>
  <c r="E15" i="69" s="1"/>
  <c r="E27" i="69"/>
  <c r="E28" i="69" s="1"/>
  <c r="E30" i="69"/>
  <c r="E68" i="69"/>
  <c r="E70" i="69" s="1"/>
  <c r="G10" i="69"/>
  <c r="F69" i="69"/>
  <c r="E73" i="69"/>
  <c r="F24" i="69"/>
  <c r="E10" i="67"/>
  <c r="F24" i="67"/>
  <c r="F10" i="67"/>
  <c r="F26" i="67"/>
  <c r="E24" i="67"/>
  <c r="C28" i="67"/>
  <c r="C68" i="67"/>
  <c r="C70" i="67" s="1"/>
  <c r="C30" i="67"/>
  <c r="C14" i="67"/>
  <c r="C15" i="67" s="1"/>
  <c r="C25" i="67"/>
  <c r="C40" i="67"/>
  <c r="D26" i="67"/>
  <c r="D25" i="67" s="1"/>
  <c r="G30" i="67"/>
  <c r="G28" i="67"/>
  <c r="G68" i="67"/>
  <c r="G14" i="67"/>
  <c r="G15" i="67" s="1"/>
  <c r="D27" i="67"/>
  <c r="F69" i="67"/>
  <c r="E73" i="67"/>
  <c r="G25" i="67"/>
  <c r="E26" i="66"/>
  <c r="F10" i="66"/>
  <c r="F24" i="66"/>
  <c r="F26" i="66"/>
  <c r="E14" i="66"/>
  <c r="E15" i="66" s="1"/>
  <c r="E25" i="66"/>
  <c r="E27" i="66"/>
  <c r="D25" i="66"/>
  <c r="D14" i="66"/>
  <c r="D15" i="66" s="1"/>
  <c r="F69" i="66"/>
  <c r="E73" i="66"/>
  <c r="C40" i="66"/>
  <c r="G24" i="66"/>
  <c r="G10" i="66"/>
  <c r="D68" i="66"/>
  <c r="D70" i="66" s="1"/>
  <c r="D28" i="66"/>
  <c r="D30" i="66"/>
  <c r="F38" i="66"/>
  <c r="G29" i="66"/>
  <c r="G38" i="66" s="1"/>
  <c r="C26" i="66"/>
  <c r="C27" i="66"/>
  <c r="D68" i="69" l="1"/>
  <c r="D70" i="69" s="1"/>
  <c r="D30" i="69"/>
  <c r="D28" i="69"/>
  <c r="G69" i="69"/>
  <c r="G73" i="69" s="1"/>
  <c r="F73" i="69"/>
  <c r="E31" i="69"/>
  <c r="E32" i="69" s="1"/>
  <c r="E37" i="69" s="1"/>
  <c r="E39" i="69" s="1"/>
  <c r="D25" i="69"/>
  <c r="D14" i="69"/>
  <c r="D15" i="69" s="1"/>
  <c r="D27" i="69"/>
  <c r="F26" i="69"/>
  <c r="E71" i="69"/>
  <c r="E72" i="69"/>
  <c r="E74" i="69" s="1"/>
  <c r="G24" i="69"/>
  <c r="F27" i="69"/>
  <c r="D14" i="67"/>
  <c r="D15" i="67" s="1"/>
  <c r="G31" i="67"/>
  <c r="G32" i="67" s="1"/>
  <c r="G37" i="67" s="1"/>
  <c r="G39" i="67" s="1"/>
  <c r="G69" i="67"/>
  <c r="G73" i="67" s="1"/>
  <c r="F73" i="67"/>
  <c r="D68" i="67"/>
  <c r="D70" i="67" s="1"/>
  <c r="D28" i="67"/>
  <c r="D30" i="67"/>
  <c r="D40" i="67"/>
  <c r="C75" i="67"/>
  <c r="F68" i="67"/>
  <c r="F70" i="67" s="1"/>
  <c r="F30" i="67"/>
  <c r="E26" i="67"/>
  <c r="E27" i="67"/>
  <c r="C31" i="67"/>
  <c r="C32" i="67" s="1"/>
  <c r="C37" i="67" s="1"/>
  <c r="C39" i="67" s="1"/>
  <c r="C41" i="67" s="1"/>
  <c r="G70" i="67"/>
  <c r="C71" i="67"/>
  <c r="C72" i="67" s="1"/>
  <c r="C74" i="67" s="1"/>
  <c r="C76" i="67" s="1"/>
  <c r="C79" i="67" s="1"/>
  <c r="F25" i="67"/>
  <c r="F14" i="67"/>
  <c r="F15" i="67" s="1"/>
  <c r="F27" i="67"/>
  <c r="F28" i="67" s="1"/>
  <c r="C28" i="66"/>
  <c r="C68" i="66"/>
  <c r="C70" i="66" s="1"/>
  <c r="C30" i="66"/>
  <c r="G26" i="66"/>
  <c r="G27" i="66"/>
  <c r="D40" i="66"/>
  <c r="C75" i="66"/>
  <c r="C25" i="66"/>
  <c r="G69" i="66"/>
  <c r="G73" i="66" s="1"/>
  <c r="F73" i="66"/>
  <c r="C14" i="66"/>
  <c r="C15" i="66" s="1"/>
  <c r="F30" i="66"/>
  <c r="F28" i="66"/>
  <c r="F68" i="66"/>
  <c r="F70" i="66" s="1"/>
  <c r="D31" i="66"/>
  <c r="D32" i="66" s="1"/>
  <c r="D37" i="66" s="1"/>
  <c r="D39" i="66" s="1"/>
  <c r="D41" i="66" s="1"/>
  <c r="F25" i="66"/>
  <c r="F14" i="66"/>
  <c r="F15" i="66" s="1"/>
  <c r="F27" i="66"/>
  <c r="D71" i="66"/>
  <c r="D72" i="66"/>
  <c r="D74" i="66" s="1"/>
  <c r="E30" i="66"/>
  <c r="E28" i="66"/>
  <c r="E68" i="66"/>
  <c r="E70" i="66" s="1"/>
  <c r="F30" i="69" l="1"/>
  <c r="F28" i="69"/>
  <c r="F68" i="69"/>
  <c r="F70" i="69" s="1"/>
  <c r="G26" i="69"/>
  <c r="G25" i="69" s="1"/>
  <c r="G27" i="69"/>
  <c r="F14" i="69"/>
  <c r="F15" i="69" s="1"/>
  <c r="F25" i="69"/>
  <c r="D31" i="69"/>
  <c r="D32" i="69" s="1"/>
  <c r="D37" i="69" s="1"/>
  <c r="D39" i="69" s="1"/>
  <c r="D71" i="69"/>
  <c r="D72" i="69"/>
  <c r="D74" i="69" s="1"/>
  <c r="C81" i="67"/>
  <c r="E40" i="67"/>
  <c r="D75" i="67"/>
  <c r="G71" i="67"/>
  <c r="G72" i="67" s="1"/>
  <c r="G74" i="67" s="1"/>
  <c r="E28" i="67"/>
  <c r="E30" i="67"/>
  <c r="E68" i="67"/>
  <c r="E70" i="67" s="1"/>
  <c r="F31" i="67"/>
  <c r="F32" i="67" s="1"/>
  <c r="F37" i="67" s="1"/>
  <c r="F39" i="67" s="1"/>
  <c r="D31" i="67"/>
  <c r="D32" i="67" s="1"/>
  <c r="D37" i="67" s="1"/>
  <c r="D39" i="67" s="1"/>
  <c r="D41" i="67" s="1"/>
  <c r="D71" i="67"/>
  <c r="D72" i="67" s="1"/>
  <c r="D74" i="67" s="1"/>
  <c r="D76" i="67" s="1"/>
  <c r="D79" i="67" s="1"/>
  <c r="D81" i="67" s="1"/>
  <c r="D82" i="67" s="1"/>
  <c r="F71" i="67"/>
  <c r="F72" i="67"/>
  <c r="F74" i="67" s="1"/>
  <c r="E25" i="67"/>
  <c r="E14" i="67"/>
  <c r="E15" i="67" s="1"/>
  <c r="E31" i="66"/>
  <c r="E32" i="66" s="1"/>
  <c r="E37" i="66" s="1"/>
  <c r="E39" i="66" s="1"/>
  <c r="F71" i="66"/>
  <c r="F72" i="66"/>
  <c r="F74" i="66" s="1"/>
  <c r="E40" i="66"/>
  <c r="D75" i="66"/>
  <c r="G30" i="66"/>
  <c r="G28" i="66"/>
  <c r="G68" i="66"/>
  <c r="G70" i="66" s="1"/>
  <c r="G14" i="66"/>
  <c r="G15" i="66" s="1"/>
  <c r="E71" i="66"/>
  <c r="E72" i="66"/>
  <c r="E74" i="66" s="1"/>
  <c r="C71" i="66"/>
  <c r="C72" i="66"/>
  <c r="C74" i="66" s="1"/>
  <c r="C76" i="66" s="1"/>
  <c r="C79" i="66" s="1"/>
  <c r="D76" i="66"/>
  <c r="D79" i="66" s="1"/>
  <c r="D81" i="66" s="1"/>
  <c r="F31" i="66"/>
  <c r="F32" i="66" s="1"/>
  <c r="F37" i="66" s="1"/>
  <c r="F39" i="66" s="1"/>
  <c r="G25" i="66"/>
  <c r="C31" i="66"/>
  <c r="C32" i="66" s="1"/>
  <c r="C37" i="66" s="1"/>
  <c r="C39" i="66" s="1"/>
  <c r="C41" i="66" s="1"/>
  <c r="G14" i="69" l="1"/>
  <c r="G15" i="69" s="1"/>
  <c r="F71" i="69"/>
  <c r="F72" i="69"/>
  <c r="F74" i="69" s="1"/>
  <c r="F31" i="69"/>
  <c r="F32" i="69" s="1"/>
  <c r="F37" i="69" s="1"/>
  <c r="F39" i="69" s="1"/>
  <c r="G30" i="69"/>
  <c r="G28" i="69"/>
  <c r="G68" i="69"/>
  <c r="G70" i="69" s="1"/>
  <c r="E71" i="67"/>
  <c r="E72" i="67"/>
  <c r="E74" i="67" s="1"/>
  <c r="E75" i="67"/>
  <c r="F40" i="67"/>
  <c r="E31" i="67"/>
  <c r="E32" i="67" s="1"/>
  <c r="E37" i="67" s="1"/>
  <c r="E39" i="67" s="1"/>
  <c r="E41" i="67" s="1"/>
  <c r="E41" i="66"/>
  <c r="C81" i="66"/>
  <c r="F40" i="66"/>
  <c r="E75" i="66"/>
  <c r="E76" i="66"/>
  <c r="E79" i="66" s="1"/>
  <c r="E81" i="66" s="1"/>
  <c r="E82" i="66" s="1"/>
  <c r="D82" i="66"/>
  <c r="G31" i="66"/>
  <c r="G32" i="66" s="1"/>
  <c r="G37" i="66" s="1"/>
  <c r="G39" i="66" s="1"/>
  <c r="G71" i="66"/>
  <c r="G72" i="66" s="1"/>
  <c r="G74" i="66" s="1"/>
  <c r="G31" i="69" l="1"/>
  <c r="G32" i="69" s="1"/>
  <c r="G37" i="69" s="1"/>
  <c r="G39" i="69" s="1"/>
  <c r="G71" i="69"/>
  <c r="G72" i="69" s="1"/>
  <c r="G74" i="69" s="1"/>
  <c r="E76" i="67"/>
  <c r="E79" i="67" s="1"/>
  <c r="E81" i="67" s="1"/>
  <c r="E82" i="67" s="1"/>
  <c r="F75" i="67"/>
  <c r="F76" i="67" s="1"/>
  <c r="F79" i="67" s="1"/>
  <c r="F81" i="67" s="1"/>
  <c r="F82" i="67" s="1"/>
  <c r="G40" i="67"/>
  <c r="F41" i="67"/>
  <c r="F75" i="66"/>
  <c r="F76" i="66" s="1"/>
  <c r="F79" i="66" s="1"/>
  <c r="F81" i="66" s="1"/>
  <c r="F82" i="66" s="1"/>
  <c r="G40" i="66"/>
  <c r="G75" i="66" s="1"/>
  <c r="G76" i="66" s="1"/>
  <c r="G79" i="66" s="1"/>
  <c r="F41" i="66"/>
  <c r="G75" i="67" l="1"/>
  <c r="G76" i="67" s="1"/>
  <c r="G79" i="67" s="1"/>
  <c r="G41" i="67"/>
  <c r="H41" i="67" s="1"/>
  <c r="C49" i="67" s="1"/>
  <c r="G81" i="66"/>
  <c r="G82" i="66" s="1"/>
  <c r="C83" i="66"/>
  <c r="C113" i="66" s="1"/>
  <c r="G41" i="66"/>
  <c r="H41" i="66" s="1"/>
  <c r="C49" i="66" s="1"/>
  <c r="G81" i="67" l="1"/>
  <c r="G82" i="67" s="1"/>
  <c r="C83" i="67" s="1"/>
  <c r="C113" i="67" s="1"/>
  <c r="C67" i="67"/>
  <c r="C67" i="66"/>
  <c r="I79" i="66"/>
  <c r="C115" i="66" s="1"/>
  <c r="C122" i="66" s="1"/>
  <c r="C119" i="66" s="1"/>
  <c r="I79" i="67" l="1"/>
  <c r="C115" i="67" s="1"/>
  <c r="C122" i="67" s="1"/>
  <c r="C119" i="67" s="1"/>
  <c r="C135" i="66"/>
  <c r="C154" i="66"/>
  <c r="C135" i="67" l="1"/>
  <c r="C154" i="67"/>
  <c r="C160" i="66"/>
  <c r="F135" i="66"/>
  <c r="G119" i="66" s="1"/>
  <c r="C160" i="67" l="1"/>
  <c r="F135" i="67"/>
  <c r="G119" i="67" s="1"/>
  <c r="F119" i="66"/>
  <c r="K121" i="66"/>
  <c r="F92" i="66" s="1"/>
  <c r="F160" i="66"/>
  <c r="F119" i="67" l="1"/>
  <c r="F160" i="67"/>
  <c r="K121" i="67"/>
  <c r="F92" i="67" s="1"/>
  <c r="F154" i="66"/>
  <c r="K119" i="66"/>
  <c r="F93" i="66" s="1"/>
  <c r="F154" i="67" l="1"/>
  <c r="K119" i="67"/>
  <c r="F93" i="67" s="1"/>
  <c r="C146" i="65" l="1"/>
  <c r="C141" i="65"/>
  <c r="F129" i="65"/>
  <c r="F126" i="65" s="1"/>
  <c r="F157" i="65" s="1"/>
  <c r="C129" i="65"/>
  <c r="C126" i="65" s="1"/>
  <c r="F121" i="65"/>
  <c r="C109" i="65"/>
  <c r="C106" i="65"/>
  <c r="C93" i="65"/>
  <c r="C110" i="65" s="1"/>
  <c r="C73" i="65"/>
  <c r="D69" i="65"/>
  <c r="D73" i="65" s="1"/>
  <c r="C38" i="65"/>
  <c r="D29" i="65"/>
  <c r="D38" i="65" s="1"/>
  <c r="D18" i="65"/>
  <c r="E18" i="65" s="1"/>
  <c r="F18" i="65" s="1"/>
  <c r="G18" i="65" s="1"/>
  <c r="D13" i="65"/>
  <c r="E13" i="65" s="1"/>
  <c r="F13" i="65" s="1"/>
  <c r="G13" i="65" s="1"/>
  <c r="F12" i="65"/>
  <c r="AG11" i="65"/>
  <c r="AF11" i="65"/>
  <c r="AA11" i="65"/>
  <c r="Z11" i="65"/>
  <c r="U11" i="65"/>
  <c r="T11" i="65"/>
  <c r="O11" i="65"/>
  <c r="N11" i="65"/>
  <c r="K11" i="65"/>
  <c r="J11" i="65"/>
  <c r="AG10" i="65"/>
  <c r="AF10" i="65"/>
  <c r="AA10" i="65"/>
  <c r="Z10" i="65"/>
  <c r="U10" i="65"/>
  <c r="T10" i="65"/>
  <c r="O10" i="65"/>
  <c r="N10" i="65"/>
  <c r="K10" i="65"/>
  <c r="J10" i="65"/>
  <c r="AG9" i="65"/>
  <c r="AF9" i="65"/>
  <c r="AA9" i="65"/>
  <c r="Z9" i="65"/>
  <c r="U9" i="65"/>
  <c r="T9" i="65"/>
  <c r="O9" i="65"/>
  <c r="N9" i="65"/>
  <c r="K9" i="65"/>
  <c r="J9" i="65"/>
  <c r="AG8" i="65"/>
  <c r="AF8" i="65"/>
  <c r="AA8" i="65"/>
  <c r="Z8" i="65"/>
  <c r="U8" i="65"/>
  <c r="T8" i="65"/>
  <c r="O8" i="65"/>
  <c r="N8" i="65"/>
  <c r="K8" i="65"/>
  <c r="J8" i="65"/>
  <c r="AG7" i="65"/>
  <c r="AF7" i="65"/>
  <c r="AA7" i="65"/>
  <c r="Z7" i="65"/>
  <c r="U7" i="65"/>
  <c r="T7" i="65"/>
  <c r="O7" i="65"/>
  <c r="N7" i="65"/>
  <c r="K7" i="65"/>
  <c r="J7" i="65"/>
  <c r="D7" i="65"/>
  <c r="E7" i="65" s="1"/>
  <c r="AG6" i="65"/>
  <c r="AF6" i="65"/>
  <c r="AA6" i="65"/>
  <c r="Z6" i="65"/>
  <c r="U6" i="65"/>
  <c r="T6" i="65"/>
  <c r="O6" i="65"/>
  <c r="N6" i="65"/>
  <c r="K6" i="65"/>
  <c r="J6" i="65"/>
  <c r="G5" i="65"/>
  <c r="F5" i="65"/>
  <c r="E5" i="65"/>
  <c r="D5" i="65"/>
  <c r="D19" i="64"/>
  <c r="G17" i="64"/>
  <c r="F17" i="64"/>
  <c r="G16" i="64"/>
  <c r="D16" i="64"/>
  <c r="F11" i="64"/>
  <c r="E11" i="64"/>
  <c r="G8" i="64"/>
  <c r="F8" i="64"/>
  <c r="D8" i="64"/>
  <c r="G6" i="64"/>
  <c r="E6" i="64"/>
  <c r="AC7" i="64"/>
  <c r="AC8" i="64"/>
  <c r="G11" i="64" s="1"/>
  <c r="AC9" i="64"/>
  <c r="AC10" i="64"/>
  <c r="AC11" i="64"/>
  <c r="G19" i="64" s="1"/>
  <c r="Y10" i="64"/>
  <c r="Y11" i="64"/>
  <c r="F19" i="64" s="1"/>
  <c r="Y7" i="64"/>
  <c r="Y8" i="64"/>
  <c r="Y9" i="64"/>
  <c r="F16" i="64" s="1"/>
  <c r="U7" i="64"/>
  <c r="E8" i="64" s="1"/>
  <c r="U8" i="64"/>
  <c r="U9" i="64"/>
  <c r="E16" i="64" s="1"/>
  <c r="U10" i="64"/>
  <c r="E17" i="64" s="1"/>
  <c r="U11" i="64"/>
  <c r="E19" i="64" s="1"/>
  <c r="AC6" i="64"/>
  <c r="Y6" i="64"/>
  <c r="F6" i="64" s="1"/>
  <c r="U6" i="64"/>
  <c r="Q7" i="64"/>
  <c r="Q8" i="64"/>
  <c r="D11" i="64" s="1"/>
  <c r="Q9" i="64"/>
  <c r="Q10" i="64"/>
  <c r="D17" i="64" s="1"/>
  <c r="Q11" i="64"/>
  <c r="Q6" i="64"/>
  <c r="D6" i="64" s="1"/>
  <c r="M7" i="64"/>
  <c r="C8" i="64" s="1"/>
  <c r="M8" i="64"/>
  <c r="C11" i="64" s="1"/>
  <c r="M9" i="64"/>
  <c r="C16" i="64" s="1"/>
  <c r="M10" i="64"/>
  <c r="C17" i="64" s="1"/>
  <c r="M11" i="64"/>
  <c r="C19" i="64" s="1"/>
  <c r="M6" i="64"/>
  <c r="C6" i="64" s="1"/>
  <c r="C146" i="64"/>
  <c r="C141" i="64"/>
  <c r="F129" i="64"/>
  <c r="F126" i="64" s="1"/>
  <c r="F157" i="64" s="1"/>
  <c r="C129" i="64"/>
  <c r="C126" i="64" s="1"/>
  <c r="F121" i="64"/>
  <c r="F155" i="64" s="1"/>
  <c r="C109" i="64"/>
  <c r="C106" i="64"/>
  <c r="C93" i="64"/>
  <c r="C94" i="64" s="1"/>
  <c r="C96" i="64" s="1"/>
  <c r="C99" i="64" s="1"/>
  <c r="C73" i="64"/>
  <c r="D69" i="64"/>
  <c r="D73" i="64" s="1"/>
  <c r="C38" i="64"/>
  <c r="D29" i="64"/>
  <c r="E29" i="64" s="1"/>
  <c r="E38" i="64" s="1"/>
  <c r="D18" i="64"/>
  <c r="E18" i="64" s="1"/>
  <c r="F18" i="64" s="1"/>
  <c r="G18" i="64" s="1"/>
  <c r="D13" i="64"/>
  <c r="E13" i="64" s="1"/>
  <c r="F13" i="64" s="1"/>
  <c r="G13" i="64" s="1"/>
  <c r="F12" i="64"/>
  <c r="AA11" i="64"/>
  <c r="Z11" i="64"/>
  <c r="W11" i="64"/>
  <c r="V11" i="64"/>
  <c r="S11" i="64"/>
  <c r="R11" i="64"/>
  <c r="O11" i="64"/>
  <c r="N11" i="64"/>
  <c r="K11" i="64"/>
  <c r="J11" i="64"/>
  <c r="AA10" i="64"/>
  <c r="Z10" i="64"/>
  <c r="W10" i="64"/>
  <c r="V10" i="64"/>
  <c r="S10" i="64"/>
  <c r="R10" i="64"/>
  <c r="O10" i="64"/>
  <c r="N10" i="64"/>
  <c r="K10" i="64"/>
  <c r="J10" i="64"/>
  <c r="AA9" i="64"/>
  <c r="Z9" i="64"/>
  <c r="W9" i="64"/>
  <c r="V9" i="64"/>
  <c r="S9" i="64"/>
  <c r="R9" i="64"/>
  <c r="O9" i="64"/>
  <c r="N9" i="64"/>
  <c r="K9" i="64"/>
  <c r="J9" i="64"/>
  <c r="AA8" i="64"/>
  <c r="Z8" i="64"/>
  <c r="W8" i="64"/>
  <c r="V8" i="64"/>
  <c r="S8" i="64"/>
  <c r="R8" i="64"/>
  <c r="O8" i="64"/>
  <c r="N8" i="64"/>
  <c r="K8" i="64"/>
  <c r="J8" i="64"/>
  <c r="AA7" i="64"/>
  <c r="Z7" i="64"/>
  <c r="W7" i="64"/>
  <c r="V7" i="64"/>
  <c r="S7" i="64"/>
  <c r="R7" i="64"/>
  <c r="O7" i="64"/>
  <c r="N7" i="64"/>
  <c r="K7" i="64"/>
  <c r="J7" i="64"/>
  <c r="D7" i="64"/>
  <c r="E7" i="64" s="1"/>
  <c r="F7" i="64" s="1"/>
  <c r="G7" i="64" s="1"/>
  <c r="AA6" i="64"/>
  <c r="Z6" i="64"/>
  <c r="W6" i="64"/>
  <c r="V6" i="64"/>
  <c r="S6" i="64"/>
  <c r="R6" i="64"/>
  <c r="O6" i="64"/>
  <c r="N6" i="64"/>
  <c r="K6" i="64"/>
  <c r="J6" i="64"/>
  <c r="G5" i="64"/>
  <c r="F5" i="64"/>
  <c r="E5" i="64"/>
  <c r="D5" i="64"/>
  <c r="C6" i="20"/>
  <c r="C4" i="20"/>
  <c r="X11" i="63"/>
  <c r="X10" i="63"/>
  <c r="X9" i="63"/>
  <c r="X8" i="63"/>
  <c r="X7" i="63"/>
  <c r="X6" i="63"/>
  <c r="U11" i="63"/>
  <c r="U10" i="63"/>
  <c r="U9" i="63"/>
  <c r="U8" i="63"/>
  <c r="U7" i="63"/>
  <c r="U6" i="63"/>
  <c r="R11" i="63"/>
  <c r="R10" i="63"/>
  <c r="R9" i="63"/>
  <c r="R8" i="63"/>
  <c r="R7" i="63"/>
  <c r="R6" i="63"/>
  <c r="O11" i="63"/>
  <c r="O10" i="63"/>
  <c r="O9" i="63"/>
  <c r="O8" i="63"/>
  <c r="O7" i="63"/>
  <c r="O6" i="63"/>
  <c r="L7" i="63"/>
  <c r="L8" i="63"/>
  <c r="L9" i="63"/>
  <c r="L10" i="63"/>
  <c r="L11" i="63"/>
  <c r="L6" i="63"/>
  <c r="C146" i="63"/>
  <c r="C150" i="63" s="1"/>
  <c r="F150" i="63" s="1"/>
  <c r="C141" i="63"/>
  <c r="F129" i="63"/>
  <c r="F126" i="63" s="1"/>
  <c r="F157" i="63" s="1"/>
  <c r="C129" i="63"/>
  <c r="C126" i="63" s="1"/>
  <c r="C157" i="63" s="1"/>
  <c r="F121" i="63"/>
  <c r="C110" i="63"/>
  <c r="C109" i="63"/>
  <c r="C108" i="63" s="1"/>
  <c r="C114" i="63" s="1"/>
  <c r="C106" i="63"/>
  <c r="C93" i="63"/>
  <c r="C94" i="63" s="1"/>
  <c r="C96" i="63" s="1"/>
  <c r="C99" i="63" s="1"/>
  <c r="C73" i="63"/>
  <c r="D69" i="63"/>
  <c r="D73" i="63" s="1"/>
  <c r="D38" i="63"/>
  <c r="C38" i="63"/>
  <c r="E29" i="63"/>
  <c r="E38" i="63" s="1"/>
  <c r="D29" i="63"/>
  <c r="E18" i="63"/>
  <c r="F18" i="63" s="1"/>
  <c r="G18" i="63" s="1"/>
  <c r="D18" i="63"/>
  <c r="E17" i="63"/>
  <c r="E13" i="63"/>
  <c r="F13" i="63" s="1"/>
  <c r="G13" i="63" s="1"/>
  <c r="D13" i="63"/>
  <c r="F12" i="63"/>
  <c r="W11" i="63"/>
  <c r="G19" i="63" s="1"/>
  <c r="V11" i="63"/>
  <c r="F19" i="63"/>
  <c r="T11" i="63"/>
  <c r="S11" i="63"/>
  <c r="Q11" i="63"/>
  <c r="P11" i="63"/>
  <c r="E19" i="63" s="1"/>
  <c r="D19" i="63"/>
  <c r="N11" i="63"/>
  <c r="M11" i="63"/>
  <c r="K11" i="63"/>
  <c r="C19" i="63" s="1"/>
  <c r="J11" i="63"/>
  <c r="E11" i="63"/>
  <c r="W10" i="63"/>
  <c r="G17" i="63" s="1"/>
  <c r="V10" i="63"/>
  <c r="T10" i="63"/>
  <c r="S10" i="63"/>
  <c r="F17" i="63" s="1"/>
  <c r="Q10" i="63"/>
  <c r="P10" i="63"/>
  <c r="N10" i="63"/>
  <c r="M10" i="63"/>
  <c r="D17" i="63" s="1"/>
  <c r="K10" i="63"/>
  <c r="J10" i="63"/>
  <c r="W9" i="63"/>
  <c r="G16" i="63" s="1"/>
  <c r="V9" i="63"/>
  <c r="F16" i="63"/>
  <c r="T9" i="63"/>
  <c r="S9" i="63"/>
  <c r="Q9" i="63"/>
  <c r="P9" i="63"/>
  <c r="E16" i="63" s="1"/>
  <c r="D16" i="63"/>
  <c r="N9" i="63"/>
  <c r="M9" i="63"/>
  <c r="K9" i="63"/>
  <c r="C16" i="63" s="1"/>
  <c r="J9" i="63"/>
  <c r="W8" i="63"/>
  <c r="G11" i="63" s="1"/>
  <c r="V8" i="63"/>
  <c r="T8" i="63"/>
  <c r="S8" i="63"/>
  <c r="F11" i="63" s="1"/>
  <c r="Q8" i="63"/>
  <c r="P8" i="63"/>
  <c r="N8" i="63"/>
  <c r="M8" i="63"/>
  <c r="K8" i="63"/>
  <c r="C11" i="63" s="1"/>
  <c r="J8" i="63"/>
  <c r="W7" i="63"/>
  <c r="V7" i="63"/>
  <c r="F8" i="63"/>
  <c r="T7" i="63"/>
  <c r="S7" i="63"/>
  <c r="Q7" i="63"/>
  <c r="P7" i="63"/>
  <c r="D8" i="63"/>
  <c r="N7" i="63"/>
  <c r="M7" i="63"/>
  <c r="K7" i="63"/>
  <c r="C8" i="63" s="1"/>
  <c r="C9" i="63" s="1"/>
  <c r="J7" i="63"/>
  <c r="E7" i="63"/>
  <c r="F7" i="63" s="1"/>
  <c r="G7" i="63" s="1"/>
  <c r="D7" i="63"/>
  <c r="G6" i="63"/>
  <c r="W6" i="63"/>
  <c r="V6" i="63"/>
  <c r="T6" i="63"/>
  <c r="S6" i="63"/>
  <c r="E6" i="63"/>
  <c r="Q6" i="63"/>
  <c r="P6" i="63"/>
  <c r="N6" i="63"/>
  <c r="M6" i="63"/>
  <c r="K6" i="63"/>
  <c r="J6" i="63"/>
  <c r="G5" i="63"/>
  <c r="F5" i="63"/>
  <c r="E5" i="63"/>
  <c r="D5" i="63"/>
  <c r="F11" i="65" l="1"/>
  <c r="F6" i="65"/>
  <c r="E8" i="65"/>
  <c r="M9" i="65"/>
  <c r="C16" i="65" s="1"/>
  <c r="F17" i="65"/>
  <c r="E19" i="65"/>
  <c r="M7" i="65"/>
  <c r="C8" i="65" s="1"/>
  <c r="C9" i="65" s="1"/>
  <c r="G8" i="65"/>
  <c r="D8" i="65"/>
  <c r="D9" i="65" s="1"/>
  <c r="M8" i="65"/>
  <c r="C11" i="65" s="1"/>
  <c r="E29" i="65"/>
  <c r="E6" i="65"/>
  <c r="E16" i="65"/>
  <c r="C157" i="65"/>
  <c r="D11" i="65"/>
  <c r="E11" i="65"/>
  <c r="G16" i="65"/>
  <c r="G11" i="65"/>
  <c r="F8" i="65"/>
  <c r="M6" i="65"/>
  <c r="C6" i="65" s="1"/>
  <c r="D17" i="65"/>
  <c r="M11" i="65"/>
  <c r="C19" i="65" s="1"/>
  <c r="G19" i="65"/>
  <c r="C150" i="65"/>
  <c r="F150" i="65" s="1"/>
  <c r="F141" i="65" s="1"/>
  <c r="D6" i="65"/>
  <c r="G6" i="65"/>
  <c r="F16" i="65"/>
  <c r="D19" i="65"/>
  <c r="E38" i="65"/>
  <c r="F29" i="65"/>
  <c r="E9" i="65"/>
  <c r="F7" i="65"/>
  <c r="E17" i="65"/>
  <c r="M10" i="65"/>
  <c r="C17" i="65" s="1"/>
  <c r="G17" i="65"/>
  <c r="F19" i="65"/>
  <c r="F155" i="65"/>
  <c r="D16" i="65"/>
  <c r="C94" i="65"/>
  <c r="C96" i="65" s="1"/>
  <c r="C99" i="65" s="1"/>
  <c r="C108" i="65" s="1"/>
  <c r="C114" i="65" s="1"/>
  <c r="E69" i="65"/>
  <c r="E9" i="64"/>
  <c r="G9" i="64"/>
  <c r="C157" i="64"/>
  <c r="D38" i="64"/>
  <c r="C9" i="64"/>
  <c r="D9" i="64"/>
  <c r="F9" i="64"/>
  <c r="C150" i="64"/>
  <c r="F150" i="64" s="1"/>
  <c r="F141" i="64" s="1"/>
  <c r="F29" i="64"/>
  <c r="F38" i="64" s="1"/>
  <c r="C110" i="64"/>
  <c r="C108" i="64" s="1"/>
  <c r="C114" i="64" s="1"/>
  <c r="D10" i="64"/>
  <c r="E69" i="64"/>
  <c r="G8" i="63"/>
  <c r="G24" i="63" s="1"/>
  <c r="F6" i="63"/>
  <c r="E8" i="63"/>
  <c r="E9" i="63"/>
  <c r="D6" i="63"/>
  <c r="D11" i="63"/>
  <c r="C17" i="63"/>
  <c r="C6" i="63"/>
  <c r="G27" i="63"/>
  <c r="D24" i="63"/>
  <c r="F10" i="63"/>
  <c r="G10" i="63"/>
  <c r="G9" i="63"/>
  <c r="F27" i="63"/>
  <c r="E10" i="63"/>
  <c r="E24" i="63"/>
  <c r="E27" i="63" s="1"/>
  <c r="C24" i="63"/>
  <c r="C27" i="63" s="1"/>
  <c r="C10" i="63"/>
  <c r="G26" i="63"/>
  <c r="G14" i="63" s="1"/>
  <c r="G15" i="63" s="1"/>
  <c r="F141" i="63"/>
  <c r="D9" i="63"/>
  <c r="F24" i="63"/>
  <c r="F26" i="63" s="1"/>
  <c r="F29" i="63"/>
  <c r="F9" i="63"/>
  <c r="F155" i="63"/>
  <c r="E69" i="63"/>
  <c r="D10" i="63"/>
  <c r="X11" i="62"/>
  <c r="X10" i="62"/>
  <c r="U11" i="62"/>
  <c r="U10" i="62"/>
  <c r="R11" i="62"/>
  <c r="R10" i="62"/>
  <c r="O11" i="62"/>
  <c r="D19" i="62" s="1"/>
  <c r="O10" i="62"/>
  <c r="L11" i="62"/>
  <c r="L10" i="62"/>
  <c r="O7" i="62"/>
  <c r="O8" i="62"/>
  <c r="O9" i="62"/>
  <c r="R7" i="62"/>
  <c r="R8" i="62"/>
  <c r="R9" i="62"/>
  <c r="U7" i="62"/>
  <c r="U8" i="62"/>
  <c r="U9" i="62"/>
  <c r="F19" i="62"/>
  <c r="X7" i="62"/>
  <c r="X8" i="62"/>
  <c r="X9" i="62"/>
  <c r="X6" i="62"/>
  <c r="U6" i="62"/>
  <c r="R6" i="62"/>
  <c r="S6" i="62"/>
  <c r="T6" i="62"/>
  <c r="O6" i="62"/>
  <c r="L7" i="62"/>
  <c r="L8" i="62"/>
  <c r="L9" i="62"/>
  <c r="L6" i="62"/>
  <c r="F155" i="62"/>
  <c r="C146" i="62"/>
  <c r="C150" i="62" s="1"/>
  <c r="F150" i="62" s="1"/>
  <c r="C141" i="62"/>
  <c r="F129" i="62"/>
  <c r="F126" i="62" s="1"/>
  <c r="F157" i="62" s="1"/>
  <c r="C129" i="62"/>
  <c r="C126" i="62" s="1"/>
  <c r="C157" i="62" s="1"/>
  <c r="F121" i="62"/>
  <c r="C109" i="62"/>
  <c r="C106" i="62"/>
  <c r="C93" i="62"/>
  <c r="C110" i="62" s="1"/>
  <c r="C73" i="62"/>
  <c r="D69" i="62"/>
  <c r="D73" i="62" s="1"/>
  <c r="D38" i="62"/>
  <c r="C38" i="62"/>
  <c r="E29" i="62"/>
  <c r="E38" i="62" s="1"/>
  <c r="D29" i="62"/>
  <c r="C19" i="62"/>
  <c r="G18" i="62"/>
  <c r="F18" i="62"/>
  <c r="E18" i="62"/>
  <c r="D18" i="62"/>
  <c r="G17" i="62"/>
  <c r="C16" i="62"/>
  <c r="E13" i="62"/>
  <c r="F13" i="62" s="1"/>
  <c r="G13" i="62" s="1"/>
  <c r="D13" i="62"/>
  <c r="F12" i="62"/>
  <c r="W11" i="62"/>
  <c r="V11" i="62"/>
  <c r="T11" i="62"/>
  <c r="S11" i="62"/>
  <c r="Q11" i="62"/>
  <c r="P11" i="62"/>
  <c r="E19" i="62" s="1"/>
  <c r="N11" i="62"/>
  <c r="M11" i="62"/>
  <c r="K11" i="62"/>
  <c r="J11" i="62"/>
  <c r="G11" i="62"/>
  <c r="W10" i="62"/>
  <c r="V10" i="62"/>
  <c r="T10" i="62"/>
  <c r="S10" i="62"/>
  <c r="F17" i="62" s="1"/>
  <c r="Q10" i="62"/>
  <c r="E17" i="62" s="1"/>
  <c r="P10" i="62"/>
  <c r="N10" i="62"/>
  <c r="M10" i="62"/>
  <c r="D17" i="62" s="1"/>
  <c r="K10" i="62"/>
  <c r="C17" i="62" s="1"/>
  <c r="J10" i="62"/>
  <c r="W9" i="62"/>
  <c r="V9" i="62"/>
  <c r="F16" i="62"/>
  <c r="T9" i="62"/>
  <c r="S9" i="62"/>
  <c r="Q9" i="62"/>
  <c r="P9" i="62"/>
  <c r="D16" i="62"/>
  <c r="N9" i="62"/>
  <c r="M9" i="62"/>
  <c r="K9" i="62"/>
  <c r="J9" i="62"/>
  <c r="W8" i="62"/>
  <c r="V8" i="62"/>
  <c r="T8" i="62"/>
  <c r="S8" i="62"/>
  <c r="F11" i="62" s="1"/>
  <c r="Q8" i="62"/>
  <c r="E11" i="62" s="1"/>
  <c r="P8" i="62"/>
  <c r="N8" i="62"/>
  <c r="M8" i="62"/>
  <c r="D11" i="62" s="1"/>
  <c r="K8" i="62"/>
  <c r="C11" i="62" s="1"/>
  <c r="J8" i="62"/>
  <c r="W7" i="62"/>
  <c r="G8" i="62" s="1"/>
  <c r="V7" i="62"/>
  <c r="F8" i="62"/>
  <c r="T7" i="62"/>
  <c r="S7" i="62"/>
  <c r="Q7" i="62"/>
  <c r="P7" i="62"/>
  <c r="E8" i="62" s="1"/>
  <c r="D8" i="62"/>
  <c r="N7" i="62"/>
  <c r="M7" i="62"/>
  <c r="K7" i="62"/>
  <c r="C8" i="62" s="1"/>
  <c r="C9" i="62" s="1"/>
  <c r="J7" i="62"/>
  <c r="E7" i="62"/>
  <c r="F7" i="62" s="1"/>
  <c r="G7" i="62" s="1"/>
  <c r="D7" i="62"/>
  <c r="G6" i="62"/>
  <c r="W6" i="62"/>
  <c r="V6" i="62"/>
  <c r="Q6" i="62"/>
  <c r="P6" i="62"/>
  <c r="D6" i="62"/>
  <c r="N6" i="62"/>
  <c r="M6" i="62"/>
  <c r="K6" i="62"/>
  <c r="J6" i="62"/>
  <c r="C6" i="62" s="1"/>
  <c r="G5" i="62"/>
  <c r="F5" i="62"/>
  <c r="E5" i="62"/>
  <c r="D5" i="62"/>
  <c r="E10" i="65" l="1"/>
  <c r="E24" i="65"/>
  <c r="E27" i="65" s="1"/>
  <c r="D10" i="65"/>
  <c r="C10" i="65"/>
  <c r="D24" i="65"/>
  <c r="D26" i="65" s="1"/>
  <c r="D30" i="65" s="1"/>
  <c r="E26" i="65"/>
  <c r="E25" i="65" s="1"/>
  <c r="C24" i="65"/>
  <c r="C26" i="65" s="1"/>
  <c r="C14" i="65" s="1"/>
  <c r="C15" i="65" s="1"/>
  <c r="F24" i="65"/>
  <c r="F26" i="65" s="1"/>
  <c r="F69" i="65"/>
  <c r="E73" i="65"/>
  <c r="G7" i="65"/>
  <c r="F9" i="65"/>
  <c r="F38" i="65"/>
  <c r="G29" i="65"/>
  <c r="G38" i="65" s="1"/>
  <c r="F10" i="65"/>
  <c r="E10" i="64"/>
  <c r="G24" i="64"/>
  <c r="E24" i="64"/>
  <c r="E27" i="64" s="1"/>
  <c r="E26" i="64"/>
  <c r="E25" i="64" s="1"/>
  <c r="F10" i="64"/>
  <c r="D24" i="64"/>
  <c r="D26" i="64" s="1"/>
  <c r="D68" i="64" s="1"/>
  <c r="D70" i="64" s="1"/>
  <c r="G10" i="64"/>
  <c r="G29" i="64"/>
  <c r="G38" i="64" s="1"/>
  <c r="F24" i="64"/>
  <c r="F69" i="64"/>
  <c r="E73" i="64"/>
  <c r="G27" i="64"/>
  <c r="G26" i="64"/>
  <c r="G14" i="64" s="1"/>
  <c r="G15" i="64" s="1"/>
  <c r="E26" i="63"/>
  <c r="D27" i="63"/>
  <c r="F69" i="63"/>
  <c r="E73" i="63"/>
  <c r="C40" i="63"/>
  <c r="C26" i="63"/>
  <c r="C25" i="63" s="1"/>
  <c r="E30" i="63"/>
  <c r="E28" i="63"/>
  <c r="E68" i="63"/>
  <c r="E70" i="63" s="1"/>
  <c r="F30" i="63"/>
  <c r="F28" i="63"/>
  <c r="F68" i="63"/>
  <c r="F70" i="63" s="1"/>
  <c r="G29" i="63"/>
  <c r="G38" i="63" s="1"/>
  <c r="F38" i="63"/>
  <c r="G68" i="63"/>
  <c r="G28" i="63"/>
  <c r="D26" i="63"/>
  <c r="F25" i="63"/>
  <c r="F14" i="63"/>
  <c r="F15" i="63" s="1"/>
  <c r="E25" i="63"/>
  <c r="E14" i="63"/>
  <c r="E15" i="63" s="1"/>
  <c r="G25" i="63"/>
  <c r="E16" i="62"/>
  <c r="G19" i="62"/>
  <c r="G16" i="62"/>
  <c r="E6" i="62"/>
  <c r="E24" i="62" s="1"/>
  <c r="E26" i="62" s="1"/>
  <c r="E10" i="62"/>
  <c r="F6" i="62"/>
  <c r="G9" i="62"/>
  <c r="C108" i="62"/>
  <c r="C114" i="62" s="1"/>
  <c r="C24" i="62"/>
  <c r="C10" i="62"/>
  <c r="F141" i="62"/>
  <c r="D24" i="62"/>
  <c r="D26" i="62" s="1"/>
  <c r="G24" i="62"/>
  <c r="G27" i="62" s="1"/>
  <c r="G10" i="62"/>
  <c r="E9" i="62"/>
  <c r="D9" i="62"/>
  <c r="F29" i="62"/>
  <c r="D10" i="62"/>
  <c r="C94" i="62"/>
  <c r="C96" i="62" s="1"/>
  <c r="C99" i="62" s="1"/>
  <c r="F9" i="62"/>
  <c r="E69" i="62"/>
  <c r="F27" i="65" l="1"/>
  <c r="D27" i="65"/>
  <c r="C27" i="65"/>
  <c r="C28" i="65" s="1"/>
  <c r="C40" i="65"/>
  <c r="E14" i="65"/>
  <c r="E15" i="65" s="1"/>
  <c r="E68" i="65"/>
  <c r="E70" i="65" s="1"/>
  <c r="E71" i="65" s="1"/>
  <c r="E72" i="65" s="1"/>
  <c r="E74" i="65" s="1"/>
  <c r="D25" i="65"/>
  <c r="E30" i="65"/>
  <c r="E31" i="65" s="1"/>
  <c r="E32" i="65" s="1"/>
  <c r="E37" i="65" s="1"/>
  <c r="E39" i="65" s="1"/>
  <c r="E28" i="65"/>
  <c r="D68" i="65"/>
  <c r="D70" i="65" s="1"/>
  <c r="D71" i="65" s="1"/>
  <c r="D72" i="65" s="1"/>
  <c r="D74" i="65" s="1"/>
  <c r="D28" i="65"/>
  <c r="D14" i="65"/>
  <c r="D15" i="65" s="1"/>
  <c r="C25" i="65"/>
  <c r="D40" i="65"/>
  <c r="C75" i="65"/>
  <c r="F30" i="65"/>
  <c r="F28" i="65"/>
  <c r="F68" i="65"/>
  <c r="F70" i="65" s="1"/>
  <c r="C30" i="65"/>
  <c r="C68" i="65"/>
  <c r="C70" i="65" s="1"/>
  <c r="F14" i="65"/>
  <c r="F15" i="65" s="1"/>
  <c r="D31" i="65"/>
  <c r="D32" i="65" s="1"/>
  <c r="D37" i="65" s="1"/>
  <c r="D39" i="65" s="1"/>
  <c r="G69" i="65"/>
  <c r="G73" i="65" s="1"/>
  <c r="F73" i="65"/>
  <c r="G24" i="65"/>
  <c r="G10" i="65"/>
  <c r="G9" i="65"/>
  <c r="F25" i="65"/>
  <c r="E14" i="64"/>
  <c r="E15" i="64" s="1"/>
  <c r="E28" i="64"/>
  <c r="D27" i="64"/>
  <c r="D28" i="64" s="1"/>
  <c r="D14" i="64"/>
  <c r="D15" i="64" s="1"/>
  <c r="E68" i="64"/>
  <c r="E70" i="64" s="1"/>
  <c r="E71" i="64" s="1"/>
  <c r="E72" i="64" s="1"/>
  <c r="E74" i="64" s="1"/>
  <c r="E30" i="64"/>
  <c r="E31" i="64" s="1"/>
  <c r="E32" i="64" s="1"/>
  <c r="E37" i="64" s="1"/>
  <c r="E39" i="64" s="1"/>
  <c r="D25" i="64"/>
  <c r="D30" i="64"/>
  <c r="D31" i="64" s="1"/>
  <c r="D32" i="64" s="1"/>
  <c r="D37" i="64" s="1"/>
  <c r="D39" i="64" s="1"/>
  <c r="G25" i="64"/>
  <c r="F26" i="64"/>
  <c r="F27" i="64"/>
  <c r="G69" i="64"/>
  <c r="G73" i="64" s="1"/>
  <c r="F73" i="64"/>
  <c r="G30" i="64"/>
  <c r="G28" i="64"/>
  <c r="G68" i="64"/>
  <c r="D71" i="64"/>
  <c r="D72" i="64" s="1"/>
  <c r="D74" i="64" s="1"/>
  <c r="C14" i="63"/>
  <c r="C15" i="63" s="1"/>
  <c r="F71" i="63"/>
  <c r="F72" i="63"/>
  <c r="C75" i="63"/>
  <c r="D40" i="63"/>
  <c r="D68" i="63"/>
  <c r="D70" i="63" s="1"/>
  <c r="D30" i="63"/>
  <c r="D28" i="63"/>
  <c r="F31" i="63"/>
  <c r="F32" i="63" s="1"/>
  <c r="F37" i="63" s="1"/>
  <c r="F39" i="63" s="1"/>
  <c r="G30" i="63"/>
  <c r="E31" i="63"/>
  <c r="E32" i="63" s="1"/>
  <c r="E37" i="63" s="1"/>
  <c r="E39" i="63" s="1"/>
  <c r="D14" i="63"/>
  <c r="D15" i="63" s="1"/>
  <c r="E71" i="63"/>
  <c r="E72" i="63" s="1"/>
  <c r="E74" i="63" s="1"/>
  <c r="G69" i="63"/>
  <c r="G73" i="63" s="1"/>
  <c r="F73" i="63"/>
  <c r="C68" i="63"/>
  <c r="C70" i="63" s="1"/>
  <c r="C30" i="63"/>
  <c r="C28" i="63"/>
  <c r="D25" i="63"/>
  <c r="G26" i="62"/>
  <c r="F24" i="62"/>
  <c r="F10" i="62"/>
  <c r="E30" i="62"/>
  <c r="E68" i="62"/>
  <c r="E70" i="62" s="1"/>
  <c r="D68" i="62"/>
  <c r="D70" i="62" s="1"/>
  <c r="D30" i="62"/>
  <c r="C40" i="62"/>
  <c r="D27" i="62"/>
  <c r="D28" i="62" s="1"/>
  <c r="C27" i="62"/>
  <c r="F26" i="62"/>
  <c r="D25" i="62"/>
  <c r="D14" i="62"/>
  <c r="D15" i="62" s="1"/>
  <c r="E25" i="62"/>
  <c r="E14" i="62"/>
  <c r="E15" i="62" s="1"/>
  <c r="F27" i="62"/>
  <c r="C26" i="62"/>
  <c r="C25" i="62" s="1"/>
  <c r="F69" i="62"/>
  <c r="E73" i="62"/>
  <c r="G30" i="62"/>
  <c r="G28" i="62"/>
  <c r="G68" i="62"/>
  <c r="G29" i="62"/>
  <c r="G38" i="62" s="1"/>
  <c r="F38" i="62"/>
  <c r="G25" i="62"/>
  <c r="G14" i="62"/>
  <c r="G15" i="62" s="1"/>
  <c r="E27" i="62"/>
  <c r="E28" i="62" s="1"/>
  <c r="D41" i="65" l="1"/>
  <c r="C31" i="65"/>
  <c r="C32" i="65" s="1"/>
  <c r="C37" i="65" s="1"/>
  <c r="C39" i="65" s="1"/>
  <c r="C41" i="65" s="1"/>
  <c r="F71" i="65"/>
  <c r="F72" i="65"/>
  <c r="F74" i="65" s="1"/>
  <c r="F31" i="65"/>
  <c r="F32" i="65" s="1"/>
  <c r="F37" i="65" s="1"/>
  <c r="F39" i="65" s="1"/>
  <c r="E40" i="65"/>
  <c r="E41" i="65" s="1"/>
  <c r="D75" i="65"/>
  <c r="D76" i="65" s="1"/>
  <c r="D79" i="65" s="1"/>
  <c r="D81" i="65" s="1"/>
  <c r="G26" i="65"/>
  <c r="G25" i="65" s="1"/>
  <c r="G27" i="65"/>
  <c r="C71" i="65"/>
  <c r="C72" i="65" s="1"/>
  <c r="C74" i="65" s="1"/>
  <c r="C76" i="65" s="1"/>
  <c r="C79" i="65" s="1"/>
  <c r="G70" i="64"/>
  <c r="G71" i="64" s="1"/>
  <c r="G72" i="64" s="1"/>
  <c r="G74" i="64" s="1"/>
  <c r="F68" i="64"/>
  <c r="F70" i="64" s="1"/>
  <c r="F71" i="64" s="1"/>
  <c r="F72" i="64" s="1"/>
  <c r="F74" i="64" s="1"/>
  <c r="F30" i="64"/>
  <c r="F25" i="64"/>
  <c r="F28" i="64"/>
  <c r="F14" i="64"/>
  <c r="F15" i="64" s="1"/>
  <c r="G31" i="64"/>
  <c r="G32" i="64" s="1"/>
  <c r="G37" i="64" s="1"/>
  <c r="G39" i="64" s="1"/>
  <c r="D31" i="63"/>
  <c r="D32" i="63" s="1"/>
  <c r="D37" i="63" s="1"/>
  <c r="D39" i="63" s="1"/>
  <c r="D41" i="63" s="1"/>
  <c r="C71" i="63"/>
  <c r="C72" i="63"/>
  <c r="C74" i="63" s="1"/>
  <c r="C76" i="63" s="1"/>
  <c r="C79" i="63" s="1"/>
  <c r="D71" i="63"/>
  <c r="D72" i="63" s="1"/>
  <c r="D74" i="63" s="1"/>
  <c r="C31" i="63"/>
  <c r="C32" i="63" s="1"/>
  <c r="C37" i="63" s="1"/>
  <c r="C39" i="63" s="1"/>
  <c r="C41" i="63" s="1"/>
  <c r="E40" i="63"/>
  <c r="D75" i="63"/>
  <c r="G70" i="63"/>
  <c r="G31" i="63"/>
  <c r="G32" i="63" s="1"/>
  <c r="G37" i="63" s="1"/>
  <c r="G39" i="63" s="1"/>
  <c r="F74" i="63"/>
  <c r="G31" i="62"/>
  <c r="G32" i="62" s="1"/>
  <c r="G37" i="62" s="1"/>
  <c r="G39" i="62" s="1"/>
  <c r="C75" i="62"/>
  <c r="D40" i="62"/>
  <c r="F30" i="62"/>
  <c r="F28" i="62"/>
  <c r="F68" i="62"/>
  <c r="F70" i="62" s="1"/>
  <c r="G69" i="62"/>
  <c r="G73" i="62" s="1"/>
  <c r="F73" i="62"/>
  <c r="C68" i="62"/>
  <c r="C70" i="62" s="1"/>
  <c r="C30" i="62"/>
  <c r="C28" i="62"/>
  <c r="F14" i="62"/>
  <c r="F15" i="62" s="1"/>
  <c r="E71" i="62"/>
  <c r="E72" i="62"/>
  <c r="E74" i="62" s="1"/>
  <c r="F25" i="62"/>
  <c r="E31" i="62"/>
  <c r="E32" i="62" s="1"/>
  <c r="E37" i="62" s="1"/>
  <c r="E39" i="62" s="1"/>
  <c r="D31" i="62"/>
  <c r="D32" i="62" s="1"/>
  <c r="D37" i="62" s="1"/>
  <c r="D39" i="62" s="1"/>
  <c r="D71" i="62"/>
  <c r="D72" i="62"/>
  <c r="D74" i="62" s="1"/>
  <c r="C14" i="62"/>
  <c r="C15" i="62" s="1"/>
  <c r="C81" i="65" l="1"/>
  <c r="D82" i="65" s="1"/>
  <c r="G30" i="65"/>
  <c r="G28" i="65"/>
  <c r="G68" i="65"/>
  <c r="G70" i="65" s="1"/>
  <c r="G14" i="65"/>
  <c r="G15" i="65" s="1"/>
  <c r="F40" i="65"/>
  <c r="F41" i="65" s="1"/>
  <c r="E75" i="65"/>
  <c r="E76" i="65" s="1"/>
  <c r="E79" i="65" s="1"/>
  <c r="E81" i="65" s="1"/>
  <c r="E82" i="65" s="1"/>
  <c r="F31" i="64"/>
  <c r="F32" i="64" s="1"/>
  <c r="F37" i="64" s="1"/>
  <c r="F39" i="64" s="1"/>
  <c r="D76" i="63"/>
  <c r="D79" i="63" s="1"/>
  <c r="D81" i="63" s="1"/>
  <c r="C81" i="63"/>
  <c r="G71" i="63"/>
  <c r="G72" i="63" s="1"/>
  <c r="G74" i="63" s="1"/>
  <c r="E75" i="63"/>
  <c r="E76" i="63" s="1"/>
  <c r="E79" i="63" s="1"/>
  <c r="E81" i="63" s="1"/>
  <c r="E82" i="63" s="1"/>
  <c r="F40" i="63"/>
  <c r="E41" i="63"/>
  <c r="D41" i="62"/>
  <c r="F71" i="62"/>
  <c r="F72" i="62"/>
  <c r="F74" i="62" s="1"/>
  <c r="G70" i="62"/>
  <c r="F31" i="62"/>
  <c r="F32" i="62" s="1"/>
  <c r="F37" i="62" s="1"/>
  <c r="F39" i="62" s="1"/>
  <c r="E40" i="62"/>
  <c r="D75" i="62"/>
  <c r="D76" i="62" s="1"/>
  <c r="D79" i="62" s="1"/>
  <c r="D81" i="62" s="1"/>
  <c r="C31" i="62"/>
  <c r="C32" i="62" s="1"/>
  <c r="C37" i="62" s="1"/>
  <c r="C39" i="62" s="1"/>
  <c r="C41" i="62" s="1"/>
  <c r="C71" i="62"/>
  <c r="C72" i="62"/>
  <c r="C74" i="62" s="1"/>
  <c r="C76" i="62" s="1"/>
  <c r="C79" i="62" s="1"/>
  <c r="G31" i="65" l="1"/>
  <c r="G32" i="65" s="1"/>
  <c r="G37" i="65" s="1"/>
  <c r="G39" i="65" s="1"/>
  <c r="G40" i="65"/>
  <c r="G75" i="65" s="1"/>
  <c r="F75" i="65"/>
  <c r="F76" i="65" s="1"/>
  <c r="F79" i="65" s="1"/>
  <c r="F81" i="65" s="1"/>
  <c r="F82" i="65" s="1"/>
  <c r="G71" i="65"/>
  <c r="G72" i="65" s="1"/>
  <c r="G74" i="65" s="1"/>
  <c r="G76" i="65" s="1"/>
  <c r="G79" i="65" s="1"/>
  <c r="D82" i="63"/>
  <c r="G40" i="63"/>
  <c r="F75" i="63"/>
  <c r="F76" i="63" s="1"/>
  <c r="F79" i="63" s="1"/>
  <c r="F81" i="63" s="1"/>
  <c r="F82" i="63" s="1"/>
  <c r="F41" i="63"/>
  <c r="C81" i="62"/>
  <c r="G71" i="62"/>
  <c r="G72" i="62" s="1"/>
  <c r="G74" i="62" s="1"/>
  <c r="D82" i="62"/>
  <c r="F40" i="62"/>
  <c r="F41" i="62" s="1"/>
  <c r="E75" i="62"/>
  <c r="E76" i="62" s="1"/>
  <c r="E79" i="62" s="1"/>
  <c r="E81" i="62" s="1"/>
  <c r="E82" i="62" s="1"/>
  <c r="E41" i="62"/>
  <c r="G81" i="65" l="1"/>
  <c r="G82" i="65" s="1"/>
  <c r="C83" i="65"/>
  <c r="C113" i="65" s="1"/>
  <c r="G41" i="65"/>
  <c r="G75" i="63"/>
  <c r="G76" i="63" s="1"/>
  <c r="G79" i="63" s="1"/>
  <c r="G41" i="63"/>
  <c r="H41" i="63" s="1"/>
  <c r="C49" i="63" s="1"/>
  <c r="F75" i="62"/>
  <c r="F76" i="62" s="1"/>
  <c r="F79" i="62" s="1"/>
  <c r="F81" i="62" s="1"/>
  <c r="F82" i="62" s="1"/>
  <c r="G40" i="62"/>
  <c r="H41" i="65" l="1"/>
  <c r="C49" i="65" s="1"/>
  <c r="I79" i="65"/>
  <c r="C115" i="65" s="1"/>
  <c r="C122" i="65" s="1"/>
  <c r="C119" i="65" s="1"/>
  <c r="G81" i="63"/>
  <c r="G82" i="63" s="1"/>
  <c r="C83" i="63" s="1"/>
  <c r="C113" i="63" s="1"/>
  <c r="C67" i="63"/>
  <c r="G75" i="62"/>
  <c r="G76" i="62" s="1"/>
  <c r="G79" i="62" s="1"/>
  <c r="G41" i="62"/>
  <c r="C67" i="65" l="1"/>
  <c r="C135" i="65"/>
  <c r="C154" i="65"/>
  <c r="I79" i="63"/>
  <c r="C115" i="63" s="1"/>
  <c r="C122" i="63" s="1"/>
  <c r="C119" i="63" s="1"/>
  <c r="H41" i="62"/>
  <c r="C49" i="62" s="1"/>
  <c r="C67" i="62"/>
  <c r="G81" i="62"/>
  <c r="G82" i="62" s="1"/>
  <c r="C83" i="62" s="1"/>
  <c r="C113" i="62" s="1"/>
  <c r="F135" i="65" l="1"/>
  <c r="C160" i="65"/>
  <c r="G119" i="65"/>
  <c r="C154" i="63"/>
  <c r="C135" i="63"/>
  <c r="I79" i="62"/>
  <c r="C115" i="62" s="1"/>
  <c r="C122" i="62" s="1"/>
  <c r="C119" i="62" s="1"/>
  <c r="F119" i="65" l="1"/>
  <c r="K121" i="65"/>
  <c r="F92" i="65" s="1"/>
  <c r="F160" i="65"/>
  <c r="C160" i="63"/>
  <c r="F135" i="63"/>
  <c r="G119" i="63" s="1"/>
  <c r="C135" i="62"/>
  <c r="C154" i="62"/>
  <c r="F154" i="65" l="1"/>
  <c r="K119" i="65"/>
  <c r="F93" i="65" s="1"/>
  <c r="F119" i="63"/>
  <c r="K121" i="63"/>
  <c r="F92" i="63" s="1"/>
  <c r="F160" i="63"/>
  <c r="C160" i="62"/>
  <c r="F135" i="62"/>
  <c r="G119" i="62"/>
  <c r="F154" i="63" l="1"/>
  <c r="K119" i="63"/>
  <c r="F93" i="63" s="1"/>
  <c r="F119" i="62"/>
  <c r="F160" i="62"/>
  <c r="K121" i="62"/>
  <c r="F92" i="62" s="1"/>
  <c r="K119" i="62" l="1"/>
  <c r="F93" i="62" s="1"/>
  <c r="F154" i="62"/>
  <c r="W11" i="7" l="1"/>
  <c r="V11" i="7"/>
  <c r="W10" i="7"/>
  <c r="V10" i="7"/>
  <c r="W9" i="7"/>
  <c r="V9" i="7"/>
  <c r="W8" i="7"/>
  <c r="V8" i="7"/>
  <c r="W7" i="7"/>
  <c r="V7" i="7"/>
  <c r="W6" i="7"/>
  <c r="V6" i="7"/>
  <c r="T11" i="7"/>
  <c r="S11" i="7"/>
  <c r="T10" i="7"/>
  <c r="S10" i="7"/>
  <c r="T9" i="7"/>
  <c r="S9" i="7"/>
  <c r="T8" i="7"/>
  <c r="S8" i="7"/>
  <c r="T7" i="7"/>
  <c r="S7" i="7"/>
  <c r="T6" i="7"/>
  <c r="S6" i="7"/>
  <c r="Q11" i="7"/>
  <c r="P11" i="7"/>
  <c r="Q10" i="7"/>
  <c r="P10" i="7"/>
  <c r="Q9" i="7"/>
  <c r="P9" i="7"/>
  <c r="Q8" i="7"/>
  <c r="P8" i="7"/>
  <c r="Q7" i="7"/>
  <c r="P7" i="7"/>
  <c r="Q6" i="7"/>
  <c r="P6" i="7"/>
  <c r="N9" i="7"/>
  <c r="N11" i="7"/>
  <c r="M11" i="7"/>
  <c r="N10" i="7"/>
  <c r="M10" i="7"/>
  <c r="M9" i="7"/>
  <c r="N8" i="7"/>
  <c r="M8" i="7"/>
  <c r="N7" i="7"/>
  <c r="M7" i="7"/>
  <c r="N6" i="7"/>
  <c r="M6" i="7"/>
  <c r="K11" i="7"/>
  <c r="J11" i="7"/>
  <c r="L11" i="7" s="1"/>
  <c r="C19" i="7" s="1"/>
  <c r="K10" i="7"/>
  <c r="J10" i="7"/>
  <c r="K9" i="7"/>
  <c r="J9" i="7"/>
  <c r="K8" i="7"/>
  <c r="J8" i="7"/>
  <c r="K7" i="7"/>
  <c r="J7" i="7"/>
  <c r="K6" i="7"/>
  <c r="J6" i="7"/>
  <c r="D69" i="7"/>
  <c r="D73" i="7" s="1"/>
  <c r="C73" i="7"/>
  <c r="U11" i="7" l="1"/>
  <c r="F19" i="7" s="1"/>
  <c r="R10" i="7"/>
  <c r="E17" i="7" s="1"/>
  <c r="X11" i="7"/>
  <c r="G19" i="7" s="1"/>
  <c r="X9" i="7"/>
  <c r="G16" i="7" s="1"/>
  <c r="U10" i="7"/>
  <c r="F17" i="7" s="1"/>
  <c r="X10" i="7"/>
  <c r="G17" i="7" s="1"/>
  <c r="O11" i="7"/>
  <c r="D19" i="7" s="1"/>
  <c r="R11" i="7"/>
  <c r="E19" i="7" s="1"/>
  <c r="O10" i="7"/>
  <c r="D17" i="7" s="1"/>
  <c r="L10" i="7"/>
  <c r="C17" i="7" s="1"/>
  <c r="X7" i="7" l="1"/>
  <c r="G8" i="7" s="1"/>
  <c r="X8" i="7"/>
  <c r="G11" i="7" s="1"/>
  <c r="X6" i="7"/>
  <c r="G6" i="7" s="1"/>
  <c r="U7" i="7"/>
  <c r="F8" i="7" s="1"/>
  <c r="U8" i="7"/>
  <c r="F11" i="7" s="1"/>
  <c r="U9" i="7"/>
  <c r="F16" i="7" s="1"/>
  <c r="U6" i="7"/>
  <c r="F6" i="7" s="1"/>
  <c r="R7" i="7"/>
  <c r="E8" i="7" s="1"/>
  <c r="R8" i="7"/>
  <c r="E11" i="7" s="1"/>
  <c r="R9" i="7"/>
  <c r="E16" i="7" s="1"/>
  <c r="R6" i="7"/>
  <c r="E6" i="7" s="1"/>
  <c r="O7" i="7"/>
  <c r="D8" i="7" s="1"/>
  <c r="O8" i="7"/>
  <c r="D11" i="7" s="1"/>
  <c r="O9" i="7"/>
  <c r="D16" i="7" s="1"/>
  <c r="O6" i="7"/>
  <c r="D6" i="7" s="1"/>
  <c r="L7" i="7"/>
  <c r="C8" i="7" s="1"/>
  <c r="L8" i="7"/>
  <c r="C11" i="7" s="1"/>
  <c r="L9" i="7"/>
  <c r="C16" i="7" s="1"/>
  <c r="L6" i="7"/>
  <c r="C6" i="7" s="1"/>
  <c r="C146" i="7" l="1"/>
  <c r="C141" i="7"/>
  <c r="F129" i="7"/>
  <c r="F126" i="7" s="1"/>
  <c r="F157" i="7" s="1"/>
  <c r="C129" i="7"/>
  <c r="C126" i="7" s="1"/>
  <c r="F121" i="7"/>
  <c r="F155" i="7" s="1"/>
  <c r="C109" i="7"/>
  <c r="C106" i="7"/>
  <c r="C93" i="7"/>
  <c r="C110" i="7" s="1"/>
  <c r="C38" i="7"/>
  <c r="D29" i="7"/>
  <c r="E29" i="7" s="1"/>
  <c r="C24" i="7"/>
  <c r="C27" i="7" s="1"/>
  <c r="D18" i="7"/>
  <c r="E18" i="7" s="1"/>
  <c r="F18" i="7" s="1"/>
  <c r="G18" i="7" s="1"/>
  <c r="D13" i="7"/>
  <c r="E13" i="7" s="1"/>
  <c r="F13" i="7" s="1"/>
  <c r="G13" i="7" s="1"/>
  <c r="F12" i="7"/>
  <c r="C10" i="7"/>
  <c r="C9" i="7"/>
  <c r="D7" i="7"/>
  <c r="E7" i="7" s="1"/>
  <c r="G5" i="7"/>
  <c r="F5" i="7"/>
  <c r="E5" i="7"/>
  <c r="D5" i="7"/>
  <c r="D10" i="7" l="1"/>
  <c r="C150" i="7"/>
  <c r="F150" i="7" s="1"/>
  <c r="F141" i="7" s="1"/>
  <c r="E69" i="7"/>
  <c r="E73" i="7" s="1"/>
  <c r="D38" i="7"/>
  <c r="E24" i="7"/>
  <c r="C26" i="7"/>
  <c r="C68" i="7" s="1"/>
  <c r="C70" i="7" s="1"/>
  <c r="E9" i="7"/>
  <c r="F7" i="7"/>
  <c r="E10" i="7"/>
  <c r="F29" i="7"/>
  <c r="E38" i="7"/>
  <c r="C157" i="7"/>
  <c r="D9" i="7"/>
  <c r="D24" i="7"/>
  <c r="C40" i="7"/>
  <c r="C75" i="7" s="1"/>
  <c r="C94" i="7"/>
  <c r="C96" i="7" s="1"/>
  <c r="C99" i="7" s="1"/>
  <c r="C108" i="7" s="1"/>
  <c r="C114" i="7" s="1"/>
  <c r="C71" i="7" l="1"/>
  <c r="C72" i="7" s="1"/>
  <c r="C74" i="7" s="1"/>
  <c r="C76" i="7" s="1"/>
  <c r="C79" i="7" s="1"/>
  <c r="C81" i="7" s="1"/>
  <c r="F69" i="7"/>
  <c r="E27" i="7"/>
  <c r="E26" i="7"/>
  <c r="D40" i="7"/>
  <c r="D75" i="7" s="1"/>
  <c r="C30" i="7"/>
  <c r="C28" i="7"/>
  <c r="C14" i="7"/>
  <c r="C15" i="7" s="1"/>
  <c r="C25" i="7"/>
  <c r="D26" i="7"/>
  <c r="D27" i="7"/>
  <c r="F24" i="7"/>
  <c r="F10" i="7"/>
  <c r="G7" i="7"/>
  <c r="F9" i="7"/>
  <c r="F38" i="7"/>
  <c r="G29" i="7"/>
  <c r="G38" i="7" s="1"/>
  <c r="E25" i="7" l="1"/>
  <c r="E68" i="7"/>
  <c r="E70" i="7" s="1"/>
  <c r="E71" i="7" s="1"/>
  <c r="E72" i="7" s="1"/>
  <c r="E74" i="7" s="1"/>
  <c r="D68" i="7"/>
  <c r="D70" i="7" s="1"/>
  <c r="E30" i="7"/>
  <c r="E31" i="7" s="1"/>
  <c r="E32" i="7" s="1"/>
  <c r="E37" i="7" s="1"/>
  <c r="E39" i="7" s="1"/>
  <c r="E41" i="7" s="1"/>
  <c r="E28" i="7"/>
  <c r="E14" i="7"/>
  <c r="E15" i="7" s="1"/>
  <c r="G69" i="7"/>
  <c r="G73" i="7" s="1"/>
  <c r="F73" i="7"/>
  <c r="D25" i="7"/>
  <c r="D14" i="7"/>
  <c r="D15" i="7" s="1"/>
  <c r="E40" i="7"/>
  <c r="F27" i="7"/>
  <c r="F26" i="7"/>
  <c r="F25" i="7" s="1"/>
  <c r="G9" i="7"/>
  <c r="G10" i="7"/>
  <c r="G24" i="7"/>
  <c r="D30" i="7"/>
  <c r="D28" i="7"/>
  <c r="C31" i="7"/>
  <c r="C32" i="7" s="1"/>
  <c r="C37" i="7" s="1"/>
  <c r="C39" i="7" s="1"/>
  <c r="C41" i="7" l="1"/>
  <c r="D71" i="7"/>
  <c r="D72" i="7" s="1"/>
  <c r="D74" i="7" s="1"/>
  <c r="D76" i="7" s="1"/>
  <c r="D79" i="7" s="1"/>
  <c r="D81" i="7" s="1"/>
  <c r="D82" i="7" s="1"/>
  <c r="C7" i="29"/>
  <c r="C8" i="29" s="1"/>
  <c r="D31" i="7"/>
  <c r="D32" i="7" s="1"/>
  <c r="D37" i="7" s="1"/>
  <c r="D39" i="7" s="1"/>
  <c r="D41" i="7" s="1"/>
  <c r="G27" i="7"/>
  <c r="G26" i="7"/>
  <c r="G14" i="7" s="1"/>
  <c r="G15" i="7" s="1"/>
  <c r="F28" i="7"/>
  <c r="F68" i="7"/>
  <c r="F70" i="7" s="1"/>
  <c r="F30" i="7"/>
  <c r="F14" i="7"/>
  <c r="F15" i="7" s="1"/>
  <c r="E75" i="7"/>
  <c r="E76" i="7" s="1"/>
  <c r="E79" i="7" s="1"/>
  <c r="E81" i="7" s="1"/>
  <c r="F40" i="7"/>
  <c r="E7" i="29" l="1"/>
  <c r="E8" i="29" s="1"/>
  <c r="D7" i="29"/>
  <c r="D8" i="29" s="1"/>
  <c r="G25" i="7"/>
  <c r="E82" i="7"/>
  <c r="F31" i="7"/>
  <c r="F32" i="7" s="1"/>
  <c r="F37" i="7" s="1"/>
  <c r="F39" i="7" s="1"/>
  <c r="F41" i="7" s="1"/>
  <c r="F75" i="7"/>
  <c r="G40" i="7"/>
  <c r="G75" i="7" s="1"/>
  <c r="F71" i="7"/>
  <c r="F72" i="7" s="1"/>
  <c r="F74" i="7" s="1"/>
  <c r="G68" i="7"/>
  <c r="G70" i="7" s="1"/>
  <c r="G30" i="7"/>
  <c r="G28" i="7"/>
  <c r="F7" i="29" l="1"/>
  <c r="F8" i="29" s="1"/>
  <c r="F76" i="7"/>
  <c r="F79" i="7" s="1"/>
  <c r="F81" i="7" s="1"/>
  <c r="F82" i="7" s="1"/>
  <c r="G71" i="7"/>
  <c r="G72" i="7" s="1"/>
  <c r="G74" i="7" s="1"/>
  <c r="G76" i="7" s="1"/>
  <c r="G79" i="7" s="1"/>
  <c r="G31" i="7"/>
  <c r="G32" i="7" s="1"/>
  <c r="G37" i="7" s="1"/>
  <c r="G39" i="7" s="1"/>
  <c r="G41" i="7" s="1"/>
  <c r="H41" i="7" l="1"/>
  <c r="C67" i="7" s="1"/>
  <c r="G7" i="29"/>
  <c r="G8" i="29" s="1"/>
  <c r="G81" i="7"/>
  <c r="G82" i="7" s="1"/>
  <c r="C83" i="7" l="1"/>
  <c r="C113" i="7" s="1"/>
  <c r="C49" i="7"/>
  <c r="C5" i="20" l="1"/>
  <c r="I79" i="7"/>
  <c r="C115" i="7" s="1"/>
  <c r="C122" i="7" s="1"/>
  <c r="C119" i="7" s="1"/>
  <c r="C154" i="7" s="1"/>
  <c r="C135" i="7" l="1"/>
  <c r="F135" i="7" s="1"/>
  <c r="G119" i="7" s="1"/>
  <c r="C9" i="29" l="1"/>
  <c r="C14" i="29" s="1"/>
  <c r="C160" i="7"/>
  <c r="K121" i="7"/>
  <c r="F92" i="7" s="1"/>
  <c r="F119" i="7"/>
  <c r="F160" i="7"/>
  <c r="F154" i="7" l="1"/>
  <c r="K119" i="7"/>
  <c r="F93" i="7" s="1"/>
  <c r="E9" i="29" l="1"/>
  <c r="E14" i="29" s="1"/>
  <c r="D9" i="29"/>
  <c r="D14" i="29" s="1"/>
  <c r="F9" i="29" l="1"/>
  <c r="F14" i="29" s="1"/>
  <c r="G9" i="29"/>
  <c r="G14" i="29" s="1"/>
  <c r="H14" i="29" s="1"/>
  <c r="C20" i="29" l="1"/>
  <c r="C12" i="20" s="1"/>
  <c r="C24" i="64" l="1"/>
  <c r="C10" i="64"/>
  <c r="C26" i="64" l="1"/>
  <c r="C27" i="64"/>
  <c r="C40" i="64"/>
  <c r="C14" i="64"/>
  <c r="C15" i="64" s="1"/>
  <c r="C25" i="64"/>
  <c r="D40" i="64" l="1"/>
  <c r="C75" i="64"/>
  <c r="C68" i="64"/>
  <c r="C70" i="64" s="1"/>
  <c r="C28" i="64"/>
  <c r="C30" i="64"/>
  <c r="C31" i="64" l="1"/>
  <c r="C32" i="64" s="1"/>
  <c r="C37" i="64" s="1"/>
  <c r="C39" i="64" s="1"/>
  <c r="C41" i="64" s="1"/>
  <c r="C71" i="64"/>
  <c r="C72" i="64"/>
  <c r="C74" i="64" s="1"/>
  <c r="C76" i="64" s="1"/>
  <c r="C79" i="64" s="1"/>
  <c r="E40" i="64"/>
  <c r="D41" i="64"/>
  <c r="D75" i="64"/>
  <c r="D76" i="64" s="1"/>
  <c r="D79" i="64" s="1"/>
  <c r="D81" i="64" s="1"/>
  <c r="C81" i="64" l="1"/>
  <c r="F40" i="64"/>
  <c r="E41" i="64"/>
  <c r="E75" i="64"/>
  <c r="E76" i="64" s="1"/>
  <c r="E79" i="64" s="1"/>
  <c r="E81" i="64" s="1"/>
  <c r="E82" i="64" s="1"/>
  <c r="D82" i="64"/>
  <c r="F75" i="64" l="1"/>
  <c r="F76" i="64" s="1"/>
  <c r="F79" i="64" s="1"/>
  <c r="F81" i="64" s="1"/>
  <c r="F82" i="64" s="1"/>
  <c r="F41" i="64"/>
  <c r="G40" i="64"/>
  <c r="G41" i="64" l="1"/>
  <c r="G75" i="64"/>
  <c r="G76" i="64" s="1"/>
  <c r="G79" i="64" s="1"/>
  <c r="G81" i="64" l="1"/>
  <c r="G82" i="64" s="1"/>
  <c r="C83" i="64" s="1"/>
  <c r="C113" i="64" s="1"/>
  <c r="H41" i="64"/>
  <c r="C49" i="64"/>
  <c r="C67" i="64"/>
  <c r="C11" i="20" l="1"/>
  <c r="I79" i="64"/>
  <c r="C115" i="64" s="1"/>
  <c r="C122" i="64" s="1"/>
  <c r="C119" i="64" s="1"/>
  <c r="C135" i="64" l="1"/>
  <c r="C154" i="64"/>
  <c r="F135" i="64" l="1"/>
  <c r="G119" i="64" s="1"/>
  <c r="C160" i="64"/>
  <c r="K121" i="64" l="1"/>
  <c r="F92" i="64" s="1"/>
  <c r="F160" i="64"/>
  <c r="F119" i="64"/>
  <c r="F154" i="64" l="1"/>
  <c r="K119" i="64"/>
  <c r="F93" i="64" s="1"/>
  <c r="M6" i="69"/>
  <c r="C6" i="69"/>
  <c r="C24" i="69" s="1"/>
  <c r="C10" i="69"/>
  <c r="C26" i="69" l="1"/>
  <c r="C40" i="69"/>
  <c r="C27" i="69"/>
  <c r="C75" i="69" l="1"/>
  <c r="D40" i="69"/>
  <c r="C68" i="69"/>
  <c r="C70" i="69" s="1"/>
  <c r="C28" i="69"/>
  <c r="C30" i="69"/>
  <c r="C25" i="69"/>
  <c r="C14" i="69"/>
  <c r="C15" i="69" s="1"/>
  <c r="C31" i="69" l="1"/>
  <c r="C32" i="69"/>
  <c r="C37" i="69" s="1"/>
  <c r="C39" i="69" s="1"/>
  <c r="C41" i="69" s="1"/>
  <c r="C71" i="69"/>
  <c r="C72" i="69" s="1"/>
  <c r="C74" i="69" s="1"/>
  <c r="C76" i="69" s="1"/>
  <c r="C79" i="69" s="1"/>
  <c r="D75" i="69"/>
  <c r="D76" i="69" s="1"/>
  <c r="D79" i="69" s="1"/>
  <c r="D81" i="69" s="1"/>
  <c r="D41" i="69"/>
  <c r="E40" i="69"/>
  <c r="C81" i="69" l="1"/>
  <c r="F40" i="69"/>
  <c r="E75" i="69"/>
  <c r="E76" i="69" s="1"/>
  <c r="E79" i="69" s="1"/>
  <c r="E81" i="69" s="1"/>
  <c r="E82" i="69" s="1"/>
  <c r="E41" i="69"/>
  <c r="D82" i="69"/>
  <c r="F75" i="69" l="1"/>
  <c r="F76" i="69" s="1"/>
  <c r="F79" i="69" s="1"/>
  <c r="F81" i="69" s="1"/>
  <c r="F82" i="69" s="1"/>
  <c r="G40" i="69"/>
  <c r="F41" i="69"/>
  <c r="G75" i="69" l="1"/>
  <c r="G76" i="69" s="1"/>
  <c r="G79" i="69" s="1"/>
  <c r="G41" i="69"/>
  <c r="H41" i="69" s="1"/>
  <c r="C67" i="69"/>
  <c r="C49" i="69"/>
  <c r="G81" i="69" l="1"/>
  <c r="G82" i="69" s="1"/>
  <c r="C83" i="69" s="1"/>
  <c r="C113" i="69" s="1"/>
  <c r="I79" i="69" l="1"/>
  <c r="C115" i="69" s="1"/>
  <c r="C122" i="69" s="1"/>
  <c r="C119" i="69" s="1"/>
  <c r="C154" i="69" l="1"/>
  <c r="C135" i="69"/>
  <c r="F135" i="69" l="1"/>
  <c r="G119" i="69"/>
  <c r="C160" i="69"/>
  <c r="F119" i="69" l="1"/>
  <c r="K121" i="69"/>
  <c r="F92" i="69" s="1"/>
  <c r="F160" i="69"/>
  <c r="K119" i="69" l="1"/>
  <c r="F93" i="69" s="1"/>
  <c r="F154" i="69"/>
</calcChain>
</file>

<file path=xl/sharedStrings.xml><?xml version="1.0" encoding="utf-8"?>
<sst xmlns="http://schemas.openxmlformats.org/spreadsheetml/2006/main" count="1677" uniqueCount="156">
  <si>
    <t>EBITDA</t>
  </si>
  <si>
    <t>AMORTIZ</t>
  </si>
  <si>
    <t>BAIT</t>
  </si>
  <si>
    <t>IS</t>
  </si>
  <si>
    <t>BDIT</t>
  </si>
  <si>
    <t>CF OPERATIVO</t>
  </si>
  <si>
    <t>CF LIBRE</t>
  </si>
  <si>
    <t>INVERSIONES</t>
  </si>
  <si>
    <t>k</t>
  </si>
  <si>
    <t>G</t>
  </si>
  <si>
    <t>CF LIBRE NOSOTROS</t>
  </si>
  <si>
    <t>%</t>
  </si>
  <si>
    <t>WACC</t>
  </si>
  <si>
    <t>TOTAL INMOVILIZADO</t>
  </si>
  <si>
    <t>Inmovilizado inmaterial</t>
  </si>
  <si>
    <t>Inmovilizado material</t>
  </si>
  <si>
    <t>Inmovilizado financiero</t>
  </si>
  <si>
    <t>TOTAL ACTIVO CORRIENTE</t>
  </si>
  <si>
    <t>Existencias</t>
  </si>
  <si>
    <t>Deudores</t>
  </si>
  <si>
    <t>Clientes</t>
  </si>
  <si>
    <t>AAPP</t>
  </si>
  <si>
    <t>Tesorería</t>
  </si>
  <si>
    <t>PASIVO NO CORRIENTE</t>
  </si>
  <si>
    <t>Provisiones LP</t>
  </si>
  <si>
    <t>Deudas entidades credito</t>
  </si>
  <si>
    <t>PASIVO CORRIENTE</t>
  </si>
  <si>
    <t>Otras deudas no comerciales</t>
  </si>
  <si>
    <t>FONDOS PROPIOS</t>
  </si>
  <si>
    <t>ACTIVO</t>
  </si>
  <si>
    <t>PASIVO</t>
  </si>
  <si>
    <t>BALANCE HOTEL</t>
  </si>
  <si>
    <t>BALANCE SOLAR 1,A.II</t>
  </si>
  <si>
    <t>Deudores no corrientes</t>
  </si>
  <si>
    <t>Deudores varios</t>
  </si>
  <si>
    <t>TOTAL ACTIVO 1 Y 2</t>
  </si>
  <si>
    <t>TOTAL PASIVO 1 Y 2</t>
  </si>
  <si>
    <t>Para determinar el crecimiento de flujos</t>
  </si>
  <si>
    <t>% de crecimiento</t>
  </si>
  <si>
    <t>Media de crecimiento</t>
  </si>
  <si>
    <t>DETERMINACIÓN DEL COSTE DE CAPITAL</t>
  </si>
  <si>
    <t>COSTE RECURSOS PROPIOS</t>
  </si>
  <si>
    <t>Tasa libre de riesgo</t>
  </si>
  <si>
    <t>Beta desapalancada</t>
  </si>
  <si>
    <t>Porcetaje de deuda</t>
  </si>
  <si>
    <t>Porcentaje de capital</t>
  </si>
  <si>
    <t>Tasa impositiva</t>
  </si>
  <si>
    <t>Beta apalancada</t>
  </si>
  <si>
    <t>Prima de riesgo</t>
  </si>
  <si>
    <t>Ke</t>
  </si>
  <si>
    <t>Ratio D/C</t>
  </si>
  <si>
    <t>COSTE DE LA DEUDA</t>
  </si>
  <si>
    <t>Coste neto de los RRAA</t>
  </si>
  <si>
    <t>Aumento coste RRAA</t>
  </si>
  <si>
    <t>TOTAL</t>
  </si>
  <si>
    <t>D</t>
  </si>
  <si>
    <t>C</t>
  </si>
  <si>
    <t>RRPP</t>
  </si>
  <si>
    <t>CF Operativo</t>
  </si>
  <si>
    <t>20XX</t>
  </si>
  <si>
    <t>20XX+1</t>
  </si>
  <si>
    <t>20XX+2</t>
  </si>
  <si>
    <t>20XX+3</t>
  </si>
  <si>
    <t>20XX+4</t>
  </si>
  <si>
    <t>VAN 20XX</t>
  </si>
  <si>
    <t>GOP</t>
  </si>
  <si>
    <t>VAN</t>
  </si>
  <si>
    <t>Arithmetic Mean</t>
  </si>
  <si>
    <t>n</t>
  </si>
  <si>
    <t>Rooms</t>
  </si>
  <si>
    <t>Pax/room</t>
  </si>
  <si>
    <t>Days</t>
  </si>
  <si>
    <t>Occupancy rate (%)</t>
  </si>
  <si>
    <t>Occupied rooms</t>
  </si>
  <si>
    <t>Stays</t>
  </si>
  <si>
    <t>Average income per stay</t>
  </si>
  <si>
    <t xml:space="preserve">GOP/Sales (%) </t>
  </si>
  <si>
    <t>Fees, Insurance, Other Taxes / Sales (%)</t>
  </si>
  <si>
    <t>Corporate Tax (%)</t>
  </si>
  <si>
    <t>Investment growth (%)</t>
  </si>
  <si>
    <t>Year 1</t>
  </si>
  <si>
    <t>Year 2</t>
  </si>
  <si>
    <t>Year 3</t>
  </si>
  <si>
    <t>Year 4</t>
  </si>
  <si>
    <t>Total revenue</t>
  </si>
  <si>
    <t>Total expenses</t>
  </si>
  <si>
    <t>EBIT</t>
  </si>
  <si>
    <t>EAT</t>
  </si>
  <si>
    <t>Optimistic</t>
  </si>
  <si>
    <t>H</t>
  </si>
  <si>
    <t>min</t>
  </si>
  <si>
    <r>
      <t>n</t>
    </r>
    <r>
      <rPr>
        <b/>
        <vertAlign val="subscript"/>
        <sz val="11"/>
        <color theme="1"/>
        <rFont val="Calibri (Cuerpo)"/>
      </rPr>
      <t>1</t>
    </r>
  </si>
  <si>
    <r>
      <t>n</t>
    </r>
    <r>
      <rPr>
        <b/>
        <vertAlign val="subscript"/>
        <sz val="11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</si>
  <si>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3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</si>
  <si>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4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</si>
  <si>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5</t>
    </r>
    <r>
      <rPr>
        <sz val="12"/>
        <color theme="1"/>
        <rFont val="Calibri"/>
        <family val="2"/>
        <scheme val="minor"/>
      </rPr>
      <t/>
    </r>
  </si>
  <si>
    <t>Pesimistic</t>
  </si>
  <si>
    <t>NPV</t>
  </si>
  <si>
    <t>Investments</t>
  </si>
  <si>
    <t>Depreciation</t>
  </si>
  <si>
    <t>Fees, Insurances, other Taxes / Sales (%)</t>
  </si>
  <si>
    <t xml:space="preserve"> </t>
  </si>
  <si>
    <t>ALFA 0</t>
  </si>
  <si>
    <t>ALFA 1</t>
  </si>
  <si>
    <t>ALFA 2</t>
  </si>
  <si>
    <t>ALFA 3</t>
  </si>
  <si>
    <t>ALFA 4</t>
  </si>
  <si>
    <t>ALFA VR</t>
  </si>
  <si>
    <t>Year 5</t>
  </si>
  <si>
    <t>Residual Value</t>
  </si>
  <si>
    <r>
      <t>Q</t>
    </r>
    <r>
      <rPr>
        <b/>
        <vertAlign val="subscript"/>
        <sz val="10"/>
        <rFont val="Arial"/>
        <family val="2"/>
      </rPr>
      <t>1</t>
    </r>
  </si>
  <si>
    <r>
      <t>Q</t>
    </r>
    <r>
      <rPr>
        <b/>
        <vertAlign val="subscript"/>
        <sz val="10"/>
        <rFont val="Arial"/>
        <family val="2"/>
      </rPr>
      <t>2</t>
    </r>
  </si>
  <si>
    <r>
      <t>Q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</si>
  <si>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vertAlign val="subscript"/>
        <sz val="10"/>
        <rFont val="Arial"/>
        <family val="2"/>
      </rPr>
      <t>4</t>
    </r>
  </si>
  <si>
    <r>
      <t>Q</t>
    </r>
    <r>
      <rPr>
        <b/>
        <vertAlign val="subscript"/>
        <sz val="10"/>
        <rFont val="Arial"/>
        <family val="2"/>
      </rPr>
      <t>5</t>
    </r>
  </si>
  <si>
    <t>Minimum Operator</t>
  </si>
  <si>
    <t>Maximum Operator</t>
  </si>
  <si>
    <t>SUMMARY RESULTS</t>
  </si>
  <si>
    <t>VARIABLES SUMMARY</t>
  </si>
  <si>
    <t>PF</t>
  </si>
  <si>
    <t>OF</t>
  </si>
  <si>
    <t>Pessimistic Forecast</t>
  </si>
  <si>
    <t>Optimistic Forecast</t>
  </si>
  <si>
    <t>Income increase</t>
  </si>
  <si>
    <t>Inflation Costs</t>
  </si>
  <si>
    <t>Consumption</t>
  </si>
  <si>
    <t>Consumption/Sales</t>
  </si>
  <si>
    <t>OP</t>
  </si>
  <si>
    <t>Mid-Point</t>
  </si>
  <si>
    <t>ALL VARIABLES</t>
  </si>
  <si>
    <t>VARIABLES WITH OPTIMISTIC AND PESSIMISTIC FORECAST</t>
  </si>
  <si>
    <t>EBITDA, GOP, BAIT and BDIT COMPUTATION</t>
  </si>
  <si>
    <t>CASH-FLOW COMPUTATION</t>
  </si>
  <si>
    <t xml:space="preserve">Fees, Insurance, Other Taxes </t>
  </si>
  <si>
    <t>Corporate Tax</t>
  </si>
  <si>
    <t>Cost of capital (k)</t>
  </si>
  <si>
    <t>Assets Book Value (A)</t>
  </si>
  <si>
    <t xml:space="preserve">Cash-flow growth (q) </t>
  </si>
  <si>
    <t>Cash-flow (Q)</t>
  </si>
  <si>
    <t>NET PRESENT VALUE COMPUTATION</t>
  </si>
  <si>
    <t>w</t>
  </si>
  <si>
    <t>M1w1</t>
  </si>
  <si>
    <t>M1w2</t>
  </si>
  <si>
    <t>M1w3</t>
  </si>
  <si>
    <t>M1w4</t>
  </si>
  <si>
    <t>M1w5</t>
  </si>
  <si>
    <t>M2w1</t>
  </si>
  <si>
    <t>M2w2</t>
  </si>
  <si>
    <t>M2w3</t>
  </si>
  <si>
    <t>M2w5</t>
  </si>
  <si>
    <t>w'</t>
  </si>
  <si>
    <t>Product</t>
  </si>
  <si>
    <t>Max</t>
  </si>
  <si>
    <t xml:space="preserve">CASH-FLOW COMPUTATION </t>
  </si>
  <si>
    <t>CASH-FLOW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</si>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</sst>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[$€]_-;\-* #,##0.00\ [$€]_-;_-* &quot;-&quot;??\ [$€]_-;_-@_-"/>
    <numFmt numFmtId="166" formatCode="0.0000%"/>
    <numFmt numFmtId="167" formatCode="0.0000"/>
    <numFmt numFmtId="168" formatCode="0.000000%"/>
    <numFmt numFmtId="169" formatCode="#,##0.000"/>
    <numFmt numFmtId="170" formatCode="#,##0.00000000"/>
  </numFmts>
  <fonts count="6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name val="Calibri (Cuerpo)"/>
    </font>
    <font>
      <b/>
      <sz val="12"/>
      <color indexed="12"/>
      <name val="Calibri"/>
      <family val="2"/>
      <scheme val="minor"/>
    </font>
    <font>
      <b/>
      <sz val="10"/>
      <color indexed="12"/>
      <name val="Arial"/>
      <family val="2"/>
    </font>
    <font>
      <b/>
      <sz val="14"/>
      <color indexed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1"/>
      <color theme="1"/>
      <name val="Calibri (Cuerpo)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00000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0"/>
      <name val="Arial"/>
      <family val="2"/>
    </font>
    <font>
      <sz val="10"/>
      <color rgb="FFFF0000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5" fontId="4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4" fontId="4" fillId="0" borderId="0"/>
    <xf numFmtId="0" fontId="5" fillId="23" borderId="4" applyNumberFormat="0" applyFont="0" applyAlignment="0" applyProtection="0"/>
    <xf numFmtId="9" fontId="4" fillId="0" borderId="0" applyFont="0" applyFill="0" applyBorder="0" applyAlignment="0" applyProtection="0"/>
    <xf numFmtId="0" fontId="16" fillId="16" borderId="5" applyNumberFormat="0" applyAlignment="0" applyProtection="0"/>
    <xf numFmtId="4" fontId="17" fillId="23" borderId="0" applyNumberFormat="0" applyProtection="0">
      <alignment horizontal="left" vertical="center" indent="1"/>
    </xf>
    <xf numFmtId="4" fontId="17" fillId="24" borderId="6">
      <alignment horizontal="right" vertical="center"/>
    </xf>
    <xf numFmtId="4" fontId="17" fillId="25" borderId="6" applyNumberFormat="0" applyProtection="0">
      <alignment horizontal="right" vertical="center"/>
    </xf>
    <xf numFmtId="4" fontId="18" fillId="24" borderId="6">
      <alignment horizontal="left" vertical="center" indent="1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12" fillId="0" borderId="9" applyNumberFormat="0" applyFill="0" applyAlignment="0" applyProtection="0"/>
    <xf numFmtId="0" fontId="24" fillId="0" borderId="10" applyNumberFormat="0" applyFill="0" applyAlignment="0" applyProtection="0"/>
    <xf numFmtId="43" fontId="3" fillId="0" borderId="0" applyFont="0" applyFill="0" applyBorder="0" applyAlignment="0" applyProtection="0"/>
  </cellStyleXfs>
  <cellXfs count="354">
    <xf numFmtId="0" fontId="0" fillId="0" borderId="0" xfId="0"/>
    <xf numFmtId="0" fontId="25" fillId="0" borderId="0" xfId="0" applyFont="1"/>
    <xf numFmtId="0" fontId="25" fillId="0" borderId="12" xfId="0" applyFont="1" applyBorder="1"/>
    <xf numFmtId="0" fontId="25" fillId="28" borderId="0" xfId="0" applyFont="1" applyFill="1"/>
    <xf numFmtId="4" fontId="4" fillId="0" borderId="0" xfId="37"/>
    <xf numFmtId="3" fontId="29" fillId="0" borderId="0" xfId="37" applyNumberFormat="1" applyFont="1"/>
    <xf numFmtId="3" fontId="4" fillId="0" borderId="0" xfId="37" applyNumberFormat="1"/>
    <xf numFmtId="4" fontId="32" fillId="0" borderId="0" xfId="37" applyFont="1"/>
    <xf numFmtId="4" fontId="34" fillId="0" borderId="0" xfId="37" applyFont="1"/>
    <xf numFmtId="4" fontId="4" fillId="0" borderId="0" xfId="37" quotePrefix="1"/>
    <xf numFmtId="4" fontId="30" fillId="0" borderId="0" xfId="37" applyFont="1"/>
    <xf numFmtId="4" fontId="33" fillId="0" borderId="0" xfId="37" applyFont="1"/>
    <xf numFmtId="3" fontId="32" fillId="0" borderId="0" xfId="37" applyNumberFormat="1" applyFont="1"/>
    <xf numFmtId="9" fontId="4" fillId="0" borderId="0" xfId="37" applyNumberFormat="1"/>
    <xf numFmtId="3" fontId="32" fillId="0" borderId="0" xfId="37" quotePrefix="1" applyNumberFormat="1" applyFont="1"/>
    <xf numFmtId="44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19" xfId="0" applyBorder="1"/>
    <xf numFmtId="14" fontId="4" fillId="0" borderId="0" xfId="37" applyNumberFormat="1"/>
    <xf numFmtId="4" fontId="35" fillId="27" borderId="23" xfId="37" applyFont="1" applyFill="1" applyBorder="1" applyAlignment="1">
      <alignment horizontal="center" vertical="center"/>
    </xf>
    <xf numFmtId="4" fontId="35" fillId="30" borderId="23" xfId="37" applyFont="1" applyFill="1" applyBorder="1" applyAlignment="1">
      <alignment horizontal="center" vertical="center"/>
    </xf>
    <xf numFmtId="4" fontId="35" fillId="31" borderId="17" xfId="37" applyFont="1" applyFill="1" applyBorder="1" applyAlignment="1">
      <alignment horizontal="center" vertical="center"/>
    </xf>
    <xf numFmtId="4" fontId="35" fillId="32" borderId="23" xfId="37" applyFont="1" applyFill="1" applyBorder="1" applyAlignment="1">
      <alignment horizontal="center" vertical="center"/>
    </xf>
    <xf numFmtId="4" fontId="4" fillId="33" borderId="0" xfId="37" applyFill="1"/>
    <xf numFmtId="4" fontId="35" fillId="31" borderId="23" xfId="37" applyFont="1" applyFill="1" applyBorder="1" applyAlignment="1">
      <alignment horizontal="center" vertical="center"/>
    </xf>
    <xf numFmtId="4" fontId="36" fillId="0" borderId="0" xfId="37" applyFont="1" applyAlignment="1">
      <alignment horizontal="center"/>
    </xf>
    <xf numFmtId="0" fontId="2" fillId="0" borderId="0" xfId="0" applyFont="1" applyAlignment="1">
      <alignment horizontal="center"/>
    </xf>
    <xf numFmtId="4" fontId="35" fillId="32" borderId="15" xfId="37" applyFont="1" applyFill="1" applyBorder="1" applyAlignment="1">
      <alignment horizontal="center" vertical="center"/>
    </xf>
    <xf numFmtId="4" fontId="35" fillId="0" borderId="0" xfId="37" applyFont="1" applyAlignment="1">
      <alignment horizontal="center"/>
    </xf>
    <xf numFmtId="169" fontId="36" fillId="0" borderId="0" xfId="37" applyNumberFormat="1" applyFont="1" applyAlignment="1">
      <alignment horizontal="center" vertical="center"/>
    </xf>
    <xf numFmtId="169" fontId="35" fillId="0" borderId="0" xfId="37" applyNumberFormat="1" applyFont="1" applyAlignment="1">
      <alignment horizontal="center" vertical="center"/>
    </xf>
    <xf numFmtId="169" fontId="37" fillId="0" borderId="0" xfId="37" applyNumberFormat="1" applyFont="1" applyAlignment="1">
      <alignment horizontal="center" vertical="center"/>
    </xf>
    <xf numFmtId="169" fontId="39" fillId="0" borderId="0" xfId="37" applyNumberFormat="1" applyFont="1" applyAlignment="1">
      <alignment horizontal="center" vertical="center"/>
    </xf>
    <xf numFmtId="169" fontId="36" fillId="0" borderId="0" xfId="37" applyNumberFormat="1" applyFont="1" applyAlignment="1">
      <alignment horizontal="center"/>
    </xf>
    <xf numFmtId="169" fontId="37" fillId="0" borderId="0" xfId="37" applyNumberFormat="1" applyFont="1" applyAlignment="1">
      <alignment horizontal="center"/>
    </xf>
    <xf numFmtId="4" fontId="31" fillId="0" borderId="24" xfId="37" applyFont="1" applyBorder="1"/>
    <xf numFmtId="4" fontId="41" fillId="0" borderId="0" xfId="37" applyFont="1"/>
    <xf numFmtId="8" fontId="0" fillId="0" borderId="0" xfId="0" applyNumberFormat="1"/>
    <xf numFmtId="0" fontId="0" fillId="0" borderId="0" xfId="0" applyAlignment="1">
      <alignment horizontal="left" vertical="top"/>
    </xf>
    <xf numFmtId="3" fontId="27" fillId="0" borderId="0" xfId="37" applyNumberFormat="1" applyFont="1" applyAlignment="1">
      <alignment horizontal="center"/>
    </xf>
    <xf numFmtId="3" fontId="0" fillId="0" borderId="0" xfId="1" applyNumberFormat="1" applyFont="1" applyFill="1" applyBorder="1"/>
    <xf numFmtId="3" fontId="25" fillId="0" borderId="0" xfId="1" applyNumberFormat="1" applyFont="1" applyFill="1" applyBorder="1"/>
    <xf numFmtId="3" fontId="25" fillId="0" borderId="0" xfId="0" applyNumberFormat="1" applyFont="1"/>
    <xf numFmtId="3" fontId="0" fillId="0" borderId="0" xfId="0" applyNumberFormat="1"/>
    <xf numFmtId="0" fontId="28" fillId="0" borderId="0" xfId="0" applyFont="1" applyAlignment="1">
      <alignment wrapText="1"/>
    </xf>
    <xf numFmtId="44" fontId="25" fillId="0" borderId="0" xfId="0" applyNumberFormat="1" applyFont="1" applyAlignment="1">
      <alignment horizontal="center" vertical="top"/>
    </xf>
    <xf numFmtId="9" fontId="28" fillId="0" borderId="0" xfId="0" applyNumberFormat="1" applyFont="1" applyAlignment="1">
      <alignment horizontal="center" vertical="top" wrapText="1"/>
    </xf>
    <xf numFmtId="44" fontId="25" fillId="0" borderId="0" xfId="0" applyNumberFormat="1" applyFont="1"/>
    <xf numFmtId="44" fontId="25" fillId="0" borderId="0" xfId="1" applyFont="1" applyFill="1" applyBorder="1"/>
    <xf numFmtId="44" fontId="0" fillId="0" borderId="0" xfId="1" applyFont="1" applyFill="1" applyBorder="1"/>
    <xf numFmtId="9" fontId="0" fillId="0" borderId="0" xfId="0" applyNumberFormat="1"/>
    <xf numFmtId="166" fontId="25" fillId="0" borderId="0" xfId="0" applyNumberFormat="1" applyFont="1"/>
    <xf numFmtId="167" fontId="25" fillId="0" borderId="0" xfId="0" applyNumberFormat="1" applyFont="1"/>
    <xf numFmtId="168" fontId="0" fillId="0" borderId="0" xfId="0" applyNumberFormat="1"/>
    <xf numFmtId="10" fontId="25" fillId="0" borderId="0" xfId="0" applyNumberFormat="1" applyFont="1"/>
    <xf numFmtId="10" fontId="0" fillId="0" borderId="0" xfId="0" applyNumberFormat="1"/>
    <xf numFmtId="10" fontId="0" fillId="0" borderId="0" xfId="2" applyNumberFormat="1" applyFont="1" applyFill="1" applyBorder="1"/>
    <xf numFmtId="0" fontId="26" fillId="0" borderId="0" xfId="0" applyFont="1"/>
    <xf numFmtId="0" fontId="0" fillId="0" borderId="0" xfId="0" applyAlignment="1">
      <alignment horizontal="right"/>
    </xf>
    <xf numFmtId="44" fontId="0" fillId="0" borderId="0" xfId="1" applyFont="1" applyFill="1" applyBorder="1" applyAlignment="1">
      <alignment horizontal="left"/>
    </xf>
    <xf numFmtId="4" fontId="31" fillId="0" borderId="0" xfId="37" applyFont="1"/>
    <xf numFmtId="3" fontId="4" fillId="0" borderId="0" xfId="37" applyNumberFormat="1" applyAlignment="1">
      <alignment horizontal="center"/>
    </xf>
    <xf numFmtId="169" fontId="29" fillId="0" borderId="0" xfId="2" applyNumberFormat="1" applyFont="1" applyBorder="1"/>
    <xf numFmtId="169" fontId="36" fillId="0" borderId="12" xfId="37" applyNumberFormat="1" applyFont="1" applyBorder="1" applyAlignment="1">
      <alignment horizontal="center" vertical="center"/>
    </xf>
    <xf numFmtId="4" fontId="36" fillId="0" borderId="14" xfId="37" applyFont="1" applyBorder="1" applyAlignment="1">
      <alignment horizontal="center"/>
    </xf>
    <xf numFmtId="4" fontId="36" fillId="0" borderId="33" xfId="37" applyFont="1" applyBorder="1" applyAlignment="1">
      <alignment horizontal="center"/>
    </xf>
    <xf numFmtId="3" fontId="36" fillId="0" borderId="0" xfId="37" applyNumberFormat="1" applyFont="1" applyAlignment="1">
      <alignment horizontal="center"/>
    </xf>
    <xf numFmtId="3" fontId="36" fillId="0" borderId="0" xfId="37" applyNumberFormat="1" applyFont="1" applyAlignment="1">
      <alignment horizontal="center" vertical="center"/>
    </xf>
    <xf numFmtId="9" fontId="36" fillId="0" borderId="0" xfId="37" applyNumberFormat="1" applyFont="1" applyAlignment="1">
      <alignment horizontal="center"/>
    </xf>
    <xf numFmtId="4" fontId="4" fillId="0" borderId="45" xfId="37" applyBorder="1" applyAlignment="1">
      <alignment vertical="center"/>
    </xf>
    <xf numFmtId="4" fontId="4" fillId="0" borderId="41" xfId="37" applyBorder="1"/>
    <xf numFmtId="4" fontId="35" fillId="26" borderId="15" xfId="37" applyFont="1" applyFill="1" applyBorder="1" applyAlignment="1">
      <alignment horizontal="center" vertical="center"/>
    </xf>
    <xf numFmtId="4" fontId="35" fillId="0" borderId="0" xfId="37" applyFont="1" applyAlignment="1">
      <alignment vertical="center" wrapText="1"/>
    </xf>
    <xf numFmtId="10" fontId="36" fillId="0" borderId="0" xfId="37" applyNumberFormat="1" applyFont="1" applyAlignment="1">
      <alignment horizontal="center"/>
    </xf>
    <xf numFmtId="4" fontId="36" fillId="0" borderId="0" xfId="37" applyFont="1" applyAlignment="1">
      <alignment horizontal="left" vertical="center"/>
    </xf>
    <xf numFmtId="4" fontId="35" fillId="0" borderId="0" xfId="37" applyFont="1" applyAlignment="1">
      <alignment horizontal="left" vertical="center"/>
    </xf>
    <xf numFmtId="4" fontId="35" fillId="0" borderId="0" xfId="37" applyFont="1" applyAlignment="1">
      <alignment horizontal="center" vertical="center"/>
    </xf>
    <xf numFmtId="2" fontId="36" fillId="0" borderId="0" xfId="37" applyNumberFormat="1" applyFont="1" applyAlignment="1">
      <alignment horizontal="center"/>
    </xf>
    <xf numFmtId="10" fontId="36" fillId="0" borderId="0" xfId="2" applyNumberFormat="1" applyFont="1" applyFill="1" applyBorder="1" applyAlignment="1">
      <alignment horizontal="center"/>
    </xf>
    <xf numFmtId="4" fontId="35" fillId="0" borderId="16" xfId="37" applyFont="1" applyBorder="1"/>
    <xf numFmtId="3" fontId="4" fillId="0" borderId="46" xfId="37" applyNumberFormat="1" applyBorder="1" applyAlignment="1">
      <alignment horizontal="center"/>
    </xf>
    <xf numFmtId="3" fontId="4" fillId="0" borderId="47" xfId="37" applyNumberFormat="1" applyBorder="1" applyAlignment="1">
      <alignment horizontal="center"/>
    </xf>
    <xf numFmtId="3" fontId="4" fillId="0" borderId="48" xfId="37" applyNumberFormat="1" applyBorder="1" applyAlignment="1">
      <alignment horizontal="center"/>
    </xf>
    <xf numFmtId="4" fontId="31" fillId="0" borderId="23" xfId="37" applyFont="1" applyBorder="1"/>
    <xf numFmtId="10" fontId="32" fillId="0" borderId="0" xfId="2" applyNumberFormat="1" applyFont="1" applyFill="1"/>
    <xf numFmtId="0" fontId="0" fillId="0" borderId="18" xfId="0" applyBorder="1"/>
    <xf numFmtId="169" fontId="29" fillId="0" borderId="0" xfId="37" applyNumberFormat="1" applyFont="1"/>
    <xf numFmtId="0" fontId="0" fillId="0" borderId="20" xfId="0" applyBorder="1"/>
    <xf numFmtId="169" fontId="35" fillId="0" borderId="0" xfId="2" applyNumberFormat="1" applyFont="1" applyFill="1" applyAlignment="1">
      <alignment horizontal="center" vertical="center"/>
    </xf>
    <xf numFmtId="169" fontId="36" fillId="0" borderId="0" xfId="2" applyNumberFormat="1" applyFont="1" applyFill="1" applyAlignment="1">
      <alignment horizontal="center" vertical="center"/>
    </xf>
    <xf numFmtId="169" fontId="36" fillId="0" borderId="0" xfId="2" applyNumberFormat="1" applyFont="1" applyFill="1" applyAlignment="1">
      <alignment horizontal="center"/>
    </xf>
    <xf numFmtId="4" fontId="35" fillId="0" borderId="0" xfId="37" applyFont="1" applyAlignment="1">
      <alignment vertical="center"/>
    </xf>
    <xf numFmtId="169" fontId="36" fillId="0" borderId="19" xfId="37" applyNumberFormat="1" applyFont="1" applyBorder="1" applyAlignment="1">
      <alignment horizontal="center" vertical="center"/>
    </xf>
    <xf numFmtId="4" fontId="4" fillId="0" borderId="45" xfId="37" applyBorder="1"/>
    <xf numFmtId="4" fontId="29" fillId="0" borderId="41" xfId="37" applyFont="1" applyBorder="1"/>
    <xf numFmtId="14" fontId="29" fillId="0" borderId="41" xfId="37" applyNumberFormat="1" applyFont="1" applyBorder="1"/>
    <xf numFmtId="4" fontId="29" fillId="0" borderId="30" xfId="37" applyFont="1" applyBorder="1"/>
    <xf numFmtId="170" fontId="36" fillId="0" borderId="0" xfId="37" applyNumberFormat="1" applyFont="1" applyAlignment="1">
      <alignment horizontal="center" vertical="center"/>
    </xf>
    <xf numFmtId="169" fontId="40" fillId="0" borderId="0" xfId="37" applyNumberFormat="1" applyFont="1"/>
    <xf numFmtId="169" fontId="29" fillId="0" borderId="0" xfId="2" applyNumberFormat="1" applyFont="1" applyFill="1"/>
    <xf numFmtId="3" fontId="29" fillId="0" borderId="14" xfId="37" applyNumberFormat="1" applyFont="1" applyBorder="1"/>
    <xf numFmtId="3" fontId="29" fillId="0" borderId="15" xfId="37" applyNumberFormat="1" applyFont="1" applyBorder="1"/>
    <xf numFmtId="1" fontId="29" fillId="0" borderId="15" xfId="37" applyNumberFormat="1" applyFont="1" applyBorder="1"/>
    <xf numFmtId="4" fontId="29" fillId="0" borderId="23" xfId="37" applyFont="1" applyBorder="1" applyAlignment="1">
      <alignment horizontal="center"/>
    </xf>
    <xf numFmtId="3" fontId="29" fillId="0" borderId="0" xfId="37" applyNumberFormat="1" applyFont="1" applyAlignment="1">
      <alignment horizontal="center"/>
    </xf>
    <xf numFmtId="4" fontId="31" fillId="0" borderId="28" xfId="37" applyFont="1" applyBorder="1"/>
    <xf numFmtId="3" fontId="47" fillId="0" borderId="0" xfId="37" applyNumberFormat="1" applyFont="1" applyAlignment="1">
      <alignment horizontal="center"/>
    </xf>
    <xf numFmtId="4" fontId="48" fillId="0" borderId="43" xfId="37" applyFont="1" applyBorder="1"/>
    <xf numFmtId="4" fontId="49" fillId="0" borderId="44" xfId="37" applyFont="1" applyBorder="1"/>
    <xf numFmtId="4" fontId="48" fillId="0" borderId="44" xfId="37" applyFont="1" applyBorder="1"/>
    <xf numFmtId="3" fontId="49" fillId="0" borderId="44" xfId="37" applyNumberFormat="1" applyFont="1" applyBorder="1" applyAlignment="1">
      <alignment horizontal="center"/>
    </xf>
    <xf numFmtId="4" fontId="4" fillId="0" borderId="0" xfId="37" applyAlignment="1">
      <alignment vertical="center"/>
    </xf>
    <xf numFmtId="4" fontId="4" fillId="0" borderId="30" xfId="37" applyBorder="1"/>
    <xf numFmtId="4" fontId="36" fillId="0" borderId="33" xfId="37" applyFont="1" applyBorder="1" applyAlignment="1">
      <alignment horizontal="center" vertical="center"/>
    </xf>
    <xf numFmtId="4" fontId="49" fillId="0" borderId="0" xfId="37" applyFont="1"/>
    <xf numFmtId="4" fontId="29" fillId="0" borderId="15" xfId="37" applyFont="1" applyBorder="1" applyAlignment="1">
      <alignment horizontal="center"/>
    </xf>
    <xf numFmtId="4" fontId="29" fillId="0" borderId="33" xfId="37" applyFont="1" applyBorder="1" applyAlignment="1">
      <alignment horizontal="center"/>
    </xf>
    <xf numFmtId="169" fontId="36" fillId="0" borderId="41" xfId="37" applyNumberFormat="1" applyFont="1" applyBorder="1" applyAlignment="1">
      <alignment horizontal="center" vertical="center"/>
    </xf>
    <xf numFmtId="4" fontId="38" fillId="0" borderId="45" xfId="37" applyFont="1" applyBorder="1" applyAlignment="1">
      <alignment vertical="center"/>
    </xf>
    <xf numFmtId="4" fontId="29" fillId="0" borderId="30" xfId="37" applyFont="1" applyBorder="1" applyAlignment="1">
      <alignment horizontal="center"/>
    </xf>
    <xf numFmtId="4" fontId="29" fillId="0" borderId="20" xfId="37" applyFont="1" applyBorder="1" applyAlignment="1">
      <alignment horizontal="center"/>
    </xf>
    <xf numFmtId="4" fontId="29" fillId="0" borderId="11" xfId="37" applyFont="1" applyBorder="1" applyAlignment="1">
      <alignment horizontal="center"/>
    </xf>
    <xf numFmtId="4" fontId="50" fillId="0" borderId="23" xfId="37" applyFont="1" applyBorder="1" applyAlignment="1">
      <alignment vertical="center"/>
    </xf>
    <xf numFmtId="4" fontId="48" fillId="30" borderId="23" xfId="37" applyFont="1" applyFill="1" applyBorder="1" applyAlignment="1">
      <alignment horizontal="center" vertical="center"/>
    </xf>
    <xf numFmtId="4" fontId="48" fillId="0" borderId="0" xfId="37" applyFont="1" applyAlignment="1">
      <alignment horizontal="center" vertical="center"/>
    </xf>
    <xf numFmtId="4" fontId="48" fillId="0" borderId="25" xfId="37" applyFont="1" applyBorder="1"/>
    <xf numFmtId="4" fontId="49" fillId="0" borderId="28" xfId="37" applyFont="1" applyBorder="1" applyAlignment="1">
      <alignment horizontal="center"/>
    </xf>
    <xf numFmtId="4" fontId="49" fillId="0" borderId="31" xfId="37" applyFont="1" applyBorder="1" applyAlignment="1">
      <alignment horizontal="center"/>
    </xf>
    <xf numFmtId="4" fontId="49" fillId="0" borderId="0" xfId="37" applyFont="1" applyAlignment="1">
      <alignment horizontal="center"/>
    </xf>
    <xf numFmtId="4" fontId="49" fillId="0" borderId="14" xfId="37" applyFont="1" applyBorder="1" applyAlignment="1">
      <alignment horizontal="center"/>
    </xf>
    <xf numFmtId="4" fontId="49" fillId="0" borderId="33" xfId="37" applyFont="1" applyBorder="1" applyAlignment="1">
      <alignment horizontal="center"/>
    </xf>
    <xf numFmtId="4" fontId="49" fillId="0" borderId="23" xfId="37" applyFont="1" applyBorder="1" applyAlignment="1">
      <alignment horizontal="center"/>
    </xf>
    <xf numFmtId="4" fontId="48" fillId="27" borderId="26" xfId="37" applyFont="1" applyFill="1" applyBorder="1"/>
    <xf numFmtId="4" fontId="49" fillId="27" borderId="29" xfId="37" applyFont="1" applyFill="1" applyBorder="1" applyAlignment="1">
      <alignment horizontal="center"/>
    </xf>
    <xf numFmtId="4" fontId="49" fillId="27" borderId="32" xfId="37" applyFont="1" applyFill="1" applyBorder="1" applyAlignment="1">
      <alignment horizontal="center"/>
    </xf>
    <xf numFmtId="4" fontId="48" fillId="0" borderId="26" xfId="37" applyFont="1" applyBorder="1"/>
    <xf numFmtId="3" fontId="49" fillId="0" borderId="29" xfId="37" applyNumberFormat="1" applyFont="1" applyBorder="1" applyAlignment="1">
      <alignment horizontal="center"/>
    </xf>
    <xf numFmtId="3" fontId="49" fillId="0" borderId="32" xfId="37" applyNumberFormat="1" applyFont="1" applyBorder="1" applyAlignment="1">
      <alignment horizontal="center"/>
    </xf>
    <xf numFmtId="3" fontId="49" fillId="0" borderId="0" xfId="37" applyNumberFormat="1" applyFont="1" applyAlignment="1">
      <alignment horizontal="center"/>
    </xf>
    <xf numFmtId="4" fontId="48" fillId="27" borderId="26" xfId="37" applyFont="1" applyFill="1" applyBorder="1" applyAlignment="1">
      <alignment vertical="center" wrapText="1"/>
    </xf>
    <xf numFmtId="10" fontId="49" fillId="27" borderId="29" xfId="2" applyNumberFormat="1" applyFont="1" applyFill="1" applyBorder="1" applyAlignment="1">
      <alignment horizontal="center" vertical="center"/>
    </xf>
    <xf numFmtId="10" fontId="49" fillId="27" borderId="32" xfId="2" applyNumberFormat="1" applyFont="1" applyFill="1" applyBorder="1" applyAlignment="1">
      <alignment horizontal="center" vertical="center"/>
    </xf>
    <xf numFmtId="10" fontId="49" fillId="0" borderId="0" xfId="2" applyNumberFormat="1" applyFont="1" applyFill="1" applyBorder="1" applyAlignment="1">
      <alignment horizontal="center" vertical="center"/>
    </xf>
    <xf numFmtId="4" fontId="48" fillId="0" borderId="26" xfId="37" applyFont="1" applyBorder="1" applyAlignment="1">
      <alignment vertical="center" wrapText="1"/>
    </xf>
    <xf numFmtId="3" fontId="49" fillId="0" borderId="29" xfId="37" applyNumberFormat="1" applyFont="1" applyBorder="1" applyAlignment="1">
      <alignment horizontal="center" vertical="center"/>
    </xf>
    <xf numFmtId="3" fontId="49" fillId="0" borderId="32" xfId="37" applyNumberFormat="1" applyFont="1" applyBorder="1" applyAlignment="1">
      <alignment horizontal="center" vertical="center"/>
    </xf>
    <xf numFmtId="3" fontId="49" fillId="0" borderId="0" xfId="37" applyNumberFormat="1" applyFont="1" applyAlignment="1">
      <alignment horizontal="center" vertical="center"/>
    </xf>
    <xf numFmtId="2" fontId="49" fillId="27" borderId="29" xfId="37" applyNumberFormat="1" applyFont="1" applyFill="1" applyBorder="1" applyAlignment="1">
      <alignment horizontal="center"/>
    </xf>
    <xf numFmtId="2" fontId="49" fillId="27" borderId="32" xfId="37" applyNumberFormat="1" applyFont="1" applyFill="1" applyBorder="1" applyAlignment="1">
      <alignment horizontal="center"/>
    </xf>
    <xf numFmtId="2" fontId="49" fillId="0" borderId="0" xfId="37" applyNumberFormat="1" applyFont="1" applyAlignment="1">
      <alignment horizontal="center"/>
    </xf>
    <xf numFmtId="10" fontId="49" fillId="0" borderId="0" xfId="37" applyNumberFormat="1" applyFont="1" applyAlignment="1">
      <alignment horizontal="center"/>
    </xf>
    <xf numFmtId="10" fontId="49" fillId="27" borderId="29" xfId="2" applyNumberFormat="1" applyFont="1" applyFill="1" applyBorder="1" applyAlignment="1">
      <alignment horizontal="center"/>
    </xf>
    <xf numFmtId="10" fontId="49" fillId="27" borderId="32" xfId="2" applyNumberFormat="1" applyFont="1" applyFill="1" applyBorder="1" applyAlignment="1">
      <alignment horizontal="center"/>
    </xf>
    <xf numFmtId="10" fontId="49" fillId="0" borderId="0" xfId="2" applyNumberFormat="1" applyFont="1" applyFill="1" applyBorder="1" applyAlignment="1">
      <alignment horizontal="center"/>
    </xf>
    <xf numFmtId="10" fontId="49" fillId="27" borderId="29" xfId="37" applyNumberFormat="1" applyFont="1" applyFill="1" applyBorder="1" applyAlignment="1">
      <alignment horizontal="center" vertical="center"/>
    </xf>
    <xf numFmtId="10" fontId="49" fillId="27" borderId="32" xfId="37" applyNumberFormat="1" applyFont="1" applyFill="1" applyBorder="1" applyAlignment="1">
      <alignment horizontal="center" vertical="center"/>
    </xf>
    <xf numFmtId="10" fontId="49" fillId="0" borderId="0" xfId="37" applyNumberFormat="1" applyFont="1" applyAlignment="1">
      <alignment horizontal="center" vertical="center"/>
    </xf>
    <xf numFmtId="169" fontId="49" fillId="0" borderId="0" xfId="2" applyNumberFormat="1" applyFont="1" applyBorder="1" applyAlignment="1">
      <alignment horizontal="center" vertical="center"/>
    </xf>
    <xf numFmtId="9" fontId="49" fillId="0" borderId="29" xfId="37" applyNumberFormat="1" applyFont="1" applyBorder="1" applyAlignment="1">
      <alignment horizontal="center"/>
    </xf>
    <xf numFmtId="9" fontId="49" fillId="0" borderId="32" xfId="37" applyNumberFormat="1" applyFont="1" applyBorder="1" applyAlignment="1">
      <alignment horizontal="center"/>
    </xf>
    <xf numFmtId="9" fontId="49" fillId="0" borderId="0" xfId="37" applyNumberFormat="1" applyFont="1" applyAlignment="1">
      <alignment horizontal="center"/>
    </xf>
    <xf numFmtId="169" fontId="48" fillId="0" borderId="0" xfId="2" applyNumberFormat="1" applyFont="1" applyBorder="1" applyAlignment="1">
      <alignment horizontal="center" vertical="center"/>
    </xf>
    <xf numFmtId="4" fontId="48" fillId="27" borderId="27" xfId="37" applyFont="1" applyFill="1" applyBorder="1" applyAlignment="1">
      <alignment vertical="center" wrapText="1"/>
    </xf>
    <xf numFmtId="10" fontId="49" fillId="27" borderId="30" xfId="2" applyNumberFormat="1" applyFont="1" applyFill="1" applyBorder="1" applyAlignment="1">
      <alignment horizontal="center"/>
    </xf>
    <xf numFmtId="10" fontId="49" fillId="27" borderId="20" xfId="2" applyNumberFormat="1" applyFont="1" applyFill="1" applyBorder="1" applyAlignment="1">
      <alignment horizontal="center"/>
    </xf>
    <xf numFmtId="4" fontId="48" fillId="26" borderId="23" xfId="37" applyFont="1" applyFill="1" applyBorder="1" applyAlignment="1">
      <alignment horizontal="center" vertical="center"/>
    </xf>
    <xf numFmtId="4" fontId="48" fillId="27" borderId="23" xfId="37" applyFont="1" applyFill="1" applyBorder="1" applyAlignment="1">
      <alignment horizontal="center" vertical="center"/>
    </xf>
    <xf numFmtId="4" fontId="48" fillId="31" borderId="23" xfId="37" applyFont="1" applyFill="1" applyBorder="1" applyAlignment="1">
      <alignment horizontal="center" vertical="center"/>
    </xf>
    <xf numFmtId="4" fontId="49" fillId="0" borderId="34" xfId="37" applyFont="1" applyBorder="1" applyAlignment="1">
      <alignment horizontal="left" vertical="center"/>
    </xf>
    <xf numFmtId="3" fontId="49" fillId="0" borderId="21" xfId="37" applyNumberFormat="1" applyFont="1" applyBorder="1" applyAlignment="1">
      <alignment horizontal="center" vertical="center"/>
    </xf>
    <xf numFmtId="3" fontId="49" fillId="0" borderId="35" xfId="37" applyNumberFormat="1" applyFont="1" applyBorder="1" applyAlignment="1">
      <alignment horizontal="center" vertical="center"/>
    </xf>
    <xf numFmtId="4" fontId="49" fillId="0" borderId="36" xfId="37" applyFont="1" applyBorder="1" applyAlignment="1">
      <alignment horizontal="left" vertical="center"/>
    </xf>
    <xf numFmtId="3" fontId="49" fillId="0" borderId="22" xfId="37" applyNumberFormat="1" applyFont="1" applyBorder="1" applyAlignment="1">
      <alignment horizontal="center" vertical="center"/>
    </xf>
    <xf numFmtId="3" fontId="49" fillId="0" borderId="37" xfId="37" applyNumberFormat="1" applyFont="1" applyBorder="1" applyAlignment="1">
      <alignment horizontal="center" vertical="center"/>
    </xf>
    <xf numFmtId="4" fontId="48" fillId="0" borderId="36" xfId="37" applyFont="1" applyBorder="1" applyAlignment="1">
      <alignment horizontal="left" vertical="center"/>
    </xf>
    <xf numFmtId="4" fontId="48" fillId="0" borderId="38" xfId="37" applyFont="1" applyBorder="1" applyAlignment="1">
      <alignment horizontal="left" vertical="center"/>
    </xf>
    <xf numFmtId="3" fontId="49" fillId="0" borderId="39" xfId="37" applyNumberFormat="1" applyFont="1" applyBorder="1" applyAlignment="1">
      <alignment horizontal="center" vertical="center"/>
    </xf>
    <xf numFmtId="3" fontId="49" fillId="0" borderId="40" xfId="37" applyNumberFormat="1" applyFont="1" applyBorder="1" applyAlignment="1">
      <alignment horizontal="center" vertical="center"/>
    </xf>
    <xf numFmtId="4" fontId="48" fillId="32" borderId="15" xfId="37" applyFont="1" applyFill="1" applyBorder="1" applyAlignment="1">
      <alignment horizontal="center" vertical="center"/>
    </xf>
    <xf numFmtId="0" fontId="54" fillId="0" borderId="0" xfId="0" applyFont="1"/>
    <xf numFmtId="9" fontId="54" fillId="0" borderId="0" xfId="0" applyNumberFormat="1" applyFont="1"/>
    <xf numFmtId="0" fontId="55" fillId="0" borderId="0" xfId="0" applyFont="1"/>
    <xf numFmtId="0" fontId="47" fillId="0" borderId="0" xfId="0" applyFont="1"/>
    <xf numFmtId="3" fontId="55" fillId="0" borderId="0" xfId="1" applyNumberFormat="1" applyFont="1" applyFill="1" applyBorder="1"/>
    <xf numFmtId="3" fontId="47" fillId="0" borderId="0" xfId="1" applyNumberFormat="1" applyFont="1" applyFill="1" applyBorder="1"/>
    <xf numFmtId="3" fontId="47" fillId="0" borderId="0" xfId="0" applyNumberFormat="1" applyFont="1"/>
    <xf numFmtId="3" fontId="55" fillId="0" borderId="0" xfId="0" applyNumberFormat="1" applyFont="1"/>
    <xf numFmtId="0" fontId="56" fillId="0" borderId="0" xfId="0" applyFont="1" applyAlignment="1">
      <alignment wrapText="1"/>
    </xf>
    <xf numFmtId="44" fontId="47" fillId="0" borderId="0" xfId="0" applyNumberFormat="1" applyFont="1" applyAlignment="1">
      <alignment horizontal="center" vertical="top"/>
    </xf>
    <xf numFmtId="9" fontId="56" fillId="0" borderId="0" xfId="0" applyNumberFormat="1" applyFont="1" applyAlignment="1">
      <alignment horizontal="center" vertical="top" wrapText="1"/>
    </xf>
    <xf numFmtId="44" fontId="47" fillId="0" borderId="0" xfId="0" applyNumberFormat="1" applyFont="1"/>
    <xf numFmtId="44" fontId="47" fillId="0" borderId="0" xfId="1" applyFont="1" applyFill="1" applyBorder="1"/>
    <xf numFmtId="0" fontId="57" fillId="0" borderId="0" xfId="0" applyFont="1"/>
    <xf numFmtId="0" fontId="57" fillId="28" borderId="0" xfId="0" applyFont="1" applyFill="1"/>
    <xf numFmtId="44" fontId="55" fillId="0" borderId="0" xfId="0" applyNumberFormat="1" applyFont="1"/>
    <xf numFmtId="44" fontId="55" fillId="0" borderId="0" xfId="1" applyFont="1" applyFill="1" applyBorder="1"/>
    <xf numFmtId="166" fontId="55" fillId="0" borderId="0" xfId="0" applyNumberFormat="1" applyFont="1"/>
    <xf numFmtId="9" fontId="55" fillId="0" borderId="0" xfId="0" applyNumberFormat="1" applyFont="1"/>
    <xf numFmtId="166" fontId="47" fillId="0" borderId="0" xfId="0" applyNumberFormat="1" applyFont="1"/>
    <xf numFmtId="44" fontId="54" fillId="0" borderId="0" xfId="0" applyNumberFormat="1" applyFont="1"/>
    <xf numFmtId="167" fontId="47" fillId="0" borderId="0" xfId="0" applyNumberFormat="1" applyFont="1"/>
    <xf numFmtId="168" fontId="55" fillId="0" borderId="0" xfId="0" applyNumberFormat="1" applyFont="1"/>
    <xf numFmtId="166" fontId="54" fillId="0" borderId="0" xfId="0" applyNumberFormat="1" applyFont="1"/>
    <xf numFmtId="10" fontId="47" fillId="0" borderId="0" xfId="0" applyNumberFormat="1" applyFont="1"/>
    <xf numFmtId="10" fontId="55" fillId="0" borderId="0" xfId="0" applyNumberFormat="1" applyFont="1"/>
    <xf numFmtId="164" fontId="55" fillId="0" borderId="0" xfId="0" applyNumberFormat="1" applyFont="1"/>
    <xf numFmtId="10" fontId="55" fillId="0" borderId="0" xfId="2" applyNumberFormat="1" applyFont="1" applyFill="1" applyBorder="1"/>
    <xf numFmtId="0" fontId="58" fillId="0" borderId="0" xfId="0" applyFont="1"/>
    <xf numFmtId="164" fontId="54" fillId="0" borderId="0" xfId="0" applyNumberFormat="1" applyFont="1"/>
    <xf numFmtId="0" fontId="55" fillId="0" borderId="0" xfId="0" applyFont="1" applyAlignment="1">
      <alignment horizontal="right"/>
    </xf>
    <xf numFmtId="44" fontId="55" fillId="0" borderId="0" xfId="1" applyFont="1" applyFill="1" applyBorder="1" applyAlignment="1">
      <alignment horizontal="left"/>
    </xf>
    <xf numFmtId="3" fontId="48" fillId="0" borderId="0" xfId="37" applyNumberFormat="1" applyFont="1" applyAlignment="1">
      <alignment horizontal="center"/>
    </xf>
    <xf numFmtId="3" fontId="32" fillId="0" borderId="41" xfId="37" applyNumberFormat="1" applyFont="1" applyBorder="1"/>
    <xf numFmtId="3" fontId="4" fillId="0" borderId="41" xfId="37" applyNumberFormat="1" applyBorder="1"/>
    <xf numFmtId="3" fontId="48" fillId="34" borderId="23" xfId="37" applyNumberFormat="1" applyFont="1" applyFill="1" applyBorder="1" applyAlignment="1">
      <alignment horizontal="center"/>
    </xf>
    <xf numFmtId="3" fontId="59" fillId="0" borderId="0" xfId="37" applyNumberFormat="1" applyFont="1"/>
    <xf numFmtId="0" fontId="60" fillId="0" borderId="0" xfId="0" applyFont="1" applyAlignment="1">
      <alignment wrapText="1"/>
    </xf>
    <xf numFmtId="44" fontId="57" fillId="0" borderId="0" xfId="0" applyNumberFormat="1" applyFont="1" applyAlignment="1">
      <alignment horizontal="center" vertical="top"/>
    </xf>
    <xf numFmtId="9" fontId="60" fillId="0" borderId="0" xfId="0" applyNumberFormat="1" applyFont="1" applyAlignment="1">
      <alignment horizontal="center" vertical="top" wrapText="1"/>
    </xf>
    <xf numFmtId="0" fontId="54" fillId="0" borderId="45" xfId="0" applyFont="1" applyBorder="1"/>
    <xf numFmtId="8" fontId="54" fillId="0" borderId="0" xfId="0" applyNumberFormat="1" applyFont="1"/>
    <xf numFmtId="3" fontId="48" fillId="0" borderId="23" xfId="37" applyNumberFormat="1" applyFont="1" applyBorder="1" applyAlignment="1">
      <alignment horizontal="center"/>
    </xf>
    <xf numFmtId="3" fontId="49" fillId="0" borderId="50" xfId="37" applyNumberFormat="1" applyFont="1" applyBorder="1" applyAlignment="1">
      <alignment horizontal="center"/>
    </xf>
    <xf numFmtId="3" fontId="49" fillId="0" borderId="51" xfId="37" applyNumberFormat="1" applyFont="1" applyBorder="1" applyAlignment="1">
      <alignment horizontal="center"/>
    </xf>
    <xf numFmtId="164" fontId="48" fillId="0" borderId="0" xfId="2" applyNumberFormat="1" applyFont="1" applyFill="1" applyBorder="1" applyAlignment="1">
      <alignment horizontal="center"/>
    </xf>
    <xf numFmtId="169" fontId="36" fillId="0" borderId="11" xfId="37" applyNumberFormat="1" applyFont="1" applyBorder="1" applyAlignment="1">
      <alignment horizontal="center" vertical="center"/>
    </xf>
    <xf numFmtId="4" fontId="35" fillId="0" borderId="49" xfId="37" applyFont="1" applyBorder="1" applyAlignment="1">
      <alignment horizontal="left" vertical="center"/>
    </xf>
    <xf numFmtId="14" fontId="29" fillId="0" borderId="12" xfId="37" applyNumberFormat="1" applyFont="1" applyBorder="1" applyAlignment="1">
      <alignment horizontal="left" vertical="center"/>
    </xf>
    <xf numFmtId="4" fontId="35" fillId="0" borderId="29" xfId="37" applyFont="1" applyBorder="1" applyAlignment="1">
      <alignment horizontal="left" vertical="center" wrapText="1"/>
    </xf>
    <xf numFmtId="4" fontId="29" fillId="0" borderId="12" xfId="37" applyFont="1" applyBorder="1" applyAlignment="1">
      <alignment horizontal="left" vertical="center"/>
    </xf>
    <xf numFmtId="4" fontId="35" fillId="0" borderId="29" xfId="37" applyFont="1" applyBorder="1" applyAlignment="1">
      <alignment horizontal="left" vertical="center"/>
    </xf>
    <xf numFmtId="10" fontId="40" fillId="0" borderId="12" xfId="2" applyNumberFormat="1" applyFont="1" applyFill="1" applyBorder="1" applyAlignment="1">
      <alignment horizontal="left" vertical="center"/>
    </xf>
    <xf numFmtId="4" fontId="35" fillId="0" borderId="42" xfId="37" applyFont="1" applyBorder="1" applyAlignment="1">
      <alignment horizontal="left" vertical="center" wrapText="1"/>
    </xf>
    <xf numFmtId="169" fontId="49" fillId="0" borderId="41" xfId="37" applyNumberFormat="1" applyFont="1" applyBorder="1" applyAlignment="1">
      <alignment horizontal="center" vertical="center"/>
    </xf>
    <xf numFmtId="3" fontId="49" fillId="0" borderId="52" xfId="37" applyNumberFormat="1" applyFont="1" applyBorder="1" applyAlignment="1">
      <alignment horizontal="center"/>
    </xf>
    <xf numFmtId="4" fontId="35" fillId="27" borderId="17" xfId="37" applyFont="1" applyFill="1" applyBorder="1" applyAlignment="1">
      <alignment horizontal="center" vertical="center"/>
    </xf>
    <xf numFmtId="4" fontId="35" fillId="30" borderId="17" xfId="37" applyFont="1" applyFill="1" applyBorder="1" applyAlignment="1">
      <alignment horizontal="center" vertical="center"/>
    </xf>
    <xf numFmtId="169" fontId="36" fillId="35" borderId="12" xfId="37" applyNumberFormat="1" applyFont="1" applyFill="1" applyBorder="1" applyAlignment="1">
      <alignment horizontal="center" vertical="center"/>
    </xf>
    <xf numFmtId="169" fontId="36" fillId="35" borderId="0" xfId="37" applyNumberFormat="1" applyFont="1" applyFill="1" applyAlignment="1">
      <alignment horizontal="center" vertical="center"/>
    </xf>
    <xf numFmtId="169" fontId="36" fillId="35" borderId="0" xfId="2" applyNumberFormat="1" applyFont="1" applyFill="1" applyBorder="1" applyAlignment="1">
      <alignment horizontal="center" vertical="center"/>
    </xf>
    <xf numFmtId="169" fontId="36" fillId="35" borderId="11" xfId="2" applyNumberFormat="1" applyFont="1" applyFill="1" applyBorder="1" applyAlignment="1">
      <alignment horizontal="center" vertical="center"/>
    </xf>
    <xf numFmtId="169" fontId="49" fillId="35" borderId="12" xfId="37" applyNumberFormat="1" applyFont="1" applyFill="1" applyBorder="1" applyAlignment="1">
      <alignment horizontal="center" vertical="center"/>
    </xf>
    <xf numFmtId="169" fontId="49" fillId="35" borderId="12" xfId="2" applyNumberFormat="1" applyFont="1" applyFill="1" applyBorder="1" applyAlignment="1">
      <alignment horizontal="center" vertical="center"/>
    </xf>
    <xf numFmtId="169" fontId="49" fillId="35" borderId="13" xfId="2" applyNumberFormat="1" applyFont="1" applyFill="1" applyBorder="1" applyAlignment="1">
      <alignment horizontal="center" vertical="center"/>
    </xf>
    <xf numFmtId="4" fontId="35" fillId="26" borderId="17" xfId="37" applyFont="1" applyFill="1" applyBorder="1" applyAlignment="1">
      <alignment horizontal="center" vertical="center"/>
    </xf>
    <xf numFmtId="169" fontId="36" fillId="35" borderId="17" xfId="37" applyNumberFormat="1" applyFont="1" applyFill="1" applyBorder="1" applyAlignment="1">
      <alignment horizontal="center" vertical="center"/>
    </xf>
    <xf numFmtId="169" fontId="36" fillId="35" borderId="17" xfId="37" quotePrefix="1" applyNumberFormat="1" applyFont="1" applyFill="1" applyBorder="1" applyAlignment="1">
      <alignment horizontal="center" vertical="center"/>
    </xf>
    <xf numFmtId="169" fontId="37" fillId="35" borderId="0" xfId="37" applyNumberFormat="1" applyFont="1" applyFill="1" applyAlignment="1">
      <alignment horizontal="center" vertical="center"/>
    </xf>
    <xf numFmtId="169" fontId="36" fillId="36" borderId="18" xfId="37" applyNumberFormat="1" applyFont="1" applyFill="1" applyBorder="1" applyAlignment="1">
      <alignment horizontal="center" vertical="center"/>
    </xf>
    <xf numFmtId="169" fontId="36" fillId="36" borderId="19" xfId="37" applyNumberFormat="1" applyFont="1" applyFill="1" applyBorder="1" applyAlignment="1">
      <alignment horizontal="center" vertical="center"/>
    </xf>
    <xf numFmtId="169" fontId="36" fillId="36" borderId="19" xfId="2" applyNumberFormat="1" applyFont="1" applyFill="1" applyBorder="1" applyAlignment="1">
      <alignment horizontal="center" vertical="center"/>
    </xf>
    <xf numFmtId="169" fontId="37" fillId="36" borderId="19" xfId="37" applyNumberFormat="1" applyFont="1" applyFill="1" applyBorder="1" applyAlignment="1">
      <alignment horizontal="center" vertical="center"/>
    </xf>
    <xf numFmtId="169" fontId="36" fillId="36" borderId="20" xfId="2" applyNumberFormat="1" applyFont="1" applyFill="1" applyBorder="1" applyAlignment="1">
      <alignment horizontal="center" vertical="center"/>
    </xf>
    <xf numFmtId="169" fontId="36" fillId="36" borderId="18" xfId="37" quotePrefix="1" applyNumberFormat="1" applyFont="1" applyFill="1" applyBorder="1" applyAlignment="1">
      <alignment horizontal="center" vertical="center"/>
    </xf>
    <xf numFmtId="169" fontId="36" fillId="35" borderId="16" xfId="37" applyNumberFormat="1" applyFont="1" applyFill="1" applyBorder="1" applyAlignment="1">
      <alignment horizontal="center" vertical="center"/>
    </xf>
    <xf numFmtId="169" fontId="36" fillId="35" borderId="12" xfId="2" applyNumberFormat="1" applyFont="1" applyFill="1" applyBorder="1" applyAlignment="1">
      <alignment horizontal="center" vertical="center"/>
    </xf>
    <xf numFmtId="0" fontId="36" fillId="35" borderId="12" xfId="2" applyNumberFormat="1" applyFont="1" applyFill="1" applyBorder="1" applyAlignment="1">
      <alignment horizontal="center" vertical="center"/>
    </xf>
    <xf numFmtId="169" fontId="37" fillId="35" borderId="12" xfId="37" applyNumberFormat="1" applyFont="1" applyFill="1" applyBorder="1" applyAlignment="1">
      <alignment horizontal="center" vertical="center"/>
    </xf>
    <xf numFmtId="169" fontId="36" fillId="35" borderId="13" xfId="2" applyNumberFormat="1" applyFont="1" applyFill="1" applyBorder="1" applyAlignment="1">
      <alignment horizontal="center" vertical="center"/>
    </xf>
    <xf numFmtId="169" fontId="36" fillId="35" borderId="16" xfId="37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35" fillId="26" borderId="33" xfId="37" applyFont="1" applyFill="1" applyBorder="1" applyAlignment="1">
      <alignment horizontal="center" vertical="center"/>
    </xf>
    <xf numFmtId="4" fontId="35" fillId="30" borderId="33" xfId="37" applyFont="1" applyFill="1" applyBorder="1" applyAlignment="1">
      <alignment horizontal="center" vertical="center"/>
    </xf>
    <xf numFmtId="4" fontId="36" fillId="0" borderId="15" xfId="37" applyFont="1" applyBorder="1" applyAlignment="1">
      <alignment horizontal="center"/>
    </xf>
    <xf numFmtId="4" fontId="48" fillId="0" borderId="53" xfId="37" applyFont="1" applyBorder="1" applyAlignment="1">
      <alignment vertical="center" wrapText="1"/>
    </xf>
    <xf numFmtId="0" fontId="51" fillId="0" borderId="23" xfId="0" applyFont="1" applyBorder="1"/>
    <xf numFmtId="10" fontId="32" fillId="0" borderId="0" xfId="2" applyNumberFormat="1" applyFont="1" applyFill="1" applyBorder="1"/>
    <xf numFmtId="169" fontId="49" fillId="0" borderId="0" xfId="2" applyNumberFormat="1" applyFont="1" applyFill="1" applyBorder="1" applyAlignment="1">
      <alignment horizontal="center" vertical="center"/>
    </xf>
    <xf numFmtId="169" fontId="53" fillId="0" borderId="0" xfId="37" applyNumberFormat="1" applyFont="1" applyAlignment="1">
      <alignment horizontal="center" vertical="center"/>
    </xf>
    <xf numFmtId="169" fontId="52" fillId="0" borderId="0" xfId="37" applyNumberFormat="1" applyFont="1" applyAlignment="1">
      <alignment horizontal="center" vertical="center"/>
    </xf>
    <xf numFmtId="169" fontId="52" fillId="0" borderId="0" xfId="37" applyNumberFormat="1" applyFont="1" applyAlignment="1">
      <alignment horizontal="center"/>
    </xf>
    <xf numFmtId="169" fontId="48" fillId="0" borderId="0" xfId="37" applyNumberFormat="1" applyFont="1" applyAlignment="1">
      <alignment horizontal="center" vertical="center"/>
    </xf>
    <xf numFmtId="169" fontId="49" fillId="0" borderId="0" xfId="37" applyNumberFormat="1" applyFont="1" applyAlignment="1">
      <alignment horizontal="center" vertical="center"/>
    </xf>
    <xf numFmtId="169" fontId="49" fillId="0" borderId="0" xfId="37" applyNumberFormat="1" applyFont="1" applyAlignment="1">
      <alignment horizontal="center"/>
    </xf>
    <xf numFmtId="169" fontId="49" fillId="0" borderId="30" xfId="37" applyNumberFormat="1" applyFont="1" applyBorder="1" applyAlignment="1">
      <alignment horizontal="center" vertical="center"/>
    </xf>
    <xf numFmtId="4" fontId="48" fillId="0" borderId="0" xfId="37" applyFont="1"/>
    <xf numFmtId="0" fontId="62" fillId="0" borderId="0" xfId="0" applyFont="1"/>
    <xf numFmtId="4" fontId="61" fillId="0" borderId="0" xfId="37" applyFont="1"/>
    <xf numFmtId="0" fontId="43" fillId="0" borderId="16" xfId="0" applyFont="1" applyBorder="1"/>
    <xf numFmtId="43" fontId="54" fillId="0" borderId="18" xfId="52" applyFont="1" applyFill="1" applyBorder="1"/>
    <xf numFmtId="0" fontId="43" fillId="0" borderId="12" xfId="0" applyFont="1" applyBorder="1"/>
    <xf numFmtId="164" fontId="54" fillId="0" borderId="19" xfId="0" applyNumberFormat="1" applyFont="1" applyBorder="1"/>
    <xf numFmtId="4" fontId="49" fillId="0" borderId="13" xfId="37" applyFont="1" applyBorder="1"/>
    <xf numFmtId="164" fontId="63" fillId="0" borderId="20" xfId="2" applyNumberFormat="1" applyFont="1" applyFill="1" applyBorder="1"/>
    <xf numFmtId="0" fontId="57" fillId="29" borderId="14" xfId="0" applyFont="1" applyFill="1" applyBorder="1"/>
    <xf numFmtId="0" fontId="49" fillId="0" borderId="0" xfId="0" applyFont="1" applyAlignment="1">
      <alignment horizontal="center"/>
    </xf>
    <xf numFmtId="0" fontId="63" fillId="0" borderId="0" xfId="0" applyFont="1"/>
    <xf numFmtId="43" fontId="63" fillId="0" borderId="0" xfId="52" applyFont="1" applyFill="1" applyBorder="1"/>
    <xf numFmtId="164" fontId="63" fillId="0" borderId="0" xfId="0" applyNumberFormat="1" applyFont="1"/>
    <xf numFmtId="8" fontId="49" fillId="0" borderId="0" xfId="0" applyNumberFormat="1" applyFont="1"/>
    <xf numFmtId="3" fontId="49" fillId="0" borderId="0" xfId="0" applyNumberFormat="1" applyFont="1" applyAlignment="1">
      <alignment horizontal="center"/>
    </xf>
    <xf numFmtId="3" fontId="48" fillId="0" borderId="0" xfId="0" applyNumberFormat="1" applyFont="1" applyAlignment="1">
      <alignment horizontal="center"/>
    </xf>
    <xf numFmtId="0" fontId="27" fillId="0" borderId="0" xfId="0" applyFont="1"/>
    <xf numFmtId="4" fontId="48" fillId="0" borderId="30" xfId="37" applyFont="1" applyBorder="1"/>
    <xf numFmtId="3" fontId="48" fillId="0" borderId="30" xfId="37" applyNumberFormat="1" applyFont="1" applyBorder="1" applyAlignment="1">
      <alignment horizontal="center"/>
    </xf>
    <xf numFmtId="8" fontId="61" fillId="29" borderId="15" xfId="0" applyNumberFormat="1" applyFont="1" applyFill="1" applyBorder="1"/>
    <xf numFmtId="10" fontId="49" fillId="0" borderId="29" xfId="37" applyNumberFormat="1" applyFont="1" applyBorder="1" applyAlignment="1">
      <alignment horizontal="center"/>
    </xf>
    <xf numFmtId="10" fontId="49" fillId="0" borderId="32" xfId="37" applyNumberFormat="1" applyFont="1" applyBorder="1" applyAlignment="1">
      <alignment horizontal="center"/>
    </xf>
    <xf numFmtId="4" fontId="48" fillId="27" borderId="28" xfId="37" applyFont="1" applyFill="1" applyBorder="1"/>
    <xf numFmtId="4" fontId="48" fillId="27" borderId="29" xfId="37" applyFont="1" applyFill="1" applyBorder="1" applyAlignment="1">
      <alignment vertical="center" wrapText="1"/>
    </xf>
    <xf numFmtId="4" fontId="48" fillId="27" borderId="29" xfId="37" applyFont="1" applyFill="1" applyBorder="1" applyAlignment="1">
      <alignment horizontal="left" vertical="center"/>
    </xf>
    <xf numFmtId="4" fontId="48" fillId="27" borderId="29" xfId="37" applyFont="1" applyFill="1" applyBorder="1"/>
    <xf numFmtId="4" fontId="48" fillId="27" borderId="42" xfId="37" applyFont="1" applyFill="1" applyBorder="1" applyAlignment="1">
      <alignment vertical="center" wrapText="1"/>
    </xf>
    <xf numFmtId="4" fontId="36" fillId="0" borderId="41" xfId="37" applyFont="1" applyBorder="1" applyAlignment="1">
      <alignment horizontal="center" vertical="center"/>
    </xf>
    <xf numFmtId="169" fontId="36" fillId="0" borderId="30" xfId="37" applyNumberFormat="1" applyFont="1" applyBorder="1" applyAlignment="1">
      <alignment horizontal="center" vertical="center"/>
    </xf>
    <xf numFmtId="4" fontId="36" fillId="0" borderId="30" xfId="37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5" fillId="0" borderId="16" xfId="0" applyFont="1" applyBorder="1"/>
    <xf numFmtId="0" fontId="25" fillId="0" borderId="13" xfId="0" applyFont="1" applyBorder="1"/>
    <xf numFmtId="8" fontId="0" fillId="0" borderId="45" xfId="0" applyNumberFormat="1" applyBorder="1"/>
    <xf numFmtId="8" fontId="0" fillId="0" borderId="41" xfId="0" applyNumberFormat="1" applyBorder="1"/>
    <xf numFmtId="8" fontId="0" fillId="0" borderId="30" xfId="0" applyNumberFormat="1" applyBorder="1"/>
    <xf numFmtId="4" fontId="29" fillId="0" borderId="0" xfId="37" applyFont="1"/>
    <xf numFmtId="169" fontId="0" fillId="0" borderId="0" xfId="0" applyNumberFormat="1"/>
    <xf numFmtId="1" fontId="0" fillId="0" borderId="0" xfId="0" applyNumberFormat="1"/>
    <xf numFmtId="169" fontId="4" fillId="0" borderId="0" xfId="37" applyNumberFormat="1"/>
    <xf numFmtId="1" fontId="4" fillId="0" borderId="0" xfId="37" applyNumberFormat="1"/>
    <xf numFmtId="0" fontId="25" fillId="0" borderId="45" xfId="0" applyFont="1" applyBorder="1"/>
    <xf numFmtId="0" fontId="25" fillId="0" borderId="41" xfId="0" applyFont="1" applyBorder="1"/>
    <xf numFmtId="0" fontId="25" fillId="0" borderId="30" xfId="0" applyFont="1" applyBorder="1"/>
    <xf numFmtId="169" fontId="36" fillId="0" borderId="0" xfId="37" quotePrefix="1" applyNumberFormat="1" applyFont="1" applyAlignment="1">
      <alignment horizontal="center" vertical="center"/>
    </xf>
    <xf numFmtId="164" fontId="54" fillId="0" borderId="41" xfId="0" applyNumberFormat="1" applyFont="1" applyBorder="1"/>
    <xf numFmtId="164" fontId="4" fillId="0" borderId="30" xfId="2" applyNumberFormat="1" applyFont="1" applyFill="1" applyBorder="1"/>
    <xf numFmtId="0" fontId="61" fillId="0" borderId="0" xfId="0" applyFont="1"/>
    <xf numFmtId="8" fontId="61" fillId="29" borderId="23" xfId="0" applyNumberFormat="1" applyFont="1" applyFill="1" applyBorder="1"/>
    <xf numFmtId="0" fontId="42" fillId="29" borderId="23" xfId="0" applyFont="1" applyFill="1" applyBorder="1"/>
    <xf numFmtId="4" fontId="35" fillId="31" borderId="16" xfId="37" applyFont="1" applyFill="1" applyBorder="1" applyAlignment="1">
      <alignment horizontal="center" vertical="center"/>
    </xf>
    <xf numFmtId="4" fontId="35" fillId="31" borderId="17" xfId="37" applyFont="1" applyFill="1" applyBorder="1" applyAlignment="1">
      <alignment horizontal="center" vertical="center"/>
    </xf>
    <xf numFmtId="4" fontId="35" fillId="32" borderId="16" xfId="37" applyFont="1" applyFill="1" applyBorder="1" applyAlignment="1">
      <alignment horizontal="center" vertical="center"/>
    </xf>
    <xf numFmtId="4" fontId="35" fillId="32" borderId="18" xfId="37" applyFont="1" applyFill="1" applyBorder="1" applyAlignment="1">
      <alignment horizontal="center" vertical="center"/>
    </xf>
    <xf numFmtId="4" fontId="35" fillId="26" borderId="14" xfId="37" applyFont="1" applyFill="1" applyBorder="1" applyAlignment="1">
      <alignment horizontal="center" vertical="center"/>
    </xf>
    <xf numFmtId="4" fontId="35" fillId="26" borderId="33" xfId="37" applyFont="1" applyFill="1" applyBorder="1" applyAlignment="1">
      <alignment horizontal="center" vertical="center"/>
    </xf>
    <xf numFmtId="4" fontId="35" fillId="27" borderId="16" xfId="37" applyFont="1" applyFill="1" applyBorder="1" applyAlignment="1">
      <alignment horizontal="center" vertical="center"/>
    </xf>
    <xf numFmtId="4" fontId="35" fillId="27" borderId="17" xfId="37" applyFont="1" applyFill="1" applyBorder="1" applyAlignment="1">
      <alignment horizontal="center" vertical="center"/>
    </xf>
    <xf numFmtId="4" fontId="35" fillId="30" borderId="16" xfId="37" applyFont="1" applyFill="1" applyBorder="1" applyAlignment="1">
      <alignment horizontal="center" vertical="center"/>
    </xf>
    <xf numFmtId="4" fontId="35" fillId="30" borderId="17" xfId="37" applyFont="1" applyFill="1" applyBorder="1" applyAlignment="1">
      <alignment horizontal="center" vertical="center"/>
    </xf>
    <xf numFmtId="4" fontId="48" fillId="26" borderId="14" xfId="37" applyFont="1" applyFill="1" applyBorder="1" applyAlignment="1">
      <alignment horizontal="center" vertical="center"/>
    </xf>
    <xf numFmtId="4" fontId="48" fillId="26" borderId="33" xfId="37" applyFont="1" applyFill="1" applyBorder="1" applyAlignment="1">
      <alignment horizontal="center" vertical="center"/>
    </xf>
    <xf numFmtId="4" fontId="48" fillId="26" borderId="15" xfId="37" applyFont="1" applyFill="1" applyBorder="1" applyAlignment="1">
      <alignment horizontal="center" vertical="center"/>
    </xf>
    <xf numFmtId="4" fontId="48" fillId="27" borderId="14" xfId="37" applyFont="1" applyFill="1" applyBorder="1" applyAlignment="1">
      <alignment horizontal="center" vertical="center"/>
    </xf>
    <xf numFmtId="4" fontId="48" fillId="27" borderId="33" xfId="37" applyFont="1" applyFill="1" applyBorder="1" applyAlignment="1">
      <alignment horizontal="center" vertical="center"/>
    </xf>
    <xf numFmtId="4" fontId="48" fillId="27" borderId="15" xfId="37" applyFont="1" applyFill="1" applyBorder="1" applyAlignment="1">
      <alignment horizontal="center" vertical="center"/>
    </xf>
    <xf numFmtId="4" fontId="48" fillId="30" borderId="14" xfId="37" applyFont="1" applyFill="1" applyBorder="1" applyAlignment="1">
      <alignment horizontal="center" vertical="center"/>
    </xf>
    <xf numFmtId="4" fontId="48" fillId="30" borderId="33" xfId="37" applyFont="1" applyFill="1" applyBorder="1" applyAlignment="1">
      <alignment horizontal="center" vertical="center"/>
    </xf>
    <xf numFmtId="4" fontId="48" fillId="30" borderId="15" xfId="37" applyFont="1" applyFill="1" applyBorder="1" applyAlignment="1">
      <alignment horizontal="center" vertical="center"/>
    </xf>
    <xf numFmtId="4" fontId="48" fillId="31" borderId="14" xfId="37" applyFont="1" applyFill="1" applyBorder="1" applyAlignment="1">
      <alignment horizontal="center" vertical="center"/>
    </xf>
    <xf numFmtId="4" fontId="48" fillId="31" borderId="33" xfId="37" applyFont="1" applyFill="1" applyBorder="1" applyAlignment="1">
      <alignment horizontal="center" vertical="center"/>
    </xf>
    <xf numFmtId="4" fontId="48" fillId="31" borderId="15" xfId="37" applyFont="1" applyFill="1" applyBorder="1" applyAlignment="1">
      <alignment horizontal="center" vertical="center"/>
    </xf>
    <xf numFmtId="4" fontId="48" fillId="32" borderId="14" xfId="37" applyFont="1" applyFill="1" applyBorder="1" applyAlignment="1">
      <alignment horizontal="center" vertical="center"/>
    </xf>
    <xf numFmtId="4" fontId="48" fillId="32" borderId="33" xfId="37" applyFont="1" applyFill="1" applyBorder="1" applyAlignment="1">
      <alignment horizontal="center" vertical="center"/>
    </xf>
    <xf numFmtId="4" fontId="48" fillId="32" borderId="15" xfId="37" applyFont="1" applyFill="1" applyBorder="1" applyAlignment="1">
      <alignment horizontal="center" vertical="center"/>
    </xf>
    <xf numFmtId="4" fontId="35" fillId="0" borderId="0" xfId="37" applyFont="1" applyAlignment="1">
      <alignment horizontal="center" vertical="center"/>
    </xf>
  </cellXfs>
  <cellStyles count="53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Euro" xfId="34" xr:uid="{00000000-0005-0000-0000-00001E000000}"/>
    <cellStyle name="Incorrecto 2" xfId="35" xr:uid="{00000000-0005-0000-0000-00001F000000}"/>
    <cellStyle name="Millares" xfId="52" builtinId="3"/>
    <cellStyle name="Moneda" xfId="1" builtinId="4"/>
    <cellStyle name="Neutral 2" xfId="36" xr:uid="{00000000-0005-0000-0000-000021000000}"/>
    <cellStyle name="Normal" xfId="0" builtinId="0"/>
    <cellStyle name="Normal 2" xfId="3" xr:uid="{00000000-0005-0000-0000-000023000000}"/>
    <cellStyle name="Normal_Alcudia Beach" xfId="37" xr:uid="{00000000-0005-0000-0000-000024000000}"/>
    <cellStyle name="Notas 2" xfId="38" xr:uid="{00000000-0005-0000-0000-000025000000}"/>
    <cellStyle name="Porcentaje" xfId="2" builtinId="5"/>
    <cellStyle name="Porcentaje 2" xfId="39" xr:uid="{00000000-0005-0000-0000-000027000000}"/>
    <cellStyle name="Salida 2" xfId="40" xr:uid="{00000000-0005-0000-0000-000028000000}"/>
    <cellStyle name="SAPBEXchaText" xfId="41" xr:uid="{00000000-0005-0000-0000-000029000000}"/>
    <cellStyle name="SAPBEXformats" xfId="42" xr:uid="{00000000-0005-0000-0000-00002A000000}"/>
    <cellStyle name="SAPBEXstdData" xfId="43" xr:uid="{00000000-0005-0000-0000-00002B000000}"/>
    <cellStyle name="SAPBEXstdItem" xfId="44" xr:uid="{00000000-0005-0000-0000-00002C000000}"/>
    <cellStyle name="Texto de advertencia 2" xfId="45" xr:uid="{00000000-0005-0000-0000-00002D000000}"/>
    <cellStyle name="Texto explicativo 2" xfId="46" xr:uid="{00000000-0005-0000-0000-00002E000000}"/>
    <cellStyle name="Título 1 2" xfId="48" xr:uid="{00000000-0005-0000-0000-00002F000000}"/>
    <cellStyle name="Título 2 2" xfId="49" xr:uid="{00000000-0005-0000-0000-000030000000}"/>
    <cellStyle name="Título 3 2" xfId="50" xr:uid="{00000000-0005-0000-0000-000031000000}"/>
    <cellStyle name="Título 4" xfId="47" xr:uid="{00000000-0005-0000-0000-000032000000}"/>
    <cellStyle name="Total 2" xfId="51" xr:uid="{00000000-0005-0000-0000-000033000000}"/>
  </cellStyles>
  <dxfs count="0"/>
  <tableStyles count="0" defaultTableStyle="TableStyleMedium2" defaultPivotStyle="PivotStyleLight16"/>
  <colors>
    <mruColors>
      <color rgb="FFFF4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DD5E-C2BE-5E45-BB75-97AD1CFAD64F}">
  <dimension ref="B2:C21"/>
  <sheetViews>
    <sheetView zoomScale="138" workbookViewId="0">
      <selection activeCell="D19" sqref="D19"/>
    </sheetView>
  </sheetViews>
  <sheetFormatPr baseColWidth="10" defaultRowHeight="15" x14ac:dyDescent="0.2"/>
  <cols>
    <col min="1" max="3" width="16" customWidth="1"/>
    <col min="4" max="8" width="20.83203125" bestFit="1" customWidth="1"/>
  </cols>
  <sheetData>
    <row r="2" spans="2:3" ht="16" x14ac:dyDescent="0.2">
      <c r="B2" s="277" t="s">
        <v>117</v>
      </c>
    </row>
    <row r="3" spans="2:3" ht="16" thickBot="1" x14ac:dyDescent="0.25"/>
    <row r="4" spans="2:3" x14ac:dyDescent="0.2">
      <c r="B4" s="307" t="s">
        <v>115</v>
      </c>
      <c r="C4" s="311">
        <f>'Minimum Operator'!C49</f>
        <v>50642.14331837371</v>
      </c>
    </row>
    <row r="5" spans="2:3" x14ac:dyDescent="0.2">
      <c r="B5" s="308" t="s">
        <v>116</v>
      </c>
      <c r="C5" s="312">
        <f>'Maximum Operator'!C49</f>
        <v>15412651.120335624</v>
      </c>
    </row>
    <row r="6" spans="2:3" ht="16" thickBot="1" x14ac:dyDescent="0.25">
      <c r="B6" s="308" t="s">
        <v>67</v>
      </c>
      <c r="C6" s="312">
        <f>'Arithmetic Mean'!C49</f>
        <v>6923138.1845897548</v>
      </c>
    </row>
    <row r="7" spans="2:3" x14ac:dyDescent="0.2">
      <c r="B7" s="309" t="s">
        <v>141</v>
      </c>
      <c r="C7" s="311">
        <f>M1w1!C49</f>
        <v>5207550.0154464804</v>
      </c>
    </row>
    <row r="8" spans="2:3" x14ac:dyDescent="0.2">
      <c r="B8" s="2" t="s">
        <v>142</v>
      </c>
      <c r="C8" s="312">
        <f>M1w2!C49</f>
        <v>3363907.8325995617</v>
      </c>
    </row>
    <row r="9" spans="2:3" x14ac:dyDescent="0.2">
      <c r="B9" s="2" t="s">
        <v>143</v>
      </c>
      <c r="C9" s="312">
        <f>M1w3!C49</f>
        <v>2710352.1699831039</v>
      </c>
    </row>
    <row r="10" spans="2:3" x14ac:dyDescent="0.2">
      <c r="B10" s="2" t="s">
        <v>144</v>
      </c>
      <c r="C10" s="312">
        <f>M1w4!C49</f>
        <v>1074248.7604899891</v>
      </c>
    </row>
    <row r="11" spans="2:3" ht="16" thickBot="1" x14ac:dyDescent="0.25">
      <c r="B11" s="2" t="s">
        <v>145</v>
      </c>
      <c r="C11" s="312">
        <f>M1w5!C49</f>
        <v>2272656.2349697202</v>
      </c>
    </row>
    <row r="12" spans="2:3" x14ac:dyDescent="0.2">
      <c r="B12" s="309" t="s">
        <v>146</v>
      </c>
      <c r="C12" s="311">
        <f>M2w1!C20</f>
        <v>993754.2306104973</v>
      </c>
    </row>
    <row r="13" spans="2:3" x14ac:dyDescent="0.2">
      <c r="B13" s="2" t="s">
        <v>147</v>
      </c>
      <c r="C13" s="312">
        <f>M2w2!C22</f>
        <v>4583834.5869528055</v>
      </c>
    </row>
    <row r="14" spans="2:3" x14ac:dyDescent="0.2">
      <c r="B14" s="2" t="s">
        <v>148</v>
      </c>
      <c r="C14" s="312">
        <f>M2w3!C22</f>
        <v>3286214.2705365214</v>
      </c>
    </row>
    <row r="15" spans="2:3" ht="16" thickBot="1" x14ac:dyDescent="0.25">
      <c r="B15" s="310" t="s">
        <v>149</v>
      </c>
      <c r="C15" s="313">
        <f>M2w5!C20</f>
        <v>2945672.1648947224</v>
      </c>
    </row>
    <row r="16" spans="2:3" x14ac:dyDescent="0.2">
      <c r="C16" s="38"/>
    </row>
    <row r="17" spans="2:3" x14ac:dyDescent="0.2">
      <c r="C17" s="38"/>
    </row>
    <row r="18" spans="2:3" x14ac:dyDescent="0.2">
      <c r="C18" s="38"/>
    </row>
    <row r="19" spans="2:3" x14ac:dyDescent="0.2">
      <c r="B19" s="39"/>
      <c r="C19" s="38"/>
    </row>
    <row r="20" spans="2:3" x14ac:dyDescent="0.2">
      <c r="B20" s="39"/>
      <c r="C20" s="38"/>
    </row>
    <row r="21" spans="2:3" x14ac:dyDescent="0.2">
      <c r="B21" s="39"/>
      <c r="C21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3A92-1CA0-7248-85B3-FF1F63A55641}">
  <dimension ref="A2:AQ164"/>
  <sheetViews>
    <sheetView topLeftCell="A32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3" width="9.83203125" style="180" customWidth="1"/>
    <col min="14" max="15" width="7.5" style="180" customWidth="1"/>
    <col min="16" max="16" width="9.83203125" style="180" bestFit="1" customWidth="1"/>
    <col min="17" max="17" width="9.83203125" style="180" customWidth="1"/>
    <col min="18" max="19" width="7.5" style="180" customWidth="1"/>
    <col min="20" max="20" width="9.83203125" style="180" bestFit="1" customWidth="1"/>
    <col min="21" max="21" width="9.83203125" style="180" customWidth="1"/>
    <col min="22" max="23" width="7.5" style="180" customWidth="1"/>
    <col min="24" max="24" width="9.83203125" style="180" bestFit="1" customWidth="1"/>
    <col min="25" max="25" width="9.83203125" style="180" customWidth="1"/>
    <col min="26" max="27" width="7.5" style="180" customWidth="1"/>
    <col min="28" max="28" width="9.83203125" style="180" bestFit="1" customWidth="1"/>
    <col min="29" max="29" width="9.83203125" style="180" customWidth="1"/>
    <col min="30" max="16384" width="11.5" style="180"/>
  </cols>
  <sheetData>
    <row r="2" spans="2:35" s="4" customFormat="1" ht="16" x14ac:dyDescent="0.2">
      <c r="B2" s="276" t="s">
        <v>129</v>
      </c>
      <c r="I2" s="276" t="s">
        <v>130</v>
      </c>
    </row>
    <row r="3" spans="2:35" s="5" customFormat="1" thickBot="1" x14ac:dyDescent="0.2"/>
    <row r="4" spans="2:35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39"/>
      <c r="M4" s="340"/>
      <c r="N4" s="341" t="s">
        <v>81</v>
      </c>
      <c r="O4" s="342"/>
      <c r="P4" s="342"/>
      <c r="Q4" s="343"/>
      <c r="R4" s="344" t="s">
        <v>82</v>
      </c>
      <c r="S4" s="345"/>
      <c r="T4" s="345"/>
      <c r="U4" s="346"/>
      <c r="V4" s="347" t="s">
        <v>83</v>
      </c>
      <c r="W4" s="348"/>
      <c r="X4" s="348"/>
      <c r="Y4" s="349"/>
      <c r="Z4" s="350" t="s">
        <v>108</v>
      </c>
      <c r="AA4" s="351"/>
      <c r="AB4" s="351"/>
      <c r="AC4" s="352"/>
      <c r="AE4" s="125"/>
      <c r="AF4" s="125"/>
      <c r="AG4" s="125"/>
      <c r="AH4" s="125"/>
      <c r="AI4" s="125"/>
    </row>
    <row r="5" spans="2:35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140</v>
      </c>
      <c r="M5" s="130" t="s">
        <v>89</v>
      </c>
      <c r="N5" s="130" t="s">
        <v>119</v>
      </c>
      <c r="O5" s="131" t="s">
        <v>127</v>
      </c>
      <c r="P5" s="132" t="s">
        <v>140</v>
      </c>
      <c r="Q5" s="130" t="s">
        <v>89</v>
      </c>
      <c r="R5" s="130" t="s">
        <v>119</v>
      </c>
      <c r="S5" s="131" t="s">
        <v>127</v>
      </c>
      <c r="T5" s="132" t="s">
        <v>140</v>
      </c>
      <c r="U5" s="130" t="s">
        <v>89</v>
      </c>
      <c r="V5" s="130" t="s">
        <v>119</v>
      </c>
      <c r="W5" s="131" t="s">
        <v>127</v>
      </c>
      <c r="X5" s="132" t="s">
        <v>140</v>
      </c>
      <c r="Y5" s="130" t="s">
        <v>89</v>
      </c>
      <c r="Z5" s="130" t="s">
        <v>119</v>
      </c>
      <c r="AA5" s="131" t="s">
        <v>127</v>
      </c>
      <c r="AB5" s="132" t="s">
        <v>140</v>
      </c>
      <c r="AC5" s="132" t="s">
        <v>89</v>
      </c>
    </row>
    <row r="6" spans="2:35" s="4" customFormat="1" ht="16" x14ac:dyDescent="0.2">
      <c r="B6" s="133" t="s">
        <v>70</v>
      </c>
      <c r="C6" s="134">
        <f>M6</f>
        <v>3.0709677419354837</v>
      </c>
      <c r="D6" s="134">
        <f>Q6</f>
        <v>2.9440982218458931</v>
      </c>
      <c r="E6" s="134">
        <f>U6</f>
        <v>2.8958275862068965</v>
      </c>
      <c r="F6" s="134">
        <f>Y6</f>
        <v>2.8648299912816042</v>
      </c>
      <c r="G6" s="134">
        <f>AC6</f>
        <v>2.8439704848910754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118">
        <f>1/((K$13-1)+(ABS(J6-K6)/J6)+1)</f>
        <v>0.90322580645161288</v>
      </c>
      <c r="M6" s="304">
        <f>K6*L6+(1-L6)*J6</f>
        <v>3.0709677419354837</v>
      </c>
      <c r="N6" s="242">
        <f>Variables!F9</f>
        <v>2.7949999999999999</v>
      </c>
      <c r="O6" s="242">
        <f>Variables!G9</f>
        <v>3.11</v>
      </c>
      <c r="P6" s="118">
        <f>1/((O$13-1)+(ABS(N6-O6)/N6)+1)</f>
        <v>0.47332768839966133</v>
      </c>
      <c r="Q6" s="304">
        <f>O6*P6+(1-P6)*N6</f>
        <v>2.9440982218458931</v>
      </c>
      <c r="R6" s="242">
        <f>Variables!I9</f>
        <v>2.79</v>
      </c>
      <c r="S6" s="242">
        <f>Variables!J9</f>
        <v>3.12</v>
      </c>
      <c r="T6" s="118">
        <f>1/((S$13-1)+(ABS(R6-S6)/R6)+1)</f>
        <v>0.32068965517241382</v>
      </c>
      <c r="U6" s="304">
        <f>S6*T6+(1-T6)*R6</f>
        <v>2.8958275862068965</v>
      </c>
      <c r="V6" s="242">
        <f>Variables!L9</f>
        <v>2.78</v>
      </c>
      <c r="W6" s="242">
        <f>Variables!M9</f>
        <v>3.13</v>
      </c>
      <c r="X6" s="118">
        <f>1/((W$13-1)+(ABS(V6-W6)/V6)+1)</f>
        <v>0.24237140366172621</v>
      </c>
      <c r="Y6" s="304">
        <f>W6*X6+(1-X6)*V6</f>
        <v>2.8648299912816042</v>
      </c>
      <c r="Z6" s="242">
        <f>Variables!O9</f>
        <v>2.77</v>
      </c>
      <c r="AA6" s="242">
        <f>Variables!P9</f>
        <v>3.15</v>
      </c>
      <c r="AB6" s="118">
        <f>1/((AA$13-1)+(ABS(Z6-AA6)/Z6)+1)</f>
        <v>0.19465917076598735</v>
      </c>
      <c r="AC6" s="304">
        <f>AA6*AB6+(1-AB6)*Z6</f>
        <v>2.8439704848910754</v>
      </c>
    </row>
    <row r="7" spans="2:35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118">
        <f t="shared" ref="L7:L11" si="2">1/((K$13-1)+(ABS(J7-K7)/J7)+1)</f>
        <v>0.96296296296296291</v>
      </c>
      <c r="M7" s="304">
        <f t="shared" ref="M7:M11" si="3">K7*L7+(1-L7)*J7</f>
        <v>0.80888888888888899</v>
      </c>
      <c r="N7" s="243">
        <f>Variables!F11</f>
        <v>0.77</v>
      </c>
      <c r="O7" s="243">
        <f>Variables!G11</f>
        <v>0.82</v>
      </c>
      <c r="P7" s="118">
        <f t="shared" ref="P7:P11" si="4">1/((O$13-1)+(ABS(N7-O7)/N7)+1)</f>
        <v>0.48427672955974849</v>
      </c>
      <c r="Q7" s="304">
        <f t="shared" ref="Q7:Q11" si="5">O7*P7+(1-P7)*N7</f>
        <v>0.79421383647798738</v>
      </c>
      <c r="R7" s="243">
        <f>Variables!I11</f>
        <v>0.76500000000000001</v>
      </c>
      <c r="S7" s="243">
        <f>Variables!J11</f>
        <v>0.82499999999999996</v>
      </c>
      <c r="T7" s="118">
        <f t="shared" ref="T7:T11" si="6">1/((S$13-1)+(ABS(R7-S7)/R7)+1)</f>
        <v>0.32484076433121023</v>
      </c>
      <c r="U7" s="304">
        <f t="shared" ref="U7:U11" si="7">S7*T7+(1-T7)*R7</f>
        <v>0.7844904458598726</v>
      </c>
      <c r="V7" s="243">
        <f>Variables!L11</f>
        <v>0.76</v>
      </c>
      <c r="W7" s="243">
        <f>Variables!M11</f>
        <v>0.83</v>
      </c>
      <c r="X7" s="118">
        <f t="shared" ref="X7:X11" si="8">1/((W$13-1)+(ABS(V7-W7)/V7)+1)</f>
        <v>0.24437299035369775</v>
      </c>
      <c r="Y7" s="304">
        <f t="shared" ref="Y7:Y11" si="9">W7*X7+(1-X7)*V7</f>
        <v>0.77710610932475888</v>
      </c>
      <c r="Z7" s="243">
        <f>Variables!O11</f>
        <v>0.75</v>
      </c>
      <c r="AA7" s="243">
        <f>Variables!P11</f>
        <v>0.83499999999999996</v>
      </c>
      <c r="AB7" s="118">
        <f t="shared" ref="AB7:AB11" si="10">1/((AA$13-1)+(ABS(Z7-AA7)/Z7)+1)</f>
        <v>0.19556714471968709</v>
      </c>
      <c r="AC7" s="304">
        <f t="shared" ref="AC7:AC11" si="11">AA7*AB7+(1-AB7)*Z7</f>
        <v>0.76662320730117339</v>
      </c>
    </row>
    <row r="8" spans="2:35" s="4" customFormat="1" ht="18" thickBot="1" x14ac:dyDescent="0.2">
      <c r="B8" s="140" t="s">
        <v>72</v>
      </c>
      <c r="C8" s="141">
        <f>M7</f>
        <v>0.80888888888888899</v>
      </c>
      <c r="D8" s="141">
        <f>Q7</f>
        <v>0.79421383647798738</v>
      </c>
      <c r="E8" s="141">
        <f>U7</f>
        <v>0.7844904458598726</v>
      </c>
      <c r="F8" s="141">
        <f>Y7</f>
        <v>0.77710610932475888</v>
      </c>
      <c r="G8" s="142">
        <f>AC7</f>
        <v>0.76662320730117339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118">
        <f t="shared" si="2"/>
        <v>0.95945945945945954</v>
      </c>
      <c r="M8" s="304">
        <f t="shared" si="3"/>
        <v>36.939189189189186</v>
      </c>
      <c r="N8" s="242">
        <f>Variables!F15</f>
        <v>36</v>
      </c>
      <c r="O8" s="242">
        <f>Variables!G15</f>
        <v>38</v>
      </c>
      <c r="P8" s="118">
        <f t="shared" si="4"/>
        <v>0.48648648648648651</v>
      </c>
      <c r="Q8" s="304">
        <f t="shared" si="5"/>
        <v>36.972972972972968</v>
      </c>
      <c r="R8" s="242">
        <f>Variables!I15</f>
        <v>36.25</v>
      </c>
      <c r="S8" s="242">
        <f>Variables!J15</f>
        <v>38.5</v>
      </c>
      <c r="T8" s="118">
        <f t="shared" si="6"/>
        <v>0.32657657657657657</v>
      </c>
      <c r="U8" s="304">
        <f t="shared" si="7"/>
        <v>36.984797297297298</v>
      </c>
      <c r="V8" s="242">
        <f>Variables!L15</f>
        <v>36.5</v>
      </c>
      <c r="W8" s="242">
        <f>Variables!M15</f>
        <v>39</v>
      </c>
      <c r="X8" s="118">
        <f t="shared" si="8"/>
        <v>0.24579124579124581</v>
      </c>
      <c r="Y8" s="304">
        <f t="shared" si="9"/>
        <v>37.114478114478118</v>
      </c>
      <c r="Z8" s="242">
        <f>Variables!O15</f>
        <v>36.75</v>
      </c>
      <c r="AA8" s="242">
        <f>Variables!P15</f>
        <v>39.5</v>
      </c>
      <c r="AB8" s="118">
        <f t="shared" si="10"/>
        <v>0.1970509383378016</v>
      </c>
      <c r="AC8" s="304">
        <f t="shared" si="11"/>
        <v>37.291890080428956</v>
      </c>
    </row>
    <row r="9" spans="2:35" s="4" customFormat="1" ht="17" thickBot="1" x14ac:dyDescent="0.25">
      <c r="B9" s="266" t="s">
        <v>73</v>
      </c>
      <c r="C9" s="145">
        <f>+C5*C7*C8</f>
        <v>63918.400000000009</v>
      </c>
      <c r="D9" s="145">
        <f>+D5*D7*D8</f>
        <v>62758.777358490566</v>
      </c>
      <c r="E9" s="145">
        <f>+E5*E7*E8</f>
        <v>61990.435031847133</v>
      </c>
      <c r="F9" s="145">
        <f>+F5*F7*F8</f>
        <v>61406.924758842448</v>
      </c>
      <c r="G9" s="146">
        <f>+G5*G7*G8</f>
        <v>60578.565840938718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118">
        <f t="shared" si="2"/>
        <v>0.83333333333333337</v>
      </c>
      <c r="M9" s="304">
        <f t="shared" si="3"/>
        <v>0.26250000000000001</v>
      </c>
      <c r="N9" s="243">
        <f>Variables!F24</f>
        <v>0.22</v>
      </c>
      <c r="O9" s="243">
        <f>Variables!G24</f>
        <v>0.28000000000000003</v>
      </c>
      <c r="P9" s="118">
        <f t="shared" si="4"/>
        <v>0.43999999999999995</v>
      </c>
      <c r="Q9" s="304">
        <f t="shared" si="5"/>
        <v>0.24640000000000001</v>
      </c>
      <c r="R9" s="243">
        <f>Variables!I24</f>
        <v>0.215</v>
      </c>
      <c r="S9" s="243">
        <f>Variables!J24</f>
        <v>0.28499999999999998</v>
      </c>
      <c r="T9" s="118">
        <f t="shared" si="6"/>
        <v>0.30069930069930073</v>
      </c>
      <c r="U9" s="304">
        <f t="shared" si="7"/>
        <v>0.23604895104895104</v>
      </c>
      <c r="V9" s="243">
        <f>Variables!L24</f>
        <v>0.21249999999999999</v>
      </c>
      <c r="W9" s="243">
        <f>Variables!M24</f>
        <v>0.28999999999999998</v>
      </c>
      <c r="X9" s="118">
        <f t="shared" si="8"/>
        <v>0.22911051212938002</v>
      </c>
      <c r="Y9" s="304">
        <f t="shared" si="9"/>
        <v>0.23025606469002693</v>
      </c>
      <c r="Z9" s="243">
        <f>Variables!O24</f>
        <v>0.21</v>
      </c>
      <c r="AA9" s="243">
        <f>Variables!P24</f>
        <v>0.3</v>
      </c>
      <c r="AB9" s="118">
        <f t="shared" si="10"/>
        <v>0.18421052631578946</v>
      </c>
      <c r="AC9" s="304">
        <f t="shared" si="11"/>
        <v>0.22657894736842105</v>
      </c>
    </row>
    <row r="10" spans="2:35" s="4" customFormat="1" ht="34" x14ac:dyDescent="0.15">
      <c r="B10" s="265" t="s">
        <v>74</v>
      </c>
      <c r="C10" s="145">
        <f>+C5*C6*C7*C8</f>
        <v>196291.34451612903</v>
      </c>
      <c r="D10" s="145">
        <f>+D5*D6*D7*D8</f>
        <v>184768.00482635436</v>
      </c>
      <c r="E10" s="145">
        <f>+E5*E6*E7*E8</f>
        <v>179513.61184618933</v>
      </c>
      <c r="F10" s="145">
        <f>+F5*F6*F7*F8</f>
        <v>175920.39972150471</v>
      </c>
      <c r="G10" s="146">
        <f>+G5*G6*G7*G8</f>
        <v>172283.65326866045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118">
        <f t="shared" si="2"/>
        <v>0.66666666666666663</v>
      </c>
      <c r="M10" s="304">
        <f t="shared" si="3"/>
        <v>2.6666666666666668E-2</v>
      </c>
      <c r="N10" s="243">
        <f>Variables!F26</f>
        <v>0.04</v>
      </c>
      <c r="O10" s="243">
        <f>Variables!G26</f>
        <v>0.02</v>
      </c>
      <c r="P10" s="118">
        <f t="shared" si="4"/>
        <v>0.4</v>
      </c>
      <c r="Q10" s="304">
        <f t="shared" si="5"/>
        <v>3.2000000000000001E-2</v>
      </c>
      <c r="R10" s="243">
        <f>Variables!I26</f>
        <v>0.04</v>
      </c>
      <c r="S10" s="243">
        <f>Variables!J26</f>
        <v>0.02</v>
      </c>
      <c r="T10" s="118">
        <f t="shared" si="6"/>
        <v>0.2857142857142857</v>
      </c>
      <c r="U10" s="304">
        <f t="shared" si="7"/>
        <v>3.4285714285714287E-2</v>
      </c>
      <c r="V10" s="243">
        <f>Variables!L26</f>
        <v>0.04</v>
      </c>
      <c r="W10" s="243">
        <f>Variables!M26</f>
        <v>0.02</v>
      </c>
      <c r="X10" s="118">
        <f t="shared" si="8"/>
        <v>0.22222222222222221</v>
      </c>
      <c r="Y10" s="304">
        <f t="shared" si="9"/>
        <v>3.5555555555555556E-2</v>
      </c>
      <c r="Z10" s="243">
        <f>Variables!O26</f>
        <v>0.04</v>
      </c>
      <c r="AA10" s="243">
        <f>Variables!P26</f>
        <v>0.02</v>
      </c>
      <c r="AB10" s="118">
        <f t="shared" si="10"/>
        <v>0.18181818181818182</v>
      </c>
      <c r="AC10" s="304">
        <f t="shared" si="11"/>
        <v>3.6363636363636362E-2</v>
      </c>
    </row>
    <row r="11" spans="2:35" s="4" customFormat="1" ht="18" thickBot="1" x14ac:dyDescent="0.25">
      <c r="B11" s="133" t="s">
        <v>75</v>
      </c>
      <c r="C11" s="148">
        <f>M8</f>
        <v>36.939189189189186</v>
      </c>
      <c r="D11" s="148">
        <f>Q8</f>
        <v>36.972972972972968</v>
      </c>
      <c r="E11" s="148">
        <f>U8</f>
        <v>36.984797297297298</v>
      </c>
      <c r="F11" s="148">
        <f>Y8</f>
        <v>37.114478114478118</v>
      </c>
      <c r="G11" s="149">
        <f>AC8</f>
        <v>37.291890080428956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305">
        <f t="shared" si="2"/>
        <v>0.5714285714285714</v>
      </c>
      <c r="M11" s="306">
        <f t="shared" si="3"/>
        <v>2.2857142857142857E-2</v>
      </c>
      <c r="N11" s="244">
        <f>Variables!F29</f>
        <v>0.04</v>
      </c>
      <c r="O11" s="244">
        <f>Variables!G29</f>
        <v>0.01</v>
      </c>
      <c r="P11" s="305">
        <f t="shared" si="4"/>
        <v>0.36363636363636365</v>
      </c>
      <c r="Q11" s="306">
        <f t="shared" si="5"/>
        <v>2.9090909090909091E-2</v>
      </c>
      <c r="R11" s="244">
        <f>Variables!I29</f>
        <v>0.04</v>
      </c>
      <c r="S11" s="244">
        <f>Variables!J29</f>
        <v>0.01</v>
      </c>
      <c r="T11" s="305">
        <f t="shared" si="6"/>
        <v>0.26666666666666666</v>
      </c>
      <c r="U11" s="306">
        <f t="shared" si="7"/>
        <v>3.2000000000000001E-2</v>
      </c>
      <c r="V11" s="244">
        <f>Variables!L29</f>
        <v>0.04</v>
      </c>
      <c r="W11" s="244">
        <f>Variables!M29</f>
        <v>0.01</v>
      </c>
      <c r="X11" s="305">
        <f t="shared" si="8"/>
        <v>0.21052631578947367</v>
      </c>
      <c r="Y11" s="306">
        <f t="shared" si="9"/>
        <v>3.3684210526315789E-2</v>
      </c>
      <c r="Z11" s="244">
        <f>Variables!O29</f>
        <v>0.04</v>
      </c>
      <c r="AA11" s="244">
        <f>Variables!P29</f>
        <v>0.01</v>
      </c>
      <c r="AB11" s="305">
        <f t="shared" si="10"/>
        <v>0.17391304347826086</v>
      </c>
      <c r="AC11" s="306">
        <f t="shared" si="11"/>
        <v>3.4782608695652174E-2</v>
      </c>
    </row>
    <row r="12" spans="2:35" s="7" customFormat="1" ht="18" thickBot="1" x14ac:dyDescent="0.25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69"/>
      <c r="N12" s="270"/>
      <c r="O12" s="270"/>
      <c r="P12" s="269"/>
      <c r="Q12" s="269"/>
      <c r="R12" s="270"/>
      <c r="S12" s="270"/>
      <c r="T12" s="269"/>
      <c r="U12" s="269"/>
      <c r="V12" s="270"/>
      <c r="W12" s="270"/>
      <c r="X12" s="269"/>
      <c r="Y12" s="269"/>
      <c r="Z12" s="270"/>
      <c r="AA12" s="271"/>
      <c r="AB12" s="99"/>
      <c r="AC12" s="99"/>
    </row>
    <row r="13" spans="2:35" s="4" customFormat="1" ht="17" thickBot="1" x14ac:dyDescent="0.25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101" t="s">
        <v>68</v>
      </c>
      <c r="K13" s="103">
        <v>1</v>
      </c>
      <c r="L13" s="5"/>
      <c r="M13" s="5"/>
      <c r="N13" s="101" t="s">
        <v>68</v>
      </c>
      <c r="O13" s="102">
        <v>2</v>
      </c>
      <c r="P13" s="5"/>
      <c r="Q13" s="5"/>
      <c r="R13" s="101" t="s">
        <v>68</v>
      </c>
      <c r="S13" s="102">
        <v>3</v>
      </c>
      <c r="T13" s="5"/>
      <c r="U13" s="5"/>
      <c r="V13" s="101" t="s">
        <v>68</v>
      </c>
      <c r="W13" s="102">
        <v>4</v>
      </c>
      <c r="X13" s="5"/>
      <c r="Y13" s="5"/>
      <c r="Z13" s="101" t="s">
        <v>68</v>
      </c>
      <c r="AA13" s="102">
        <v>5</v>
      </c>
      <c r="AB13" s="87"/>
      <c r="AC13" s="87"/>
    </row>
    <row r="14" spans="2:35" s="4" customFormat="1" ht="16" x14ac:dyDescent="0.2">
      <c r="B14" s="136" t="s">
        <v>125</v>
      </c>
      <c r="C14" s="137">
        <f t="shared" ref="C14:G14" si="12">C24-C26</f>
        <v>5347496.7945701825</v>
      </c>
      <c r="D14" s="137">
        <f t="shared" si="12"/>
        <v>5148159.9573515784</v>
      </c>
      <c r="E14" s="137">
        <f t="shared" si="12"/>
        <v>5072080.7538717706</v>
      </c>
      <c r="F14" s="137">
        <f t="shared" si="12"/>
        <v>5025807.3495295877</v>
      </c>
      <c r="G14" s="138">
        <f t="shared" si="12"/>
        <v>4969062.4774651406</v>
      </c>
      <c r="H14" s="139"/>
      <c r="J14" s="268"/>
      <c r="K14" s="268"/>
      <c r="L14" s="272"/>
      <c r="M14" s="272"/>
      <c r="N14" s="273"/>
      <c r="O14" s="273"/>
      <c r="P14" s="272"/>
      <c r="Q14" s="272"/>
      <c r="R14" s="273"/>
      <c r="S14" s="273"/>
      <c r="T14" s="272"/>
      <c r="U14" s="272"/>
      <c r="V14" s="273"/>
      <c r="W14" s="273"/>
      <c r="X14" s="272"/>
      <c r="Y14" s="272"/>
      <c r="Z14" s="273"/>
      <c r="AA14" s="274"/>
      <c r="AB14" s="87"/>
      <c r="AC14" s="87"/>
    </row>
    <row r="15" spans="2:35" s="4" customFormat="1" ht="16" x14ac:dyDescent="0.2">
      <c r="B15" s="136" t="s">
        <v>126</v>
      </c>
      <c r="C15" s="297">
        <f>C14/C24</f>
        <v>0.73749999999999993</v>
      </c>
      <c r="D15" s="297">
        <f>D14/D24</f>
        <v>0.75360000000000005</v>
      </c>
      <c r="E15" s="297">
        <f>E14/E24</f>
        <v>0.76395104895104893</v>
      </c>
      <c r="F15" s="297">
        <f>F14/F24</f>
        <v>0.76974393530997309</v>
      </c>
      <c r="G15" s="298">
        <f>G14/G24</f>
        <v>0.77342105263157901</v>
      </c>
      <c r="H15" s="151"/>
      <c r="J15" s="268"/>
      <c r="K15" s="268"/>
      <c r="L15" s="272"/>
      <c r="M15" s="272"/>
      <c r="N15" s="273"/>
      <c r="O15" s="273"/>
      <c r="P15" s="272"/>
      <c r="Q15" s="272"/>
      <c r="R15" s="273"/>
      <c r="S15" s="273"/>
      <c r="T15" s="272"/>
      <c r="U15" s="272"/>
      <c r="V15" s="273"/>
      <c r="W15" s="273"/>
      <c r="X15" s="272"/>
      <c r="Y15" s="272"/>
      <c r="Z15" s="273"/>
      <c r="AA15" s="274"/>
      <c r="AB15" s="87"/>
      <c r="AC15" s="87"/>
    </row>
    <row r="16" spans="2:35" s="4" customFormat="1" ht="16" x14ac:dyDescent="0.2">
      <c r="B16" s="133" t="s">
        <v>76</v>
      </c>
      <c r="C16" s="152">
        <f>M9</f>
        <v>0.26250000000000001</v>
      </c>
      <c r="D16" s="152">
        <f>Q9</f>
        <v>0.24640000000000001</v>
      </c>
      <c r="E16" s="152">
        <f>U9</f>
        <v>0.23604895104895104</v>
      </c>
      <c r="F16" s="152">
        <f>Y9</f>
        <v>0.23025606469002693</v>
      </c>
      <c r="G16" s="153">
        <f>AC9</f>
        <v>0.22657894736842105</v>
      </c>
      <c r="H16" s="154"/>
    </row>
    <row r="17" spans="2:29" s="4" customFormat="1" ht="34" x14ac:dyDescent="0.15">
      <c r="B17" s="140" t="s">
        <v>77</v>
      </c>
      <c r="C17" s="155">
        <f>M10</f>
        <v>2.6666666666666668E-2</v>
      </c>
      <c r="D17" s="155">
        <f>Q10</f>
        <v>3.2000000000000001E-2</v>
      </c>
      <c r="E17" s="155">
        <f>U10</f>
        <v>3.4285714285714287E-2</v>
      </c>
      <c r="F17" s="155">
        <f>Y10</f>
        <v>3.5555555555555556E-2</v>
      </c>
      <c r="G17" s="156">
        <f>AC10</f>
        <v>3.6363636363636362E-2</v>
      </c>
      <c r="H17" s="157"/>
    </row>
    <row r="18" spans="2:29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13">D18</f>
        <v>0.25</v>
      </c>
      <c r="F18" s="159">
        <f t="shared" si="13"/>
        <v>0.25</v>
      </c>
      <c r="G18" s="160">
        <f t="shared" si="13"/>
        <v>0.25</v>
      </c>
      <c r="H18" s="161"/>
      <c r="J18" s="158"/>
      <c r="K18" s="158"/>
      <c r="L18" s="162"/>
      <c r="M18" s="162"/>
      <c r="N18" s="158"/>
      <c r="O18" s="158"/>
      <c r="P18" s="162"/>
      <c r="Q18" s="162"/>
      <c r="R18" s="158"/>
      <c r="S18" s="158"/>
      <c r="T18" s="162"/>
      <c r="U18" s="162"/>
      <c r="V18" s="158"/>
      <c r="W18" s="158"/>
      <c r="X18" s="162"/>
      <c r="Y18" s="162"/>
      <c r="Z18" s="158"/>
      <c r="AA18" s="158"/>
      <c r="AB18" s="63"/>
      <c r="AC18" s="63"/>
    </row>
    <row r="19" spans="2:29" s="4" customFormat="1" ht="18" thickBot="1" x14ac:dyDescent="0.25">
      <c r="B19" s="163" t="s">
        <v>79</v>
      </c>
      <c r="C19" s="164">
        <f>M11</f>
        <v>2.2857142857142857E-2</v>
      </c>
      <c r="D19" s="164">
        <f>Q11</f>
        <v>2.9090909090909091E-2</v>
      </c>
      <c r="E19" s="164">
        <f>U11</f>
        <v>3.2000000000000001E-2</v>
      </c>
      <c r="F19" s="164">
        <f>Y11</f>
        <v>3.3684210526315789E-2</v>
      </c>
      <c r="G19" s="165">
        <f>AC11</f>
        <v>3.4782608695652174E-2</v>
      </c>
      <c r="H19" s="154"/>
    </row>
    <row r="20" spans="2:29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29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29" s="4" customFormat="1" thickBot="1" x14ac:dyDescent="0.2">
      <c r="B22" s="10"/>
      <c r="C22" s="6"/>
    </row>
    <row r="23" spans="2:29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29" s="4" customFormat="1" ht="16" x14ac:dyDescent="0.15">
      <c r="B24" s="169" t="s">
        <v>84</v>
      </c>
      <c r="C24" s="170">
        <f>C5*C6*C7*C8*C11</f>
        <v>7250843.1112816036</v>
      </c>
      <c r="D24" s="170">
        <f>D5*D6*D7*D8*D11</f>
        <v>6831422.4487149389</v>
      </c>
      <c r="E24" s="170">
        <f>E5*E6*E7*E8*E11</f>
        <v>6639274.5462370198</v>
      </c>
      <c r="F24" s="170">
        <f>F5*F6*F7*F8*F11</f>
        <v>6529193.8253540294</v>
      </c>
      <c r="G24" s="171">
        <f>G5*G6*G7*G8*G11</f>
        <v>6424783.0603496199</v>
      </c>
      <c r="H24" s="12"/>
      <c r="I24" s="6"/>
      <c r="J24" s="6"/>
    </row>
    <row r="25" spans="2:29" s="4" customFormat="1" ht="16" x14ac:dyDescent="0.15">
      <c r="B25" s="172" t="s">
        <v>85</v>
      </c>
      <c r="C25" s="173">
        <f>C24-C26</f>
        <v>5347496.7945701825</v>
      </c>
      <c r="D25" s="173">
        <f t="shared" ref="D25:G25" si="14">D24-D26</f>
        <v>5148159.9573515784</v>
      </c>
      <c r="E25" s="173">
        <f t="shared" si="14"/>
        <v>5072080.7538717706</v>
      </c>
      <c r="F25" s="173">
        <f t="shared" si="14"/>
        <v>5025807.3495295877</v>
      </c>
      <c r="G25" s="174">
        <f t="shared" si="14"/>
        <v>4969062.4774651406</v>
      </c>
      <c r="H25" s="12"/>
      <c r="I25" s="6"/>
      <c r="J25" s="6"/>
    </row>
    <row r="26" spans="2:29" s="4" customFormat="1" ht="16" x14ac:dyDescent="0.15">
      <c r="B26" s="175" t="s">
        <v>0</v>
      </c>
      <c r="C26" s="173">
        <f>C16*C24</f>
        <v>1903346.3167114211</v>
      </c>
      <c r="D26" s="173">
        <f>D16*D24</f>
        <v>1683262.491363361</v>
      </c>
      <c r="E26" s="173">
        <f>E16*E24</f>
        <v>1567193.792365249</v>
      </c>
      <c r="F26" s="173">
        <f>F16*F24</f>
        <v>1503386.4758244418</v>
      </c>
      <c r="G26" s="174">
        <f>G16*G24</f>
        <v>1455720.5828844795</v>
      </c>
      <c r="H26" s="12"/>
      <c r="I26" s="6"/>
      <c r="J26" s="6"/>
    </row>
    <row r="27" spans="2:29" s="4" customFormat="1" ht="16" x14ac:dyDescent="0.15">
      <c r="B27" s="172" t="s">
        <v>133</v>
      </c>
      <c r="C27" s="173">
        <f>C17*C24</f>
        <v>193355.81630084277</v>
      </c>
      <c r="D27" s="173">
        <f>D17*D24</f>
        <v>218605.51835887806</v>
      </c>
      <c r="E27" s="173">
        <f>E17*E24</f>
        <v>227632.27015669784</v>
      </c>
      <c r="F27" s="173">
        <f>F17*F24</f>
        <v>232149.11379036549</v>
      </c>
      <c r="G27" s="174">
        <f>G17*G24</f>
        <v>233628.47492180436</v>
      </c>
      <c r="H27" s="6"/>
      <c r="I27" s="6"/>
      <c r="J27" s="6"/>
    </row>
    <row r="28" spans="2:29" s="4" customFormat="1" ht="16" x14ac:dyDescent="0.15">
      <c r="B28" s="175" t="s">
        <v>65</v>
      </c>
      <c r="C28" s="173">
        <f>C26-C27</f>
        <v>1709990.5004105784</v>
      </c>
      <c r="D28" s="173">
        <f t="shared" ref="D28:G28" si="15">D26-D27</f>
        <v>1464656.9730044829</v>
      </c>
      <c r="E28" s="173">
        <f t="shared" si="15"/>
        <v>1339561.5222085512</v>
      </c>
      <c r="F28" s="173">
        <f t="shared" si="15"/>
        <v>1271237.3620340764</v>
      </c>
      <c r="G28" s="174">
        <f t="shared" si="15"/>
        <v>1222092.1079626752</v>
      </c>
      <c r="H28" s="12"/>
      <c r="I28" s="6"/>
      <c r="J28" s="6"/>
    </row>
    <row r="29" spans="2:29" s="4" customFormat="1" ht="16" x14ac:dyDescent="0.15">
      <c r="B29" s="172" t="s">
        <v>99</v>
      </c>
      <c r="C29" s="173">
        <v>500322</v>
      </c>
      <c r="D29" s="173">
        <f t="shared" ref="D29:G29" si="16">+C29</f>
        <v>500322</v>
      </c>
      <c r="E29" s="173">
        <f t="shared" si="16"/>
        <v>500322</v>
      </c>
      <c r="F29" s="173">
        <f t="shared" si="16"/>
        <v>500322</v>
      </c>
      <c r="G29" s="174">
        <f t="shared" si="16"/>
        <v>500322</v>
      </c>
      <c r="H29" s="6"/>
      <c r="I29" s="6"/>
      <c r="J29" s="6"/>
    </row>
    <row r="30" spans="2:29" s="4" customFormat="1" ht="16" x14ac:dyDescent="0.15">
      <c r="B30" s="175" t="s">
        <v>86</v>
      </c>
      <c r="C30" s="173">
        <f t="shared" ref="C30:G30" si="17">+C26-C29</f>
        <v>1403024.3167114211</v>
      </c>
      <c r="D30" s="173">
        <f t="shared" si="17"/>
        <v>1182940.491363361</v>
      </c>
      <c r="E30" s="173">
        <f t="shared" si="17"/>
        <v>1066871.792365249</v>
      </c>
      <c r="F30" s="173">
        <f t="shared" si="17"/>
        <v>1003064.4758244418</v>
      </c>
      <c r="G30" s="174">
        <f t="shared" si="17"/>
        <v>955398.58288447955</v>
      </c>
      <c r="H30" s="12"/>
      <c r="I30" s="6"/>
      <c r="J30" s="6"/>
    </row>
    <row r="31" spans="2:29" s="4" customFormat="1" ht="16" x14ac:dyDescent="0.15">
      <c r="B31" s="172" t="s">
        <v>134</v>
      </c>
      <c r="C31" s="173">
        <f>IF(C30&lt;=0,0,C$18*C30)</f>
        <v>350756.07917785528</v>
      </c>
      <c r="D31" s="173">
        <f t="shared" ref="D31:G31" si="18">IF(D30&lt;=0,0,D$18*D30)</f>
        <v>295735.12284084025</v>
      </c>
      <c r="E31" s="173">
        <f t="shared" si="18"/>
        <v>266717.94809131225</v>
      </c>
      <c r="F31" s="173">
        <f t="shared" si="18"/>
        <v>250766.11895611044</v>
      </c>
      <c r="G31" s="174">
        <f t="shared" si="18"/>
        <v>238849.64572111989</v>
      </c>
      <c r="H31" s="12"/>
      <c r="I31" s="6"/>
      <c r="J31" s="6"/>
    </row>
    <row r="32" spans="2:29" s="4" customFormat="1" ht="17" thickBot="1" x14ac:dyDescent="0.2">
      <c r="B32" s="176" t="s">
        <v>87</v>
      </c>
      <c r="C32" s="177">
        <f t="shared" ref="C32:G32" si="19">C30-C31</f>
        <v>1052268.2375335658</v>
      </c>
      <c r="D32" s="177">
        <f t="shared" si="19"/>
        <v>887205.36852252076</v>
      </c>
      <c r="E32" s="177">
        <f t="shared" si="19"/>
        <v>800153.8442739367</v>
      </c>
      <c r="F32" s="177">
        <f t="shared" si="19"/>
        <v>752298.35686833132</v>
      </c>
      <c r="G32" s="178">
        <f t="shared" si="19"/>
        <v>716548.93716335972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20">+C32</f>
        <v>1052268.2375335658</v>
      </c>
      <c r="D37" s="223">
        <f t="shared" si="20"/>
        <v>887205.36852252076</v>
      </c>
      <c r="E37" s="235">
        <f t="shared" si="20"/>
        <v>800153.8442739367</v>
      </c>
      <c r="F37" s="235">
        <f t="shared" si="20"/>
        <v>752298.35686833132</v>
      </c>
      <c r="G37" s="235">
        <f t="shared" si="20"/>
        <v>716548.93716335972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21">+C29</f>
        <v>500322</v>
      </c>
      <c r="D38" s="224">
        <f t="shared" si="21"/>
        <v>500322</v>
      </c>
      <c r="E38" s="111">
        <f t="shared" si="21"/>
        <v>500322</v>
      </c>
      <c r="F38" s="111">
        <f t="shared" si="21"/>
        <v>500322</v>
      </c>
      <c r="G38" s="111">
        <f t="shared" si="21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22">+C37+C38</f>
        <v>1552590.2375335658</v>
      </c>
      <c r="D39" s="224">
        <f t="shared" si="22"/>
        <v>1387527.3685225206</v>
      </c>
      <c r="E39" s="111">
        <f t="shared" si="22"/>
        <v>1300475.8442739367</v>
      </c>
      <c r="F39" s="111">
        <f t="shared" si="22"/>
        <v>1252620.3568683313</v>
      </c>
      <c r="G39" s="111">
        <f t="shared" si="22"/>
        <v>1216870.9371633597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290033.72445126413</v>
      </c>
      <c r="D40" s="224">
        <f>+C40*(1+D19)</f>
        <v>298471.06916257361</v>
      </c>
      <c r="E40" s="111">
        <f>+D40*(1+E19)</f>
        <v>308022.14337577595</v>
      </c>
      <c r="F40" s="111">
        <f>+E40*(1+F19)</f>
        <v>318397.62610001263</v>
      </c>
      <c r="G40" s="111">
        <f>+F40*(1+G19)</f>
        <v>329472.32613827393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1262556.5130823017</v>
      </c>
      <c r="D41" s="295">
        <f t="shared" ref="D41:G41" si="23">D39-D40</f>
        <v>1089056.299359947</v>
      </c>
      <c r="E41" s="295">
        <f t="shared" si="23"/>
        <v>992453.70089816069</v>
      </c>
      <c r="F41" s="295">
        <f t="shared" si="23"/>
        <v>934222.73076831875</v>
      </c>
      <c r="G41" s="295">
        <f t="shared" si="23"/>
        <v>887398.61102508579</v>
      </c>
      <c r="H41" s="295">
        <f>G41*(1+C47)/(C46-C47)</f>
        <v>18102931.664911751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2272656.2349697202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43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43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43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43" x14ac:dyDescent="0.15">
      <c r="B68" s="183" t="s">
        <v>0</v>
      </c>
      <c r="C68" s="185">
        <f>C26</f>
        <v>1903346.3167114211</v>
      </c>
      <c r="D68" s="185">
        <f>D26</f>
        <v>1683262.491363361</v>
      </c>
      <c r="E68" s="185">
        <f>E26</f>
        <v>1567193.792365249</v>
      </c>
      <c r="F68" s="185">
        <f>F26</f>
        <v>1503386.4758244418</v>
      </c>
      <c r="G68" s="185">
        <f>G26</f>
        <v>1455720.5828844795</v>
      </c>
      <c r="H68" s="185"/>
      <c r="I68" s="182"/>
      <c r="J68" s="182"/>
    </row>
    <row r="69" spans="1:43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24">D69</f>
        <v>500322</v>
      </c>
      <c r="F69" s="184">
        <f t="shared" si="24"/>
        <v>500322</v>
      </c>
      <c r="G69" s="184">
        <f t="shared" si="24"/>
        <v>500322</v>
      </c>
      <c r="H69" s="184"/>
      <c r="I69" s="182"/>
      <c r="J69" s="182"/>
    </row>
    <row r="70" spans="1:43" x14ac:dyDescent="0.15">
      <c r="B70" s="183" t="s">
        <v>2</v>
      </c>
      <c r="C70" s="185">
        <f>C68-C69</f>
        <v>1403024.3167114211</v>
      </c>
      <c r="D70" s="185">
        <f t="shared" ref="D70:G70" si="25">D68-D69</f>
        <v>1182940.491363361</v>
      </c>
      <c r="E70" s="185">
        <f t="shared" si="25"/>
        <v>1066871.792365249</v>
      </c>
      <c r="F70" s="185">
        <f t="shared" si="25"/>
        <v>1003064.4758244418</v>
      </c>
      <c r="G70" s="185">
        <f t="shared" si="25"/>
        <v>955398.58288447955</v>
      </c>
      <c r="H70" s="185"/>
      <c r="I70" s="182"/>
      <c r="J70" s="182"/>
    </row>
    <row r="71" spans="1:43" x14ac:dyDescent="0.15">
      <c r="B71" s="182" t="s">
        <v>3</v>
      </c>
      <c r="C71" s="184">
        <f>C70*0.25</f>
        <v>350756.07917785528</v>
      </c>
      <c r="D71" s="184">
        <f t="shared" ref="D71:G71" si="26">D70*0.25</f>
        <v>295735.12284084025</v>
      </c>
      <c r="E71" s="184">
        <f t="shared" si="26"/>
        <v>266717.94809131225</v>
      </c>
      <c r="F71" s="184">
        <f t="shared" si="26"/>
        <v>250766.11895611044</v>
      </c>
      <c r="G71" s="184">
        <f t="shared" si="26"/>
        <v>238849.64572111989</v>
      </c>
      <c r="H71" s="184"/>
      <c r="I71" s="182"/>
      <c r="J71" s="182"/>
    </row>
    <row r="72" spans="1:43" x14ac:dyDescent="0.15">
      <c r="B72" s="183" t="s">
        <v>4</v>
      </c>
      <c r="C72" s="185">
        <f>C70-C71</f>
        <v>1052268.2375335658</v>
      </c>
      <c r="D72" s="185">
        <f t="shared" ref="D72:G72" si="27">D70-D71</f>
        <v>887205.36852252076</v>
      </c>
      <c r="E72" s="185">
        <f t="shared" si="27"/>
        <v>800153.8442739367</v>
      </c>
      <c r="F72" s="185">
        <f t="shared" si="27"/>
        <v>752298.35686833132</v>
      </c>
      <c r="G72" s="185">
        <f t="shared" si="27"/>
        <v>716548.93716335972</v>
      </c>
      <c r="H72" s="185"/>
      <c r="I72" s="182"/>
      <c r="J72" s="182"/>
    </row>
    <row r="73" spans="1:43" x14ac:dyDescent="0.15">
      <c r="B73" s="182" t="s">
        <v>1</v>
      </c>
      <c r="C73" s="184">
        <f>C69</f>
        <v>500322</v>
      </c>
      <c r="D73" s="184">
        <f t="shared" ref="D73:G73" si="28">D69</f>
        <v>500322</v>
      </c>
      <c r="E73" s="184">
        <f t="shared" si="28"/>
        <v>500322</v>
      </c>
      <c r="F73" s="184">
        <f t="shared" si="28"/>
        <v>500322</v>
      </c>
      <c r="G73" s="184">
        <f t="shared" si="28"/>
        <v>500322</v>
      </c>
      <c r="H73" s="184"/>
      <c r="I73" s="182"/>
      <c r="J73" s="182"/>
    </row>
    <row r="74" spans="1:43" x14ac:dyDescent="0.15">
      <c r="B74" s="183" t="s">
        <v>5</v>
      </c>
      <c r="C74" s="186">
        <f>C72+C73</f>
        <v>1552590.2375335658</v>
      </c>
      <c r="D74" s="186">
        <f t="shared" ref="D74:G74" si="29">D72+D73</f>
        <v>1387527.3685225206</v>
      </c>
      <c r="E74" s="186">
        <f t="shared" si="29"/>
        <v>1300475.8442739367</v>
      </c>
      <c r="F74" s="186">
        <f t="shared" si="29"/>
        <v>1252620.3568683313</v>
      </c>
      <c r="G74" s="186">
        <f t="shared" si="29"/>
        <v>1216870.9371633597</v>
      </c>
      <c r="H74" s="186"/>
      <c r="I74" s="182"/>
      <c r="J74" s="182"/>
    </row>
    <row r="75" spans="1:43" x14ac:dyDescent="0.15">
      <c r="B75" s="182" t="s">
        <v>7</v>
      </c>
      <c r="C75" s="187">
        <f>C40</f>
        <v>290033.72445126413</v>
      </c>
      <c r="D75" s="187">
        <f>D40</f>
        <v>298471.06916257361</v>
      </c>
      <c r="E75" s="187">
        <f>E40</f>
        <v>308022.14337577595</v>
      </c>
      <c r="F75" s="187">
        <f>F40</f>
        <v>318397.62610001263</v>
      </c>
      <c r="G75" s="187">
        <f>G40</f>
        <v>329472.32613827393</v>
      </c>
      <c r="H75" s="187"/>
      <c r="I75" s="182"/>
      <c r="J75" s="182"/>
    </row>
    <row r="76" spans="1:43" x14ac:dyDescent="0.15">
      <c r="B76" s="183" t="s">
        <v>6</v>
      </c>
      <c r="C76" s="186">
        <f>C74-C75</f>
        <v>1262556.5130823017</v>
      </c>
      <c r="D76" s="186">
        <f t="shared" ref="D76:G76" si="30">D74-D75</f>
        <v>1089056.299359947</v>
      </c>
      <c r="E76" s="186">
        <f t="shared" si="30"/>
        <v>992453.70089816069</v>
      </c>
      <c r="F76" s="186">
        <f t="shared" si="30"/>
        <v>934222.73076831875</v>
      </c>
      <c r="G76" s="186">
        <f t="shared" si="30"/>
        <v>887398.61102508579</v>
      </c>
      <c r="H76" s="186"/>
      <c r="I76" s="182"/>
      <c r="J76" s="182"/>
    </row>
    <row r="77" spans="1:43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43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43" s="194" customFormat="1" x14ac:dyDescent="0.15">
      <c r="A79" s="193"/>
      <c r="B79" s="183" t="s">
        <v>10</v>
      </c>
      <c r="C79" s="191">
        <f>C76</f>
        <v>1262556.5130823017</v>
      </c>
      <c r="D79" s="191">
        <f>D76</f>
        <v>1089056.299359947</v>
      </c>
      <c r="E79" s="191">
        <f>E76</f>
        <v>992453.70089816069</v>
      </c>
      <c r="F79" s="191">
        <f>F76</f>
        <v>934222.73076831875</v>
      </c>
      <c r="G79" s="191">
        <f>G76</f>
        <v>887398.61102508579</v>
      </c>
      <c r="H79" s="191"/>
      <c r="I79" s="192">
        <f>G79*(1+C83)/(C114-C113)</f>
        <v>4419538.2982945107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</row>
    <row r="80" spans="1:43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4" x14ac:dyDescent="0.15">
      <c r="B81" s="182" t="s">
        <v>37</v>
      </c>
      <c r="C81" s="195">
        <f>C79</f>
        <v>1262556.5130823017</v>
      </c>
      <c r="D81" s="195">
        <f t="shared" ref="D81:G81" si="31">D79</f>
        <v>1089056.299359947</v>
      </c>
      <c r="E81" s="195">
        <f t="shared" si="31"/>
        <v>992453.70089816069</v>
      </c>
      <c r="F81" s="195">
        <f t="shared" si="31"/>
        <v>934222.73076831875</v>
      </c>
      <c r="G81" s="195">
        <f t="shared" si="31"/>
        <v>887398.61102508579</v>
      </c>
      <c r="H81" s="195"/>
      <c r="I81" s="197"/>
      <c r="J81" s="197"/>
    </row>
    <row r="82" spans="2:14" x14ac:dyDescent="0.15">
      <c r="B82" s="182" t="s">
        <v>38</v>
      </c>
      <c r="C82" s="198"/>
      <c r="D82" s="197">
        <f>(D81/C81)-1</f>
        <v>-0.13741976056088423</v>
      </c>
      <c r="E82" s="197">
        <f t="shared" ref="E82:G82" si="32">(E81/D81)-1</f>
        <v>-8.8703034469899245E-2</v>
      </c>
      <c r="F82" s="197">
        <f t="shared" si="32"/>
        <v>-5.8673739719186435E-2</v>
      </c>
      <c r="G82" s="197">
        <f t="shared" si="32"/>
        <v>-5.0120938188609632E-2</v>
      </c>
      <c r="H82" s="197"/>
      <c r="I82" s="197"/>
      <c r="J82" s="197"/>
    </row>
    <row r="83" spans="2:14" x14ac:dyDescent="0.15">
      <c r="B83" s="183" t="s">
        <v>39</v>
      </c>
      <c r="C83" s="199">
        <f>AVERAGE(D82:G82)</f>
        <v>-8.3729368234644885E-2</v>
      </c>
      <c r="D83" s="195"/>
      <c r="E83" s="195"/>
      <c r="F83" s="195"/>
      <c r="G83" s="195"/>
      <c r="H83" s="195"/>
      <c r="I83" s="197"/>
      <c r="J83" s="197"/>
    </row>
    <row r="84" spans="2:14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4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4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  <c r="N86" s="200"/>
    </row>
    <row r="87" spans="2:14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  <c r="N87" s="200"/>
    </row>
    <row r="88" spans="2:14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  <c r="N88" s="200"/>
    </row>
    <row r="89" spans="2:14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  <c r="N89" s="200"/>
    </row>
    <row r="90" spans="2:14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  <c r="N90" s="200"/>
    </row>
    <row r="91" spans="2:14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  <c r="N91" s="200"/>
    </row>
    <row r="92" spans="2:14" x14ac:dyDescent="0.15">
      <c r="B92" s="183" t="s">
        <v>44</v>
      </c>
      <c r="C92" s="199">
        <v>0.25965169999999999</v>
      </c>
      <c r="D92" s="195"/>
      <c r="E92" s="195"/>
      <c r="F92" s="202">
        <f>K121</f>
        <v>0.50395066619534146</v>
      </c>
      <c r="G92" s="195" t="s">
        <v>55</v>
      </c>
      <c r="H92" s="195"/>
      <c r="I92" s="195"/>
      <c r="J92" s="195"/>
      <c r="K92" s="203"/>
      <c r="L92" s="200"/>
      <c r="M92" s="200"/>
      <c r="N92" s="200"/>
    </row>
    <row r="93" spans="2:14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0.49604933380465854</v>
      </c>
      <c r="G93" s="195" t="s">
        <v>57</v>
      </c>
      <c r="H93" s="195"/>
      <c r="I93" s="195"/>
      <c r="J93" s="195"/>
      <c r="K93" s="200"/>
      <c r="L93" s="200"/>
      <c r="M93" s="200"/>
      <c r="N93" s="200"/>
    </row>
    <row r="94" spans="2:14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  <c r="N94" s="200"/>
    </row>
    <row r="95" spans="2:14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  <c r="N95" s="200"/>
    </row>
    <row r="96" spans="2:14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  <c r="N96" s="200"/>
    </row>
    <row r="97" spans="2:14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  <c r="N97" s="200"/>
    </row>
    <row r="98" spans="2:14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  <c r="N98" s="200"/>
    </row>
    <row r="99" spans="2:14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  <c r="N99" s="200"/>
    </row>
    <row r="100" spans="2:14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  <c r="N100" s="200"/>
    </row>
    <row r="101" spans="2:14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  <c r="N101" s="200"/>
    </row>
    <row r="102" spans="2:14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  <c r="N102" s="200"/>
    </row>
    <row r="103" spans="2:14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  <c r="N103" s="200"/>
    </row>
    <row r="104" spans="2:14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  <c r="N104" s="200"/>
    </row>
    <row r="105" spans="2:14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  <c r="N105" s="200"/>
    </row>
    <row r="106" spans="2:14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  <c r="N106" s="200"/>
    </row>
    <row r="107" spans="2:14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  <c r="N107" s="200"/>
    </row>
    <row r="108" spans="2:14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  <c r="N108" s="200"/>
    </row>
    <row r="109" spans="2:14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  <c r="N109" s="200"/>
    </row>
    <row r="110" spans="2:14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  <c r="N110" s="200"/>
    </row>
    <row r="111" spans="2:14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  <c r="N111" s="200"/>
    </row>
    <row r="112" spans="2:14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  <c r="N112" s="200"/>
    </row>
    <row r="113" spans="2:12" x14ac:dyDescent="0.15">
      <c r="B113" s="182" t="s">
        <v>9</v>
      </c>
      <c r="C113" s="206">
        <f>C83</f>
        <v>-8.3729368234644885E-2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7395078.7226719838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7464266.7226719838</v>
      </c>
      <c r="D119" s="182"/>
      <c r="E119" s="183" t="s">
        <v>28</v>
      </c>
      <c r="F119" s="192">
        <f>F135-F126-F121</f>
        <v>4552605.7226719838</v>
      </c>
      <c r="G119" s="195">
        <f>C135-F135</f>
        <v>0</v>
      </c>
      <c r="H119" s="195"/>
      <c r="I119" s="182"/>
      <c r="J119" s="182"/>
      <c r="K119" s="209">
        <f>F119/F135</f>
        <v>0.49604933380465854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0.50395066619534146</v>
      </c>
      <c r="L121" s="180" t="s">
        <v>55</v>
      </c>
    </row>
    <row r="122" spans="2:12" x14ac:dyDescent="0.15">
      <c r="B122" s="182" t="s">
        <v>15</v>
      </c>
      <c r="C122" s="196">
        <f>C115</f>
        <v>7395078.7226719838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9177727.7226719838</v>
      </c>
      <c r="D135" s="182"/>
      <c r="E135" s="183" t="s">
        <v>30</v>
      </c>
      <c r="F135" s="191">
        <f>C135</f>
        <v>9177727.7226719838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16713966.722671984</v>
      </c>
      <c r="D154" s="182"/>
      <c r="E154" s="183" t="s">
        <v>28</v>
      </c>
      <c r="F154" s="191">
        <f>F119+F141</f>
        <v>7483305.7226719838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18589427.722671986</v>
      </c>
      <c r="D160" s="183"/>
      <c r="E160" s="183" t="s">
        <v>36</v>
      </c>
      <c r="F160" s="191">
        <f>F150+F135</f>
        <v>18589427.722671986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56F8-0064-7B4E-A6B7-4A3021EFAC7D}">
  <sheetPr>
    <pageSetUpPr fitToPage="1"/>
  </sheetPr>
  <dimension ref="A2:AT152"/>
  <sheetViews>
    <sheetView zoomScale="119" zoomScaleNormal="90" workbookViewId="0">
      <selection activeCell="H13" sqref="H13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325" t="s">
        <v>153</v>
      </c>
    </row>
    <row r="3" spans="1:32" ht="16" thickBot="1" x14ac:dyDescent="0.25">
      <c r="J3" s="314"/>
      <c r="K3" s="315"/>
      <c r="M3" s="314"/>
    </row>
    <row r="4" spans="1:32" ht="17" thickBot="1" x14ac:dyDescent="0.25">
      <c r="B4" s="119"/>
      <c r="C4" s="72" t="s">
        <v>80</v>
      </c>
      <c r="D4" s="20" t="s">
        <v>81</v>
      </c>
      <c r="E4" s="21" t="s">
        <v>82</v>
      </c>
      <c r="F4" s="25" t="s">
        <v>83</v>
      </c>
      <c r="G4" s="28" t="s">
        <v>108</v>
      </c>
      <c r="J4" s="314"/>
      <c r="K4" s="315"/>
      <c r="M4" s="1"/>
      <c r="N4" s="316"/>
    </row>
    <row r="5" spans="1:32" ht="18" thickBot="1" x14ac:dyDescent="0.3">
      <c r="B5" s="113"/>
      <c r="C5" s="117" t="s">
        <v>110</v>
      </c>
      <c r="D5" s="104" t="s">
        <v>111</v>
      </c>
      <c r="E5" s="104" t="s">
        <v>112</v>
      </c>
      <c r="F5" s="104" t="s">
        <v>113</v>
      </c>
      <c r="G5" s="116" t="s">
        <v>114</v>
      </c>
      <c r="I5" s="319" t="s">
        <v>91</v>
      </c>
      <c r="J5" s="86">
        <v>1</v>
      </c>
      <c r="K5" s="317"/>
      <c r="L5" s="4"/>
      <c r="M5" s="314"/>
      <c r="N5" s="318"/>
    </row>
    <row r="6" spans="1:32" ht="17" x14ac:dyDescent="0.25">
      <c r="B6" s="95" t="s">
        <v>96</v>
      </c>
      <c r="C6" s="118">
        <f>'Minimum Operator'!C41</f>
        <v>913877.49989999994</v>
      </c>
      <c r="D6" s="118">
        <f>'Minimum Operator'!D41</f>
        <v>880388.41299599968</v>
      </c>
      <c r="E6" s="118">
        <f>'Minimum Operator'!E41</f>
        <v>845869.19658935256</v>
      </c>
      <c r="F6" s="118">
        <f>'Minimum Operator'!F41</f>
        <v>820617.34711280151</v>
      </c>
      <c r="G6" s="118">
        <f>'Minimum Operator'!G41</f>
        <v>788593.32328556362</v>
      </c>
      <c r="I6" s="320" t="s">
        <v>92</v>
      </c>
      <c r="J6" s="18">
        <v>2</v>
      </c>
      <c r="K6" s="87"/>
      <c r="L6" s="5"/>
      <c r="M6" s="5"/>
      <c r="N6" s="318"/>
    </row>
    <row r="7" spans="1:32" s="4" customFormat="1" ht="17" x14ac:dyDescent="0.25">
      <c r="B7" s="96" t="s">
        <v>88</v>
      </c>
      <c r="C7" s="118">
        <f>'Maximum Operator'!C41</f>
        <v>1318076.0602500001</v>
      </c>
      <c r="D7" s="118">
        <f>'Maximum Operator'!D41</f>
        <v>1436587.5458639995</v>
      </c>
      <c r="E7" s="118">
        <f>'Maximum Operator'!E41</f>
        <v>1499351.6164184399</v>
      </c>
      <c r="F7" s="118">
        <f>'Maximum Operator'!F41</f>
        <v>1563860.836222874</v>
      </c>
      <c r="G7" s="93">
        <f>'Maximum Operator'!G41</f>
        <v>1666695.1927927528</v>
      </c>
      <c r="I7" s="320" t="s">
        <v>93</v>
      </c>
      <c r="J7" s="18">
        <v>3</v>
      </c>
      <c r="K7" s="87"/>
      <c r="L7" s="5"/>
      <c r="M7" s="5"/>
      <c r="N7" s="318"/>
    </row>
    <row r="8" spans="1:32" s="5" customFormat="1" ht="17" x14ac:dyDescent="0.25">
      <c r="B8" s="95" t="s">
        <v>140</v>
      </c>
      <c r="C8" s="118">
        <f>1/EXP((J5-1)*(ABS(C6-C7)/C6))</f>
        <v>1</v>
      </c>
      <c r="D8" s="118">
        <f>1/EXP((J6-1)*(ABS(D6-D7)/D6))</f>
        <v>0.53165227515793134</v>
      </c>
      <c r="E8" s="118">
        <f>1/EXP((J7-1)*((ABS(E6-E7)/E6)))</f>
        <v>0.21328742851595214</v>
      </c>
      <c r="F8" s="118">
        <f>1/EXP((J8-1)*((ABS(F6-F7)/F6)))</f>
        <v>6.6063566875678617E-2</v>
      </c>
      <c r="G8" s="118">
        <f>1/EXP((J9-1)*((ABS(G6-G7)/G6)))</f>
        <v>1.1631756967283921E-2</v>
      </c>
      <c r="I8" s="320" t="s">
        <v>94</v>
      </c>
      <c r="J8" s="18">
        <v>4</v>
      </c>
    </row>
    <row r="9" spans="1:32" s="4" customFormat="1" ht="18" thickBot="1" x14ac:dyDescent="0.3">
      <c r="B9" s="97" t="s">
        <v>89</v>
      </c>
      <c r="C9" s="120">
        <f>C7*C8+(1-C8)*C6</f>
        <v>1318076.0602500001</v>
      </c>
      <c r="D9" s="120">
        <f>D7*D8+(1-D8)*D6</f>
        <v>1176092.9474261403</v>
      </c>
      <c r="E9" s="120">
        <f>E7*E8+(1-E8)*E6</f>
        <v>985248.78149508045</v>
      </c>
      <c r="F9" s="120">
        <f>F7*F8+(1-F8)*F6</f>
        <v>869718.66306053754</v>
      </c>
      <c r="G9" s="121">
        <f>G7*G8+(1-G8)*G6</f>
        <v>798807.19082418899</v>
      </c>
      <c r="I9" s="321" t="s">
        <v>95</v>
      </c>
      <c r="J9" s="88">
        <v>5</v>
      </c>
      <c r="P9" s="92"/>
      <c r="Q9" s="353"/>
      <c r="R9" s="353"/>
      <c r="S9" s="353"/>
      <c r="T9" s="353"/>
      <c r="U9" s="353"/>
      <c r="V9" s="353"/>
      <c r="W9" s="353"/>
      <c r="X9" s="353"/>
      <c r="Y9" s="353"/>
    </row>
    <row r="10" spans="1:32" s="4" customFormat="1" ht="16" x14ac:dyDescent="0.2">
      <c r="Q10" s="26"/>
      <c r="R10" s="26"/>
      <c r="S10" s="29"/>
      <c r="T10" s="26"/>
      <c r="U10" s="26"/>
      <c r="V10" s="29"/>
      <c r="W10" s="26"/>
      <c r="X10" s="26"/>
      <c r="Y10" s="29"/>
    </row>
    <row r="11" spans="1:32" s="24" customFormat="1" ht="16" x14ac:dyDescent="0.2">
      <c r="A11" s="4"/>
      <c r="B11" s="276" t="s">
        <v>139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1"/>
      <c r="Q11" s="322"/>
      <c r="R11" s="322"/>
      <c r="S11" s="31"/>
      <c r="T11" s="322"/>
      <c r="U11" s="322"/>
      <c r="V11" s="31"/>
      <c r="W11" s="322"/>
      <c r="X11" s="34"/>
      <c r="Y11" s="31"/>
      <c r="Z11" s="4"/>
      <c r="AA11" s="4"/>
      <c r="AB11" s="4"/>
      <c r="AC11" s="4"/>
      <c r="AD11" s="4"/>
      <c r="AE11" s="4"/>
      <c r="AF11" s="4"/>
    </row>
    <row r="12" spans="1:32" s="4" customFormat="1" ht="17" thickBot="1" x14ac:dyDescent="0.25">
      <c r="I12" s="19"/>
      <c r="P12" s="31"/>
      <c r="Q12" s="30"/>
      <c r="R12" s="30"/>
      <c r="S12" s="31"/>
      <c r="T12" s="30"/>
      <c r="U12" s="30"/>
      <c r="V12" s="31"/>
      <c r="W12" s="30"/>
      <c r="X12" s="34"/>
      <c r="Y12" s="87"/>
    </row>
    <row r="13" spans="1:32" s="4" customFormat="1" ht="17" thickBot="1" x14ac:dyDescent="0.25">
      <c r="B13" s="80"/>
      <c r="C13" s="166" t="s">
        <v>80</v>
      </c>
      <c r="D13" s="167" t="s">
        <v>81</v>
      </c>
      <c r="E13" s="124" t="s">
        <v>82</v>
      </c>
      <c r="F13" s="168" t="s">
        <v>83</v>
      </c>
      <c r="G13" s="179" t="s">
        <v>108</v>
      </c>
      <c r="H13" s="215" t="s">
        <v>155</v>
      </c>
      <c r="P13" s="31"/>
      <c r="Q13" s="30"/>
      <c r="R13" s="30"/>
      <c r="S13" s="31"/>
      <c r="T13" s="30"/>
      <c r="U13" s="30"/>
      <c r="V13" s="31"/>
      <c r="W13" s="30"/>
      <c r="X13" s="34"/>
      <c r="Y13" s="87"/>
    </row>
    <row r="14" spans="1:32" s="4" customFormat="1" ht="17" thickBot="1" x14ac:dyDescent="0.25">
      <c r="B14" s="84" t="s">
        <v>154</v>
      </c>
      <c r="C14" s="83">
        <f>C9</f>
        <v>1318076.0602500001</v>
      </c>
      <c r="D14" s="81">
        <f>D9</f>
        <v>1176092.9474261403</v>
      </c>
      <c r="E14" s="81">
        <f>E9</f>
        <v>985248.78149508045</v>
      </c>
      <c r="F14" s="81">
        <f>F9</f>
        <v>869718.66306053754</v>
      </c>
      <c r="G14" s="82">
        <f>G9</f>
        <v>798807.19082418899</v>
      </c>
      <c r="H14" s="222">
        <f>G14*(1+C18)/(C17-C18)</f>
        <v>16295666.692813454</v>
      </c>
      <c r="P14" s="31"/>
      <c r="Q14" s="30"/>
      <c r="R14" s="30"/>
      <c r="S14" s="31"/>
      <c r="T14" s="30"/>
      <c r="U14" s="30"/>
      <c r="V14" s="31"/>
      <c r="W14" s="30"/>
      <c r="X14" s="34"/>
      <c r="Y14" s="87"/>
    </row>
    <row r="15" spans="1:32" s="4" customFormat="1" ht="17" thickBot="1" x14ac:dyDescent="0.25">
      <c r="B15" s="73"/>
      <c r="C15" s="68"/>
      <c r="D15" s="68"/>
      <c r="E15" s="68"/>
      <c r="F15" s="68"/>
      <c r="G15" s="68"/>
      <c r="P15" s="31"/>
      <c r="Q15" s="30"/>
      <c r="R15" s="30"/>
      <c r="S15" s="31"/>
      <c r="T15" s="30"/>
      <c r="U15" s="30"/>
      <c r="V15" s="31"/>
      <c r="W15" s="30"/>
      <c r="X15" s="34"/>
      <c r="Y15" s="87"/>
    </row>
    <row r="16" spans="1:32" s="24" customFormat="1" ht="16" x14ac:dyDescent="0.2">
      <c r="A16" s="4"/>
      <c r="B16" s="279" t="s">
        <v>136</v>
      </c>
      <c r="C16" s="220">
        <v>14921222</v>
      </c>
      <c r="D16" s="78"/>
      <c r="E16" s="78"/>
      <c r="F16" s="78"/>
      <c r="G16" s="78"/>
      <c r="H16" s="4"/>
      <c r="I16" s="4"/>
      <c r="J16" s="4"/>
      <c r="K16" s="4"/>
      <c r="L16" s="4"/>
      <c r="M16" s="4"/>
      <c r="N16" s="4"/>
      <c r="O16" s="4"/>
      <c r="P16" s="31"/>
      <c r="Q16" s="30"/>
      <c r="R16" s="30"/>
      <c r="S16" s="31"/>
      <c r="T16" s="30"/>
      <c r="U16" s="30"/>
      <c r="V16" s="31"/>
      <c r="W16" s="30"/>
      <c r="X16" s="34"/>
      <c r="Y16" s="31"/>
      <c r="Z16" s="4"/>
      <c r="AA16" s="4"/>
      <c r="AB16" s="4"/>
      <c r="AC16" s="4"/>
      <c r="AD16" s="4"/>
      <c r="AE16" s="4"/>
      <c r="AF16" s="4"/>
    </row>
    <row r="17" spans="1:32" s="7" customFormat="1" ht="16" x14ac:dyDescent="0.2">
      <c r="B17" s="281" t="s">
        <v>135</v>
      </c>
      <c r="C17" s="323">
        <v>7.0000000000000007E-2</v>
      </c>
      <c r="D17" s="74"/>
      <c r="E17" s="74"/>
      <c r="F17" s="74"/>
      <c r="G17" s="74"/>
      <c r="H17" s="85"/>
      <c r="I17" s="85"/>
      <c r="P17" s="33"/>
      <c r="Q17" s="32"/>
      <c r="R17" s="32"/>
      <c r="S17" s="33"/>
      <c r="T17" s="32"/>
      <c r="U17" s="32"/>
      <c r="V17" s="33"/>
      <c r="W17" s="32"/>
      <c r="X17" s="35"/>
      <c r="Y17" s="99"/>
    </row>
    <row r="18" spans="1:32" s="4" customFormat="1" ht="17" thickBot="1" x14ac:dyDescent="0.25">
      <c r="B18" s="283" t="s">
        <v>137</v>
      </c>
      <c r="C18" s="324">
        <v>0.02</v>
      </c>
      <c r="D18" s="5"/>
      <c r="E18" s="5"/>
      <c r="F18" s="5"/>
      <c r="G18" s="5"/>
      <c r="H18"/>
      <c r="P18" s="31"/>
      <c r="Q18" s="30"/>
      <c r="R18" s="30"/>
      <c r="S18" s="31"/>
      <c r="T18" s="30"/>
      <c r="U18" s="30"/>
      <c r="V18" s="31"/>
      <c r="W18" s="30"/>
      <c r="X18" s="34"/>
      <c r="Y18" s="87"/>
    </row>
    <row r="19" spans="1:32" s="4" customFormat="1" ht="17" thickBot="1" x14ac:dyDescent="0.25">
      <c r="B19" s="180"/>
      <c r="C19" s="181"/>
      <c r="D19" s="77"/>
      <c r="E19" s="77"/>
      <c r="F19" s="77"/>
      <c r="G19" s="77"/>
      <c r="H19"/>
      <c r="K19" s="30"/>
      <c r="L19" s="30"/>
      <c r="M19" s="31"/>
      <c r="N19" s="30"/>
      <c r="O19" s="30"/>
      <c r="P19" s="31"/>
      <c r="Q19" s="30"/>
      <c r="R19" s="30"/>
      <c r="S19" s="31"/>
      <c r="T19" s="30"/>
      <c r="U19" s="30"/>
      <c r="V19" s="31"/>
      <c r="W19" s="30"/>
      <c r="X19" s="34"/>
      <c r="Y19" s="87"/>
    </row>
    <row r="20" spans="1:32" s="4" customFormat="1" ht="20" thickBot="1" x14ac:dyDescent="0.3">
      <c r="B20" s="327" t="s">
        <v>97</v>
      </c>
      <c r="C20" s="326">
        <f>NPV(C17,C14:G14)-C16+H14/((1+C17)^5)</f>
        <v>993754.2306104973</v>
      </c>
      <c r="K20" s="30"/>
      <c r="L20" s="30"/>
      <c r="M20" s="31"/>
      <c r="N20" s="30"/>
      <c r="O20" s="30"/>
      <c r="P20" s="31"/>
      <c r="Q20" s="30"/>
      <c r="R20" s="30"/>
      <c r="S20" s="31"/>
      <c r="T20" s="30"/>
      <c r="U20" s="30"/>
      <c r="V20" s="31"/>
      <c r="W20" s="30"/>
      <c r="X20" s="34"/>
      <c r="Y20" s="87"/>
    </row>
    <row r="21" spans="1:32" s="4" customFormat="1" ht="16" x14ac:dyDescent="0.2">
      <c r="K21" s="30"/>
      <c r="L21" s="30"/>
      <c r="M21" s="30"/>
      <c r="N21" s="30"/>
      <c r="O21" s="30"/>
      <c r="P21" s="31"/>
      <c r="Q21" s="30"/>
      <c r="R21" s="30"/>
      <c r="S21" s="31"/>
      <c r="T21" s="30"/>
      <c r="U21" s="30"/>
      <c r="V21" s="31"/>
      <c r="W21" s="30"/>
      <c r="X21" s="34"/>
      <c r="Y21" s="87"/>
    </row>
    <row r="22" spans="1:32" s="4" customFormat="1" ht="16" x14ac:dyDescent="0.2">
      <c r="B22"/>
      <c r="C22"/>
      <c r="D22"/>
      <c r="E22"/>
      <c r="F22"/>
      <c r="G22"/>
      <c r="K22" s="30"/>
      <c r="L22" s="30"/>
      <c r="M22" s="31"/>
      <c r="N22" s="30"/>
      <c r="O22" s="30"/>
      <c r="P22" s="31"/>
      <c r="Q22" s="30"/>
      <c r="R22" s="30"/>
      <c r="S22" s="31"/>
      <c r="T22" s="30"/>
      <c r="U22" s="30"/>
      <c r="V22" s="31"/>
      <c r="W22" s="30"/>
      <c r="X22" s="34"/>
      <c r="Y22" s="87"/>
    </row>
    <row r="23" spans="1:32" s="4" customFormat="1" ht="16" x14ac:dyDescent="0.2">
      <c r="D23"/>
      <c r="E23"/>
      <c r="F23"/>
      <c r="G23"/>
      <c r="H23" s="5"/>
      <c r="K23" s="30"/>
      <c r="L23" s="32"/>
      <c r="M23" s="33"/>
      <c r="N23" s="32"/>
      <c r="O23" s="32"/>
      <c r="P23" s="31"/>
      <c r="Q23" s="30"/>
      <c r="R23" s="30"/>
      <c r="S23" s="31"/>
      <c r="T23" s="30"/>
      <c r="U23" s="30"/>
      <c r="V23" s="31"/>
      <c r="W23" s="30"/>
      <c r="X23" s="34"/>
      <c r="Y23" s="87"/>
    </row>
    <row r="24" spans="1:32" s="4" customFormat="1" ht="16" x14ac:dyDescent="0.2">
      <c r="K24" s="98"/>
      <c r="L24" s="30"/>
      <c r="M24" s="31"/>
      <c r="N24" s="30"/>
      <c r="O24" s="30"/>
      <c r="P24" s="31"/>
      <c r="Q24" s="30"/>
      <c r="R24" s="30"/>
      <c r="S24" s="31"/>
      <c r="T24" s="30"/>
      <c r="U24" s="30"/>
      <c r="V24" s="31"/>
      <c r="W24" s="30"/>
      <c r="X24" s="34"/>
      <c r="Y24" s="87"/>
    </row>
    <row r="25" spans="1:32" s="24" customFormat="1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90"/>
      <c r="L25" s="90"/>
      <c r="M25" s="89"/>
      <c r="N25" s="90"/>
      <c r="O25" s="90"/>
      <c r="P25" s="89"/>
      <c r="Q25" s="90"/>
      <c r="R25" s="90"/>
      <c r="S25" s="89"/>
      <c r="T25" s="90"/>
      <c r="U25" s="90"/>
      <c r="V25" s="89"/>
      <c r="W25" s="90"/>
      <c r="X25" s="91"/>
      <c r="Y25" s="89"/>
      <c r="Z25" s="4"/>
      <c r="AA25" s="4"/>
      <c r="AB25" s="4"/>
      <c r="AC25" s="4"/>
      <c r="AD25" s="4"/>
      <c r="AE25" s="4"/>
      <c r="AF25" s="4"/>
    </row>
    <row r="26" spans="1:32" s="4" customFormat="1" ht="16" x14ac:dyDescent="0.2">
      <c r="K26" s="30"/>
      <c r="L26" s="30"/>
      <c r="M26" s="31"/>
      <c r="N26" s="30"/>
      <c r="O26" s="30"/>
      <c r="P26" s="31"/>
      <c r="Q26" s="30"/>
      <c r="R26" s="30"/>
      <c r="S26" s="31"/>
      <c r="T26" s="30"/>
      <c r="U26" s="30"/>
      <c r="V26" s="31"/>
      <c r="W26" s="30"/>
      <c r="X26" s="34"/>
      <c r="Y26" s="87"/>
    </row>
    <row r="27" spans="1:32" s="24" customFormat="1" ht="16" x14ac:dyDescent="0.15">
      <c r="A27" s="4"/>
      <c r="B27" s="4"/>
      <c r="C27" s="4"/>
      <c r="D27" s="4"/>
      <c r="E27" s="4"/>
      <c r="F27" s="4"/>
      <c r="G27" s="4"/>
      <c r="H27" s="19"/>
      <c r="I27" s="4"/>
      <c r="J27" s="4"/>
      <c r="K27" s="90"/>
      <c r="L27" s="90"/>
      <c r="M27" s="89"/>
      <c r="N27" s="90"/>
      <c r="O27" s="90"/>
      <c r="P27" s="89"/>
      <c r="Q27" s="90"/>
      <c r="R27" s="90"/>
      <c r="S27" s="89"/>
      <c r="T27" s="90"/>
      <c r="U27" s="90"/>
      <c r="V27" s="89"/>
      <c r="W27" s="90"/>
      <c r="X27" s="90"/>
      <c r="Y27" s="89"/>
      <c r="Z27" s="4"/>
      <c r="AA27" s="4"/>
      <c r="AB27" s="4"/>
      <c r="AC27" s="4"/>
      <c r="AD27" s="4"/>
      <c r="AE27" s="4"/>
      <c r="AF27" s="4"/>
    </row>
    <row r="28" spans="1:32" s="4" customFormat="1" ht="23.25" hidden="1" customHeight="1" x14ac:dyDescent="0.2">
      <c r="B28" s="73"/>
      <c r="C28" s="67"/>
      <c r="D28" s="67"/>
      <c r="E28" s="67"/>
      <c r="F28" s="67"/>
      <c r="G28" s="67"/>
      <c r="K28" s="90"/>
      <c r="L28" s="90"/>
      <c r="M28" s="89"/>
      <c r="N28" s="90"/>
      <c r="O28" s="90"/>
      <c r="P28" s="89"/>
      <c r="Q28" s="90"/>
      <c r="R28" s="90"/>
      <c r="S28" s="89"/>
      <c r="T28" s="90"/>
      <c r="U28" s="90"/>
      <c r="V28" s="89"/>
      <c r="W28" s="90"/>
      <c r="X28" s="90"/>
      <c r="Y28" s="100"/>
    </row>
    <row r="29" spans="1:32" s="4" customFormat="1" ht="16" x14ac:dyDescent="0.2">
      <c r="B29" s="73"/>
      <c r="C29" s="69"/>
      <c r="D29" s="69"/>
      <c r="E29" s="69"/>
      <c r="F29" s="69"/>
      <c r="G29" s="69"/>
      <c r="K29" s="90"/>
      <c r="L29" s="90"/>
      <c r="M29" s="89"/>
      <c r="N29" s="90"/>
      <c r="O29" s="90"/>
      <c r="P29" s="89"/>
      <c r="Q29" s="90"/>
      <c r="R29" s="90"/>
      <c r="S29" s="89"/>
      <c r="T29" s="90"/>
      <c r="U29" s="90"/>
      <c r="V29" s="89"/>
      <c r="W29" s="90"/>
      <c r="X29" s="90"/>
      <c r="Y29" s="100"/>
    </row>
    <row r="30" spans="1:32" s="24" customFormat="1" ht="16" x14ac:dyDescent="0.2">
      <c r="A30" s="4"/>
      <c r="B30" s="73"/>
      <c r="C30" s="79"/>
      <c r="D30" s="79"/>
      <c r="E30" s="79"/>
      <c r="F30" s="79"/>
      <c r="G30" s="79"/>
      <c r="H30" s="4"/>
      <c r="I30" s="4"/>
      <c r="J30" s="4"/>
      <c r="K30" s="90"/>
      <c r="L30" s="90"/>
      <c r="M30" s="89"/>
      <c r="N30" s="90"/>
      <c r="O30" s="90"/>
      <c r="P30" s="89"/>
      <c r="Q30" s="90"/>
      <c r="R30" s="90"/>
      <c r="S30" s="89"/>
      <c r="T30" s="90"/>
      <c r="U30" s="90"/>
      <c r="V30" s="89"/>
      <c r="W30" s="90"/>
      <c r="X30" s="90"/>
      <c r="Y30" s="89"/>
      <c r="Z30" s="4"/>
      <c r="AA30" s="4"/>
      <c r="AB30" s="4"/>
      <c r="AC30" s="4"/>
      <c r="AD30" s="4"/>
      <c r="AE30" s="4"/>
      <c r="AF30" s="4"/>
    </row>
    <row r="31" spans="1:32" s="4" customFormat="1" ht="16" x14ac:dyDescent="0.2">
      <c r="B31" s="8"/>
      <c r="D31" s="9"/>
      <c r="E31" s="9"/>
      <c r="F31" s="9"/>
      <c r="G31" s="9"/>
      <c r="H31" s="9"/>
      <c r="I31" s="9"/>
      <c r="J31" s="9"/>
      <c r="K31" s="9"/>
      <c r="L31" s="9"/>
      <c r="M31" s="9"/>
      <c r="X31" s="26"/>
    </row>
    <row r="32" spans="1:32" s="4" customFormat="1" ht="19" x14ac:dyDescent="0.25">
      <c r="B32" s="37"/>
      <c r="C32" s="6"/>
      <c r="X32" s="26"/>
    </row>
    <row r="33" spans="2:24" s="4" customFormat="1" ht="16" x14ac:dyDescent="0.2">
      <c r="B33" s="10"/>
      <c r="C33" s="6"/>
      <c r="X33" s="26"/>
    </row>
    <row r="34" spans="2:24" s="4" customFormat="1" ht="16" x14ac:dyDescent="0.2">
      <c r="B34" s="61"/>
      <c r="C34" s="77"/>
      <c r="D34" s="77"/>
      <c r="E34" s="77"/>
      <c r="F34" s="77"/>
      <c r="G34" s="77"/>
      <c r="X34" s="26"/>
    </row>
    <row r="35" spans="2:24" s="4" customFormat="1" ht="16" x14ac:dyDescent="0.2">
      <c r="B35" s="75"/>
      <c r="C35" s="68"/>
      <c r="D35" s="68"/>
      <c r="E35" s="68"/>
      <c r="F35" s="68"/>
      <c r="G35" s="68"/>
      <c r="H35" s="6"/>
      <c r="I35" s="6"/>
      <c r="J35" s="6"/>
      <c r="X35" s="26"/>
    </row>
    <row r="36" spans="2:24" s="4" customFormat="1" ht="16" x14ac:dyDescent="0.2">
      <c r="B36" s="75"/>
      <c r="C36" s="68"/>
      <c r="D36" s="68"/>
      <c r="E36" s="68"/>
      <c r="F36" s="68"/>
      <c r="G36" s="68"/>
      <c r="H36" s="6"/>
      <c r="I36" s="6"/>
      <c r="J36" s="6"/>
      <c r="X36" s="26"/>
    </row>
    <row r="37" spans="2:24" s="4" customFormat="1" ht="16" x14ac:dyDescent="0.2">
      <c r="B37" s="76"/>
      <c r="C37" s="68"/>
      <c r="D37" s="68"/>
      <c r="E37" s="68"/>
      <c r="F37" s="68"/>
      <c r="G37" s="68"/>
      <c r="H37" s="6"/>
      <c r="I37" s="6"/>
      <c r="J37" s="6"/>
      <c r="X37" s="26"/>
    </row>
    <row r="38" spans="2:24" s="4" customFormat="1" ht="16" x14ac:dyDescent="0.2">
      <c r="B38" s="75"/>
      <c r="C38" s="68"/>
      <c r="D38" s="68"/>
      <c r="E38" s="68"/>
      <c r="F38" s="68"/>
      <c r="G38" s="68"/>
      <c r="H38" s="6"/>
      <c r="I38" s="6"/>
      <c r="J38" s="6"/>
      <c r="X38" s="26"/>
    </row>
    <row r="39" spans="2:24" s="4" customFormat="1" ht="16" x14ac:dyDescent="0.2">
      <c r="B39" s="76"/>
      <c r="C39" s="68"/>
      <c r="D39" s="68"/>
      <c r="E39" s="68"/>
      <c r="F39" s="68"/>
      <c r="G39" s="68"/>
      <c r="H39" s="6"/>
      <c r="I39" s="6"/>
      <c r="J39" s="6"/>
      <c r="X39" s="26"/>
    </row>
    <row r="40" spans="2:24" s="4" customFormat="1" ht="16" x14ac:dyDescent="0.2">
      <c r="B40" s="75"/>
      <c r="C40" s="68"/>
      <c r="D40" s="68"/>
      <c r="E40" s="68"/>
      <c r="F40" s="68"/>
      <c r="G40" s="68"/>
      <c r="H40" s="6"/>
      <c r="I40" s="6"/>
      <c r="J40" s="6"/>
      <c r="X40" s="26"/>
    </row>
    <row r="41" spans="2:24" s="4" customFormat="1" ht="16" x14ac:dyDescent="0.2">
      <c r="B41" s="76"/>
      <c r="C41" s="68"/>
      <c r="D41" s="68"/>
      <c r="E41" s="68"/>
      <c r="F41" s="68"/>
      <c r="G41" s="68"/>
      <c r="H41" s="6"/>
      <c r="I41" s="6"/>
      <c r="J41" s="6"/>
      <c r="X41" s="26"/>
    </row>
    <row r="42" spans="2:24" s="4" customFormat="1" ht="16" x14ac:dyDescent="0.2">
      <c r="B42" s="75"/>
      <c r="C42" s="68"/>
      <c r="D42" s="68"/>
      <c r="E42" s="68"/>
      <c r="F42" s="68"/>
      <c r="G42" s="68"/>
      <c r="H42" s="6"/>
      <c r="I42" s="6"/>
      <c r="J42" s="6"/>
      <c r="X42" s="26"/>
    </row>
    <row r="43" spans="2:24" s="4" customFormat="1" ht="16" x14ac:dyDescent="0.2">
      <c r="B43" s="76"/>
      <c r="C43" s="68"/>
      <c r="D43" s="68"/>
      <c r="E43" s="68"/>
      <c r="F43" s="68"/>
      <c r="G43" s="68"/>
      <c r="H43" s="6"/>
      <c r="I43" s="6"/>
      <c r="J43" s="6"/>
      <c r="X43" s="26"/>
    </row>
    <row r="44" spans="2:24" s="4" customFormat="1" ht="16" x14ac:dyDescent="0.2">
      <c r="B44" s="11"/>
      <c r="C44" s="12"/>
      <c r="D44" s="12"/>
      <c r="E44" s="12"/>
      <c r="F44" s="12"/>
      <c r="G44" s="12"/>
      <c r="H44" s="6"/>
      <c r="I44" s="6"/>
      <c r="J44" s="6"/>
      <c r="X44" s="26"/>
    </row>
    <row r="45" spans="2:24" s="4" customFormat="1" ht="19" x14ac:dyDescent="0.25">
      <c r="B45" s="37"/>
      <c r="C45" s="12"/>
      <c r="D45" s="12"/>
      <c r="E45" s="12"/>
      <c r="F45" s="12"/>
      <c r="G45" s="12"/>
      <c r="H45" s="6"/>
      <c r="I45" s="6"/>
      <c r="J45" s="6"/>
      <c r="X45" s="26"/>
    </row>
    <row r="46" spans="2:24" s="4" customFormat="1" ht="19" x14ac:dyDescent="0.25">
      <c r="B46" s="37"/>
      <c r="C46" s="12"/>
      <c r="D46" s="12"/>
      <c r="E46" s="12"/>
      <c r="F46" s="12"/>
      <c r="G46" s="12"/>
      <c r="H46" s="6"/>
      <c r="I46" s="6"/>
      <c r="J46" s="6"/>
      <c r="X46" s="26"/>
    </row>
    <row r="47" spans="2:24" s="4" customFormat="1" ht="16" x14ac:dyDescent="0.2">
      <c r="B47" s="61"/>
      <c r="H47" s="6"/>
      <c r="I47" s="6"/>
      <c r="J47" s="6"/>
      <c r="X47" s="26"/>
    </row>
    <row r="48" spans="2:24" s="4" customFormat="1" ht="16" x14ac:dyDescent="0.2">
      <c r="B48" s="61"/>
      <c r="C48" s="62"/>
      <c r="D48" s="62"/>
      <c r="E48" s="62"/>
      <c r="F48" s="62"/>
      <c r="G48" s="62"/>
      <c r="H48" s="6"/>
      <c r="I48" s="6"/>
      <c r="J48" s="6"/>
      <c r="X48" s="26"/>
    </row>
    <row r="49" spans="2:24" s="4" customFormat="1" ht="16" x14ac:dyDescent="0.2">
      <c r="B49" s="8"/>
      <c r="C49" s="62"/>
      <c r="D49" s="62"/>
      <c r="E49" s="62"/>
      <c r="F49" s="62"/>
      <c r="G49" s="62"/>
      <c r="H49" s="6"/>
      <c r="I49" s="6"/>
      <c r="J49" s="6"/>
      <c r="X49" s="26"/>
    </row>
    <row r="50" spans="2:24" s="4" customFormat="1" ht="16" x14ac:dyDescent="0.2">
      <c r="B50" s="61"/>
      <c r="C50" s="62"/>
      <c r="D50" s="62"/>
      <c r="E50" s="62"/>
      <c r="F50" s="62"/>
      <c r="G50" s="62"/>
      <c r="H50" s="6"/>
      <c r="I50" s="6"/>
      <c r="J50" s="6"/>
      <c r="X50" s="26"/>
    </row>
    <row r="51" spans="2:24" s="4" customFormat="1" ht="16" x14ac:dyDescent="0.2">
      <c r="B51" s="8"/>
      <c r="C51" s="62"/>
      <c r="D51" s="62"/>
      <c r="E51" s="62"/>
      <c r="F51" s="62"/>
      <c r="G51" s="62"/>
      <c r="H51" s="6"/>
      <c r="I51" s="6"/>
      <c r="J51" s="6"/>
      <c r="K51" s="13"/>
      <c r="L51" s="13"/>
      <c r="M51" s="13"/>
      <c r="X51" s="26"/>
    </row>
    <row r="52" spans="2:24" s="4" customFormat="1" ht="16" x14ac:dyDescent="0.2">
      <c r="B52" s="8"/>
      <c r="C52" s="62"/>
      <c r="D52" s="62"/>
      <c r="E52" s="62"/>
      <c r="F52" s="62"/>
      <c r="G52" s="62"/>
      <c r="H52" s="6"/>
      <c r="I52" s="6"/>
      <c r="J52" s="6"/>
      <c r="X52" s="26"/>
    </row>
    <row r="53" spans="2:24" s="4" customFormat="1" ht="16" x14ac:dyDescent="0.2">
      <c r="H53" s="14"/>
      <c r="I53" s="14"/>
      <c r="J53" s="14"/>
      <c r="X53" s="26"/>
    </row>
    <row r="54" spans="2:24" ht="16" x14ac:dyDescent="0.2">
      <c r="X54" s="27"/>
    </row>
    <row r="55" spans="2:24" ht="16" x14ac:dyDescent="0.2">
      <c r="X55" s="27"/>
    </row>
    <row r="56" spans="2:24" ht="16" x14ac:dyDescent="0.2">
      <c r="C56" s="38"/>
      <c r="X56" s="27"/>
    </row>
    <row r="57" spans="2:24" ht="16" x14ac:dyDescent="0.2">
      <c r="C57" s="1"/>
      <c r="X57" s="27"/>
    </row>
    <row r="58" spans="2:24" ht="16" x14ac:dyDescent="0.2">
      <c r="C58" s="40"/>
      <c r="D58" s="40"/>
      <c r="E58" s="40"/>
      <c r="F58" s="40"/>
      <c r="G58" s="40"/>
      <c r="X58" s="27"/>
    </row>
    <row r="59" spans="2:24" ht="16" x14ac:dyDescent="0.2">
      <c r="C59" s="41"/>
      <c r="D59" s="41"/>
      <c r="E59" s="41"/>
      <c r="F59" s="41"/>
      <c r="G59" s="41"/>
      <c r="X59" s="27"/>
    </row>
    <row r="60" spans="2:24" ht="16" x14ac:dyDescent="0.2">
      <c r="B60" s="1"/>
      <c r="C60" s="42"/>
      <c r="D60" s="42"/>
      <c r="E60" s="42"/>
      <c r="F60" s="42"/>
      <c r="G60" s="42"/>
      <c r="X60" s="27"/>
    </row>
    <row r="61" spans="2:24" ht="16" x14ac:dyDescent="0.2">
      <c r="C61" s="41"/>
      <c r="D61" s="41"/>
      <c r="E61" s="41"/>
      <c r="F61" s="41"/>
      <c r="G61" s="41"/>
      <c r="X61" s="27"/>
    </row>
    <row r="62" spans="2:24" ht="16" x14ac:dyDescent="0.2">
      <c r="B62" s="1"/>
      <c r="C62" s="42"/>
      <c r="D62" s="42"/>
      <c r="E62" s="42"/>
      <c r="F62" s="42"/>
      <c r="G62" s="42"/>
      <c r="X62" s="27"/>
    </row>
    <row r="63" spans="2:24" ht="16" x14ac:dyDescent="0.2">
      <c r="C63" s="41"/>
      <c r="D63" s="41"/>
      <c r="E63" s="41"/>
      <c r="F63" s="41"/>
      <c r="G63" s="41"/>
      <c r="X63" s="27"/>
    </row>
    <row r="64" spans="2:24" ht="16" x14ac:dyDescent="0.2">
      <c r="B64" s="1"/>
      <c r="C64" s="42"/>
      <c r="D64" s="42"/>
      <c r="E64" s="42"/>
      <c r="F64" s="42"/>
      <c r="G64" s="42"/>
      <c r="X64" s="27"/>
    </row>
    <row r="65" spans="2:46" ht="16" x14ac:dyDescent="0.2">
      <c r="C65" s="41"/>
      <c r="D65" s="41"/>
      <c r="E65" s="41"/>
      <c r="F65" s="41"/>
      <c r="G65" s="41"/>
      <c r="X65" s="27"/>
    </row>
    <row r="66" spans="2:46" x14ac:dyDescent="0.2">
      <c r="B66" s="1"/>
      <c r="C66" s="43"/>
      <c r="D66" s="43"/>
      <c r="E66" s="43"/>
      <c r="F66" s="43"/>
      <c r="G66" s="43"/>
    </row>
    <row r="67" spans="2:46" x14ac:dyDescent="0.2">
      <c r="C67" s="44"/>
      <c r="D67" s="44"/>
      <c r="E67" s="44"/>
      <c r="F67" s="44"/>
      <c r="G67" s="44"/>
    </row>
    <row r="68" spans="2:46" x14ac:dyDescent="0.2">
      <c r="B68" s="1"/>
      <c r="C68" s="43"/>
      <c r="D68" s="43"/>
      <c r="E68" s="43"/>
      <c r="F68" s="43"/>
      <c r="G68" s="43"/>
    </row>
    <row r="69" spans="2:46" x14ac:dyDescent="0.2">
      <c r="B69" s="45"/>
      <c r="C69" s="46"/>
      <c r="D69" s="47"/>
      <c r="E69" s="47"/>
      <c r="F69" s="47"/>
      <c r="G69" s="47"/>
    </row>
    <row r="70" spans="2:46" x14ac:dyDescent="0.2">
      <c r="B70" s="45"/>
      <c r="C70" s="46"/>
      <c r="D70" s="47"/>
      <c r="E70" s="47"/>
      <c r="F70" s="47"/>
      <c r="G70" s="47"/>
    </row>
    <row r="71" spans="2:46" s="3" customFormat="1" x14ac:dyDescent="0.2">
      <c r="B71" s="1"/>
      <c r="C71" s="48"/>
      <c r="D71" s="48"/>
      <c r="E71" s="48"/>
      <c r="F71" s="48"/>
      <c r="G71" s="48"/>
      <c r="H71" s="49"/>
      <c r="I71" s="4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2:46" x14ac:dyDescent="0.2">
      <c r="C72" s="15"/>
      <c r="D72" s="15"/>
      <c r="E72" s="15"/>
      <c r="F72" s="15"/>
      <c r="G72" s="15"/>
      <c r="H72" s="50"/>
      <c r="I72" s="50"/>
      <c r="J72" s="50"/>
    </row>
    <row r="73" spans="2:46" x14ac:dyDescent="0.2">
      <c r="C73" s="15"/>
      <c r="D73" s="15"/>
      <c r="E73" s="15"/>
      <c r="F73" s="15"/>
      <c r="G73" s="15"/>
      <c r="H73" s="16"/>
      <c r="I73" s="16"/>
      <c r="J73" s="16"/>
    </row>
    <row r="74" spans="2:46" x14ac:dyDescent="0.2">
      <c r="C74" s="51"/>
      <c r="D74" s="16"/>
      <c r="E74" s="16"/>
      <c r="F74" s="16"/>
      <c r="G74" s="16"/>
      <c r="H74" s="16"/>
      <c r="I74" s="16"/>
      <c r="J74" s="16"/>
    </row>
    <row r="75" spans="2:46" x14ac:dyDescent="0.2">
      <c r="B75" s="1"/>
      <c r="C75" s="52"/>
      <c r="D75" s="15"/>
      <c r="E75" s="15"/>
      <c r="F75" s="15"/>
      <c r="G75" s="15"/>
      <c r="H75" s="16"/>
      <c r="I75" s="16"/>
      <c r="J75" s="16"/>
    </row>
    <row r="76" spans="2:46" x14ac:dyDescent="0.2">
      <c r="B76" s="1"/>
      <c r="C76" s="52"/>
      <c r="D76" s="15"/>
      <c r="E76" s="15"/>
      <c r="F76" s="15"/>
      <c r="G76" s="15"/>
      <c r="H76" s="16"/>
      <c r="I76" s="16"/>
      <c r="J76" s="16"/>
    </row>
    <row r="77" spans="2:46" x14ac:dyDescent="0.2">
      <c r="B77" s="1"/>
      <c r="C77" s="52"/>
      <c r="D77" s="15"/>
      <c r="E77" s="15"/>
      <c r="F77" s="15"/>
      <c r="G77" s="15"/>
      <c r="H77" s="16"/>
      <c r="I77" s="16"/>
      <c r="J77" s="16"/>
    </row>
    <row r="78" spans="2:46" x14ac:dyDescent="0.2">
      <c r="B78" s="1"/>
      <c r="C78" s="52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2:46" x14ac:dyDescent="0.2">
      <c r="B79" s="1"/>
      <c r="C79" s="52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2:46" x14ac:dyDescent="0.2">
      <c r="B80" s="1"/>
      <c r="C80" s="5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2:19" x14ac:dyDescent="0.2">
      <c r="B81" s="1"/>
      <c r="C81" s="52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2:19" x14ac:dyDescent="0.2">
      <c r="B82" s="1"/>
      <c r="C82" s="52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2:19" x14ac:dyDescent="0.2">
      <c r="B83" s="1"/>
      <c r="C83" s="5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2:19" x14ac:dyDescent="0.2">
      <c r="B84" s="1"/>
      <c r="C84" s="52"/>
      <c r="D84" s="15"/>
      <c r="E84" s="15"/>
      <c r="F84" s="54"/>
      <c r="G84" s="15"/>
      <c r="H84" s="15"/>
      <c r="I84" s="15"/>
      <c r="J84" s="15"/>
      <c r="K84" s="16"/>
      <c r="L84" s="16"/>
      <c r="M84" s="16"/>
      <c r="N84" s="15"/>
      <c r="O84" s="15"/>
      <c r="P84" s="15"/>
      <c r="Q84" s="15"/>
      <c r="R84" s="15"/>
      <c r="S84" s="15"/>
    </row>
    <row r="85" spans="2:19" x14ac:dyDescent="0.2">
      <c r="B85" s="1"/>
      <c r="C85" s="52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2:19" x14ac:dyDescent="0.2">
      <c r="B86" s="1"/>
      <c r="C86" s="5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2:19" x14ac:dyDescent="0.2">
      <c r="B87" s="1"/>
      <c r="C87" s="5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2:19" x14ac:dyDescent="0.2">
      <c r="B88" s="1"/>
      <c r="C88" s="5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2:19" x14ac:dyDescent="0.2">
      <c r="B89" s="1"/>
      <c r="C89" s="5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2:19" x14ac:dyDescent="0.2">
      <c r="B90" s="1"/>
      <c r="C90" s="5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2:19" x14ac:dyDescent="0.2">
      <c r="B91" s="1"/>
      <c r="C91" s="5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2:19" x14ac:dyDescent="0.2">
      <c r="B92" s="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2:19" x14ac:dyDescent="0.2">
      <c r="B93" s="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2:19" x14ac:dyDescent="0.2">
      <c r="B94" s="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2:19" x14ac:dyDescent="0.2">
      <c r="B95" s="1"/>
      <c r="C95" s="5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2:19" x14ac:dyDescent="0.2">
      <c r="B96" s="1"/>
      <c r="C96" s="5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2:19" x14ac:dyDescent="0.2">
      <c r="B97" s="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2:19" x14ac:dyDescent="0.2">
      <c r="B98" s="1"/>
      <c r="C98" s="5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2:19" x14ac:dyDescent="0.2">
      <c r="B99" s="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2:19" x14ac:dyDescent="0.2">
      <c r="B100" s="1"/>
      <c r="C100" s="5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2:19" x14ac:dyDescent="0.2">
      <c r="B101" s="1"/>
      <c r="C101" s="5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2:19" x14ac:dyDescent="0.2">
      <c r="B102" s="1"/>
      <c r="C102" s="5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2:19" x14ac:dyDescent="0.2">
      <c r="B103" s="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2:19" x14ac:dyDescent="0.2">
      <c r="B104" s="1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2:19" x14ac:dyDescent="0.2">
      <c r="C105" s="17"/>
      <c r="D105" s="50"/>
    </row>
    <row r="106" spans="2:19" x14ac:dyDescent="0.2">
      <c r="C106" s="57"/>
    </row>
    <row r="107" spans="2:19" x14ac:dyDescent="0.2">
      <c r="C107" s="50"/>
    </row>
    <row r="108" spans="2:19" x14ac:dyDescent="0.2">
      <c r="C108" s="50"/>
      <c r="D108" s="15"/>
    </row>
    <row r="109" spans="2:19" x14ac:dyDescent="0.2">
      <c r="B109" s="58"/>
    </row>
    <row r="111" spans="2:19" x14ac:dyDescent="0.2">
      <c r="B111" s="1"/>
      <c r="C111" s="48"/>
      <c r="E111" s="1"/>
      <c r="F111" s="49"/>
      <c r="G111" s="15"/>
      <c r="K111" s="17"/>
      <c r="L111" s="17"/>
      <c r="M111" s="17"/>
    </row>
    <row r="112" spans="2:19" x14ac:dyDescent="0.2">
      <c r="E112" s="1"/>
      <c r="K112" s="17"/>
      <c r="L112" s="17"/>
      <c r="M112" s="17"/>
    </row>
    <row r="113" spans="2:13" x14ac:dyDescent="0.2">
      <c r="C113" s="50"/>
      <c r="E113" s="1"/>
      <c r="F113" s="48"/>
      <c r="K113" s="17"/>
      <c r="L113" s="17"/>
      <c r="M113" s="17"/>
    </row>
    <row r="114" spans="2:13" x14ac:dyDescent="0.2">
      <c r="C114" s="50"/>
    </row>
    <row r="115" spans="2:13" x14ac:dyDescent="0.2">
      <c r="C115" s="50"/>
      <c r="F115" s="50"/>
    </row>
    <row r="116" spans="2:13" x14ac:dyDescent="0.2">
      <c r="F116" s="50"/>
    </row>
    <row r="118" spans="2:13" x14ac:dyDescent="0.2">
      <c r="B118" s="1"/>
      <c r="C118" s="48"/>
      <c r="E118" s="1"/>
      <c r="F118" s="49"/>
    </row>
    <row r="119" spans="2:13" x14ac:dyDescent="0.2">
      <c r="F119" s="50"/>
    </row>
    <row r="120" spans="2:13" x14ac:dyDescent="0.2">
      <c r="C120" s="50"/>
      <c r="F120" s="50"/>
    </row>
    <row r="121" spans="2:13" x14ac:dyDescent="0.2">
      <c r="C121" s="50"/>
      <c r="F121" s="50"/>
    </row>
    <row r="122" spans="2:13" x14ac:dyDescent="0.2">
      <c r="B122" s="59"/>
      <c r="C122" s="60"/>
      <c r="F122" s="50"/>
    </row>
    <row r="123" spans="2:13" x14ac:dyDescent="0.2">
      <c r="B123" s="59"/>
      <c r="C123" s="60"/>
      <c r="F123" s="50"/>
    </row>
    <row r="124" spans="2:13" x14ac:dyDescent="0.2">
      <c r="C124" s="50"/>
      <c r="F124" s="50"/>
    </row>
    <row r="127" spans="2:13" x14ac:dyDescent="0.2">
      <c r="B127" s="1"/>
      <c r="C127" s="48"/>
      <c r="E127" s="1"/>
      <c r="F127" s="48"/>
    </row>
    <row r="131" spans="2:7" x14ac:dyDescent="0.2">
      <c r="B131" s="58"/>
    </row>
    <row r="132" spans="2:7" x14ac:dyDescent="0.2">
      <c r="F132" s="50"/>
      <c r="G132" s="50"/>
    </row>
    <row r="133" spans="2:7" x14ac:dyDescent="0.2">
      <c r="B133" s="1"/>
      <c r="C133" s="48"/>
      <c r="E133" s="1"/>
      <c r="F133" s="49"/>
      <c r="G133" s="50"/>
    </row>
    <row r="134" spans="2:7" x14ac:dyDescent="0.2">
      <c r="E134" s="1"/>
      <c r="F134" s="49"/>
      <c r="G134" s="50"/>
    </row>
    <row r="135" spans="2:7" x14ac:dyDescent="0.2">
      <c r="E135" s="1"/>
      <c r="F135" s="49"/>
      <c r="G135" s="50"/>
    </row>
    <row r="136" spans="2:7" x14ac:dyDescent="0.2">
      <c r="E136" s="1"/>
      <c r="F136" s="49"/>
      <c r="G136" s="50"/>
    </row>
    <row r="137" spans="2:7" x14ac:dyDescent="0.2">
      <c r="E137" s="1"/>
      <c r="F137" s="49"/>
      <c r="G137" s="50"/>
    </row>
    <row r="138" spans="2:7" x14ac:dyDescent="0.2">
      <c r="B138" s="1"/>
      <c r="C138" s="48"/>
      <c r="E138" s="1"/>
      <c r="F138" s="49"/>
      <c r="G138" s="50"/>
    </row>
    <row r="139" spans="2:7" x14ac:dyDescent="0.2">
      <c r="F139" s="50"/>
      <c r="G139" s="50"/>
    </row>
    <row r="140" spans="2:7" x14ac:dyDescent="0.2">
      <c r="F140" s="50"/>
      <c r="G140" s="50"/>
    </row>
    <row r="142" spans="2:7" x14ac:dyDescent="0.2">
      <c r="B142" s="1"/>
      <c r="C142" s="48"/>
      <c r="E142" s="1"/>
      <c r="F142" s="48"/>
    </row>
    <row r="146" spans="2:10" x14ac:dyDescent="0.2">
      <c r="B146" s="1"/>
      <c r="C146" s="48"/>
      <c r="E146" s="1"/>
      <c r="F146" s="48"/>
    </row>
    <row r="147" spans="2:10" x14ac:dyDescent="0.2">
      <c r="C147" s="1"/>
      <c r="E147" s="1"/>
      <c r="F147" s="15"/>
    </row>
    <row r="148" spans="2:10" x14ac:dyDescent="0.2">
      <c r="C148" s="1"/>
      <c r="H148" s="15"/>
      <c r="I148" s="15"/>
      <c r="J148" s="15"/>
    </row>
    <row r="149" spans="2:10" x14ac:dyDescent="0.2">
      <c r="B149" s="1"/>
      <c r="C149" s="48"/>
      <c r="E149" s="1"/>
      <c r="F149" s="15"/>
    </row>
    <row r="150" spans="2:10" x14ac:dyDescent="0.2">
      <c r="C150" s="1"/>
      <c r="E150" s="1"/>
    </row>
    <row r="152" spans="2:10" x14ac:dyDescent="0.2">
      <c r="B152" s="1"/>
      <c r="C152" s="48"/>
      <c r="D152" s="1"/>
      <c r="E152" s="1"/>
      <c r="F152" s="48"/>
    </row>
  </sheetData>
  <mergeCells count="3">
    <mergeCell ref="Q9:S9"/>
    <mergeCell ref="T9:V9"/>
    <mergeCell ref="W9:Y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35A-AAF5-AD40-9918-A96A848FD45A}">
  <sheetPr>
    <pageSetUpPr fitToPage="1"/>
  </sheetPr>
  <dimension ref="A2:AT154"/>
  <sheetViews>
    <sheetView zoomScale="119" zoomScaleNormal="90" workbookViewId="0">
      <selection activeCell="H15" sqref="H15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325" t="s">
        <v>153</v>
      </c>
    </row>
    <row r="3" spans="1:32" ht="16" thickBot="1" x14ac:dyDescent="0.25">
      <c r="J3" s="314"/>
      <c r="K3" s="315"/>
      <c r="M3" s="314"/>
    </row>
    <row r="4" spans="1:32" ht="17" thickBot="1" x14ac:dyDescent="0.25">
      <c r="B4" s="119"/>
      <c r="C4" s="262" t="s">
        <v>80</v>
      </c>
      <c r="D4" s="20" t="s">
        <v>81</v>
      </c>
      <c r="E4" s="263" t="s">
        <v>82</v>
      </c>
      <c r="F4" s="25" t="s">
        <v>83</v>
      </c>
      <c r="G4" s="23" t="s">
        <v>108</v>
      </c>
      <c r="J4" s="314"/>
      <c r="K4" s="315"/>
      <c r="M4" s="1"/>
      <c r="N4" s="316"/>
    </row>
    <row r="5" spans="1:32" ht="18" thickBot="1" x14ac:dyDescent="0.3">
      <c r="B5" s="113"/>
      <c r="C5" s="117" t="s">
        <v>110</v>
      </c>
      <c r="D5" s="104" t="s">
        <v>111</v>
      </c>
      <c r="E5" s="117" t="s">
        <v>112</v>
      </c>
      <c r="F5" s="104" t="s">
        <v>113</v>
      </c>
      <c r="G5" s="104" t="s">
        <v>114</v>
      </c>
      <c r="I5" s="319" t="s">
        <v>91</v>
      </c>
      <c r="J5" s="86">
        <v>1</v>
      </c>
      <c r="K5" s="317"/>
      <c r="L5" s="4"/>
      <c r="M5" s="314"/>
      <c r="N5" s="318"/>
    </row>
    <row r="6" spans="1:32" ht="17" x14ac:dyDescent="0.25">
      <c r="B6" s="95" t="s">
        <v>96</v>
      </c>
      <c r="C6" s="64">
        <f>'Minimum Operator'!C41</f>
        <v>913877.49989999994</v>
      </c>
      <c r="D6" s="118">
        <f>'Minimum Operator'!D41</f>
        <v>880388.41299599968</v>
      </c>
      <c r="E6" s="30">
        <f>'Minimum Operator'!E41</f>
        <v>845869.19658935256</v>
      </c>
      <c r="F6" s="118">
        <f>'Minimum Operator'!F41</f>
        <v>820617.34711280151</v>
      </c>
      <c r="G6" s="118">
        <f>'Minimum Operator'!G41</f>
        <v>788593.32328556362</v>
      </c>
      <c r="I6" s="320" t="s">
        <v>92</v>
      </c>
      <c r="J6" s="18">
        <v>2</v>
      </c>
      <c r="K6" s="87"/>
      <c r="L6" s="5"/>
      <c r="M6" s="5"/>
      <c r="N6" s="318"/>
    </row>
    <row r="7" spans="1:32" s="4" customFormat="1" ht="17" x14ac:dyDescent="0.25">
      <c r="B7" s="96" t="s">
        <v>88</v>
      </c>
      <c r="C7" s="64">
        <f>'Maximum Operator'!C41</f>
        <v>1318076.0602500001</v>
      </c>
      <c r="D7" s="118">
        <f>'Maximum Operator'!D41</f>
        <v>1436587.5458639995</v>
      </c>
      <c r="E7" s="30">
        <f>'Maximum Operator'!E41</f>
        <v>1499351.6164184399</v>
      </c>
      <c r="F7" s="118">
        <f>'Maximum Operator'!F41</f>
        <v>1563860.836222874</v>
      </c>
      <c r="G7" s="118">
        <f>'Maximum Operator'!G41</f>
        <v>1666695.1927927528</v>
      </c>
      <c r="I7" s="320" t="s">
        <v>93</v>
      </c>
      <c r="J7" s="18">
        <v>3</v>
      </c>
      <c r="K7" s="87"/>
      <c r="L7" s="5"/>
      <c r="M7" s="5"/>
      <c r="N7" s="318"/>
    </row>
    <row r="8" spans="1:32" s="5" customFormat="1" ht="17" x14ac:dyDescent="0.25">
      <c r="B8" s="95" t="s">
        <v>140</v>
      </c>
      <c r="C8" s="64">
        <f>1/EXP((J5-1)*(ABS(C6-C7)/C6))</f>
        <v>1</v>
      </c>
      <c r="D8" s="118">
        <f>1/(J6-1)</f>
        <v>1</v>
      </c>
      <c r="E8" s="30">
        <f>1/(J7-1)</f>
        <v>0.5</v>
      </c>
      <c r="F8" s="118">
        <f>1/(J8-1)</f>
        <v>0.33333333333333331</v>
      </c>
      <c r="G8" s="118">
        <f>1/(J9-1)</f>
        <v>0.25</v>
      </c>
      <c r="I8" s="320" t="s">
        <v>94</v>
      </c>
      <c r="J8" s="18">
        <v>4</v>
      </c>
    </row>
    <row r="9" spans="1:32" s="5" customFormat="1" ht="18" thickBot="1" x14ac:dyDescent="0.3">
      <c r="B9" s="95" t="s">
        <v>150</v>
      </c>
      <c r="C9" s="64">
        <v>1</v>
      </c>
      <c r="D9" s="118">
        <f>1/(ABS(D6-D7)/D7+1)</f>
        <v>0.72089379219359961</v>
      </c>
      <c r="E9" s="30">
        <f t="shared" ref="E9:G9" si="0">1/(ABS(E6-E7)/E7+1)</f>
        <v>0.69645480848670882</v>
      </c>
      <c r="F9" s="118">
        <f t="shared" si="0"/>
        <v>0.67784573894255418</v>
      </c>
      <c r="G9" s="118">
        <f t="shared" si="0"/>
        <v>0.65494228105027108</v>
      </c>
      <c r="I9" s="321" t="s">
        <v>95</v>
      </c>
      <c r="J9" s="88">
        <v>5</v>
      </c>
    </row>
    <row r="10" spans="1:32" s="5" customFormat="1" ht="16" x14ac:dyDescent="0.2">
      <c r="B10" s="95" t="s">
        <v>90</v>
      </c>
      <c r="C10" s="64">
        <f>MIN(C8:C9)</f>
        <v>1</v>
      </c>
      <c r="D10" s="118">
        <f t="shared" ref="D10:G10" si="1">MIN(D8:D9)</f>
        <v>0.72089379219359961</v>
      </c>
      <c r="E10" s="30">
        <f t="shared" si="1"/>
        <v>0.5</v>
      </c>
      <c r="F10" s="118">
        <f t="shared" si="1"/>
        <v>0.33333333333333331</v>
      </c>
      <c r="G10" s="118">
        <f t="shared" si="1"/>
        <v>0.25</v>
      </c>
      <c r="I10" s="1"/>
      <c r="J10"/>
    </row>
    <row r="11" spans="1:32" s="4" customFormat="1" ht="17" thickBot="1" x14ac:dyDescent="0.25">
      <c r="B11" s="97" t="s">
        <v>89</v>
      </c>
      <c r="C11" s="122">
        <f>C7*C10+(1-C10)*C6</f>
        <v>1318076.0602500001</v>
      </c>
      <c r="D11" s="120">
        <f t="shared" ref="D11:G11" si="2">D7*D10+(1-D10)*D6</f>
        <v>1281348.9151040039</v>
      </c>
      <c r="E11" s="122">
        <f t="shared" si="2"/>
        <v>1172610.4065038962</v>
      </c>
      <c r="F11" s="120">
        <f t="shared" si="2"/>
        <v>1068365.1768161592</v>
      </c>
      <c r="G11" s="120">
        <f t="shared" si="2"/>
        <v>1008118.7906623608</v>
      </c>
      <c r="I11" s="1"/>
      <c r="J11"/>
      <c r="P11" s="92"/>
      <c r="Q11" s="353"/>
      <c r="R11" s="353"/>
      <c r="S11" s="353"/>
      <c r="T11" s="353"/>
      <c r="U11" s="353"/>
      <c r="V11" s="353"/>
      <c r="W11" s="353"/>
      <c r="X11" s="353"/>
      <c r="Y11" s="353"/>
    </row>
    <row r="12" spans="1:32" s="4" customFormat="1" ht="16" x14ac:dyDescent="0.2">
      <c r="Q12" s="26"/>
      <c r="R12" s="26"/>
      <c r="S12" s="29"/>
      <c r="T12" s="26"/>
      <c r="U12" s="26"/>
      <c r="V12" s="29"/>
      <c r="W12" s="26"/>
      <c r="X12" s="26"/>
      <c r="Y12" s="29"/>
    </row>
    <row r="13" spans="1:32" s="24" customFormat="1" ht="16" x14ac:dyDescent="0.2">
      <c r="A13" s="4"/>
      <c r="B13" s="276" t="s">
        <v>139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1"/>
      <c r="Q13" s="322"/>
      <c r="R13" s="322"/>
      <c r="S13" s="31"/>
      <c r="T13" s="322"/>
      <c r="U13" s="322"/>
      <c r="V13" s="31"/>
      <c r="W13" s="322"/>
      <c r="X13" s="34"/>
      <c r="Y13" s="31"/>
      <c r="Z13" s="4"/>
      <c r="AA13" s="4"/>
      <c r="AB13" s="4"/>
      <c r="AC13" s="4"/>
      <c r="AD13" s="4"/>
      <c r="AE13" s="4"/>
      <c r="AF13" s="4"/>
    </row>
    <row r="14" spans="1:32" s="4" customFormat="1" ht="17" thickBot="1" x14ac:dyDescent="0.25">
      <c r="I14" s="19"/>
      <c r="P14" s="31"/>
      <c r="Q14" s="30"/>
      <c r="R14" s="30"/>
      <c r="S14" s="31"/>
      <c r="T14" s="30"/>
      <c r="U14" s="30"/>
      <c r="V14" s="31"/>
      <c r="W14" s="30"/>
      <c r="X14" s="34"/>
      <c r="Y14" s="87"/>
    </row>
    <row r="15" spans="1:32" s="4" customFormat="1" ht="17" thickBot="1" x14ac:dyDescent="0.25">
      <c r="B15" s="80"/>
      <c r="C15" s="166" t="s">
        <v>80</v>
      </c>
      <c r="D15" s="167" t="s">
        <v>81</v>
      </c>
      <c r="E15" s="124" t="s">
        <v>82</v>
      </c>
      <c r="F15" s="168" t="s">
        <v>83</v>
      </c>
      <c r="G15" s="179" t="s">
        <v>108</v>
      </c>
      <c r="H15" s="215" t="s">
        <v>155</v>
      </c>
      <c r="P15" s="31"/>
      <c r="Q15" s="30"/>
      <c r="R15" s="30"/>
      <c r="S15" s="31"/>
      <c r="T15" s="30"/>
      <c r="U15" s="30"/>
      <c r="V15" s="31"/>
      <c r="W15" s="30"/>
      <c r="X15" s="34"/>
      <c r="Y15" s="87"/>
    </row>
    <row r="16" spans="1:32" s="4" customFormat="1" ht="17" thickBot="1" x14ac:dyDescent="0.25">
      <c r="B16" s="84" t="s">
        <v>154</v>
      </c>
      <c r="C16" s="83">
        <f>C11</f>
        <v>1318076.0602500001</v>
      </c>
      <c r="D16" s="81">
        <f>D11</f>
        <v>1281348.9151040039</v>
      </c>
      <c r="E16" s="81">
        <f>E11</f>
        <v>1172610.4065038962</v>
      </c>
      <c r="F16" s="81">
        <f>F11</f>
        <v>1068365.1768161592</v>
      </c>
      <c r="G16" s="82">
        <f>G11</f>
        <v>1008118.7906623608</v>
      </c>
      <c r="H16" s="222">
        <f>G16*(1+C20)/(C19-C20)</f>
        <v>20565623.32951216</v>
      </c>
      <c r="P16" s="31"/>
      <c r="Q16" s="30"/>
      <c r="R16" s="30"/>
      <c r="S16" s="31"/>
      <c r="T16" s="30"/>
      <c r="U16" s="30"/>
      <c r="V16" s="31"/>
      <c r="W16" s="30"/>
      <c r="X16" s="34"/>
      <c r="Y16" s="87"/>
    </row>
    <row r="17" spans="1:32" s="4" customFormat="1" ht="17" thickBot="1" x14ac:dyDescent="0.25">
      <c r="B17" s="73"/>
      <c r="C17" s="68"/>
      <c r="D17" s="68"/>
      <c r="E17" s="68"/>
      <c r="F17" s="68"/>
      <c r="G17" s="68"/>
      <c r="P17" s="31"/>
      <c r="Q17" s="30"/>
      <c r="R17" s="30"/>
      <c r="S17" s="31"/>
      <c r="T17" s="30"/>
      <c r="U17" s="30"/>
      <c r="V17" s="31"/>
      <c r="W17" s="30"/>
      <c r="X17" s="34"/>
      <c r="Y17" s="87"/>
    </row>
    <row r="18" spans="1:32" s="24" customFormat="1" ht="16" x14ac:dyDescent="0.2">
      <c r="A18" s="4"/>
      <c r="B18" s="279" t="s">
        <v>136</v>
      </c>
      <c r="C18" s="220">
        <v>14921222</v>
      </c>
      <c r="D18" s="78"/>
      <c r="E18" s="78"/>
      <c r="F18" s="78"/>
      <c r="G18" s="78"/>
      <c r="H18" s="4"/>
      <c r="I18" s="4"/>
      <c r="J18" s="4"/>
      <c r="K18" s="4"/>
      <c r="L18" s="4"/>
      <c r="M18" s="4"/>
      <c r="N18" s="4"/>
      <c r="O18" s="4"/>
      <c r="P18" s="31"/>
      <c r="Q18" s="30"/>
      <c r="R18" s="30"/>
      <c r="S18" s="31"/>
      <c r="T18" s="30"/>
      <c r="U18" s="30"/>
      <c r="V18" s="31"/>
      <c r="W18" s="30"/>
      <c r="X18" s="34"/>
      <c r="Y18" s="31"/>
      <c r="Z18" s="4"/>
      <c r="AA18" s="4"/>
      <c r="AB18" s="4"/>
      <c r="AC18" s="4"/>
      <c r="AD18" s="4"/>
      <c r="AE18" s="4"/>
      <c r="AF18" s="4"/>
    </row>
    <row r="19" spans="1:32" s="7" customFormat="1" ht="16" x14ac:dyDescent="0.2">
      <c r="B19" s="281" t="s">
        <v>135</v>
      </c>
      <c r="C19" s="323">
        <v>7.0000000000000007E-2</v>
      </c>
      <c r="D19" s="74"/>
      <c r="E19" s="74"/>
      <c r="F19" s="74"/>
      <c r="G19" s="74"/>
      <c r="H19" s="85"/>
      <c r="I19" s="85"/>
      <c r="P19" s="33"/>
      <c r="Q19" s="32"/>
      <c r="R19" s="32"/>
      <c r="S19" s="33"/>
      <c r="T19" s="32"/>
      <c r="U19" s="32"/>
      <c r="V19" s="33"/>
      <c r="W19" s="32"/>
      <c r="X19" s="35"/>
      <c r="Y19" s="99"/>
    </row>
    <row r="20" spans="1:32" s="4" customFormat="1" ht="17" thickBot="1" x14ac:dyDescent="0.25">
      <c r="B20" s="283" t="s">
        <v>137</v>
      </c>
      <c r="C20" s="324">
        <v>0.02</v>
      </c>
      <c r="D20" s="5"/>
      <c r="E20" s="5"/>
      <c r="F20" s="5"/>
      <c r="G20" s="5"/>
      <c r="H20"/>
      <c r="P20" s="31"/>
      <c r="Q20" s="30"/>
      <c r="R20" s="30"/>
      <c r="S20" s="31"/>
      <c r="T20" s="30"/>
      <c r="U20" s="30"/>
      <c r="V20" s="31"/>
      <c r="W20" s="30"/>
      <c r="X20" s="34"/>
      <c r="Y20" s="87"/>
    </row>
    <row r="21" spans="1:32" s="4" customFormat="1" ht="17" thickBot="1" x14ac:dyDescent="0.25">
      <c r="B21" s="180"/>
      <c r="C21" s="181"/>
      <c r="D21" s="77"/>
      <c r="E21" s="77"/>
      <c r="F21" s="77"/>
      <c r="G21" s="77"/>
      <c r="H21"/>
      <c r="K21" s="30"/>
      <c r="L21" s="30"/>
      <c r="M21" s="31"/>
      <c r="N21" s="30"/>
      <c r="O21" s="30"/>
      <c r="P21" s="31"/>
      <c r="Q21" s="30"/>
      <c r="R21" s="30"/>
      <c r="S21" s="31"/>
      <c r="T21" s="30"/>
      <c r="U21" s="30"/>
      <c r="V21" s="31"/>
      <c r="W21" s="30"/>
      <c r="X21" s="34"/>
      <c r="Y21" s="87"/>
    </row>
    <row r="22" spans="1:32" s="4" customFormat="1" ht="20" thickBot="1" x14ac:dyDescent="0.3">
      <c r="B22" s="327" t="s">
        <v>97</v>
      </c>
      <c r="C22" s="326">
        <f>NPV(C19,C16:G16)-C18+H16/((1+C19)^5)</f>
        <v>4583834.5869528055</v>
      </c>
      <c r="K22" s="30"/>
      <c r="L22" s="30"/>
      <c r="M22" s="31"/>
      <c r="N22" s="30"/>
      <c r="O22" s="30"/>
      <c r="P22" s="31"/>
      <c r="Q22" s="30"/>
      <c r="R22" s="30"/>
      <c r="S22" s="31"/>
      <c r="T22" s="30"/>
      <c r="U22" s="30"/>
      <c r="V22" s="31"/>
      <c r="W22" s="30"/>
      <c r="X22" s="34"/>
      <c r="Y22" s="87"/>
    </row>
    <row r="23" spans="1:32" s="4" customFormat="1" ht="16" x14ac:dyDescent="0.2">
      <c r="K23" s="30"/>
      <c r="L23" s="30"/>
      <c r="M23" s="30"/>
      <c r="N23" s="30"/>
      <c r="O23" s="30"/>
      <c r="P23" s="31"/>
      <c r="Q23" s="30"/>
      <c r="R23" s="30"/>
      <c r="S23" s="31"/>
      <c r="T23" s="30"/>
      <c r="U23" s="30"/>
      <c r="V23" s="31"/>
      <c r="W23" s="30"/>
      <c r="X23" s="34"/>
      <c r="Y23" s="87"/>
    </row>
    <row r="24" spans="1:32" s="4" customFormat="1" ht="16" x14ac:dyDescent="0.2">
      <c r="B24"/>
      <c r="C24"/>
      <c r="D24"/>
      <c r="E24"/>
      <c r="F24"/>
      <c r="G24"/>
      <c r="K24" s="30"/>
      <c r="L24" s="30"/>
      <c r="M24" s="31"/>
      <c r="N24" s="30"/>
      <c r="O24" s="30"/>
      <c r="P24" s="31"/>
      <c r="Q24" s="30"/>
      <c r="R24" s="30"/>
      <c r="S24" s="31"/>
      <c r="T24" s="30"/>
      <c r="U24" s="30"/>
      <c r="V24" s="31"/>
      <c r="W24" s="30"/>
      <c r="X24" s="34"/>
      <c r="Y24" s="87"/>
    </row>
    <row r="25" spans="1:32" s="4" customFormat="1" ht="16" x14ac:dyDescent="0.2">
      <c r="D25"/>
      <c r="E25"/>
      <c r="F25"/>
      <c r="G25"/>
      <c r="H25" s="5"/>
      <c r="K25" s="30"/>
      <c r="L25" s="32"/>
      <c r="M25" s="33"/>
      <c r="N25" s="32"/>
      <c r="O25" s="32"/>
      <c r="P25" s="31"/>
      <c r="Q25" s="30"/>
      <c r="R25" s="30"/>
      <c r="S25" s="31"/>
      <c r="T25" s="30"/>
      <c r="U25" s="30"/>
      <c r="V25" s="31"/>
      <c r="W25" s="30"/>
      <c r="X25" s="34"/>
      <c r="Y25" s="87"/>
    </row>
    <row r="26" spans="1:32" s="4" customFormat="1" ht="16" x14ac:dyDescent="0.2">
      <c r="K26" s="98"/>
      <c r="L26" s="30"/>
      <c r="M26" s="31"/>
      <c r="N26" s="30"/>
      <c r="O26" s="30"/>
      <c r="P26" s="31"/>
      <c r="Q26" s="30"/>
      <c r="R26" s="30"/>
      <c r="S26" s="31"/>
      <c r="T26" s="30"/>
      <c r="U26" s="30"/>
      <c r="V26" s="31"/>
      <c r="W26" s="30"/>
      <c r="X26" s="34"/>
      <c r="Y26" s="87"/>
    </row>
    <row r="27" spans="1:32" s="24" customFormat="1" ht="1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90"/>
      <c r="L27" s="90"/>
      <c r="M27" s="89"/>
      <c r="N27" s="90"/>
      <c r="O27" s="90"/>
      <c r="P27" s="89"/>
      <c r="Q27" s="90"/>
      <c r="R27" s="90"/>
      <c r="S27" s="89"/>
      <c r="T27" s="90"/>
      <c r="U27" s="90"/>
      <c r="V27" s="89"/>
      <c r="W27" s="90"/>
      <c r="X27" s="91"/>
      <c r="Y27" s="89"/>
      <c r="Z27" s="4"/>
      <c r="AA27" s="4"/>
      <c r="AB27" s="4"/>
      <c r="AC27" s="4"/>
      <c r="AD27" s="4"/>
      <c r="AE27" s="4"/>
      <c r="AF27" s="4"/>
    </row>
    <row r="28" spans="1:32" s="4" customFormat="1" ht="16" x14ac:dyDescent="0.2">
      <c r="K28" s="30"/>
      <c r="L28" s="30"/>
      <c r="M28" s="31"/>
      <c r="N28" s="30"/>
      <c r="O28" s="30"/>
      <c r="P28" s="31"/>
      <c r="Q28" s="30"/>
      <c r="R28" s="30"/>
      <c r="S28" s="31"/>
      <c r="T28" s="30"/>
      <c r="U28" s="30"/>
      <c r="V28" s="31"/>
      <c r="W28" s="30"/>
      <c r="X28" s="34"/>
      <c r="Y28" s="87"/>
    </row>
    <row r="29" spans="1:32" s="24" customFormat="1" ht="16" x14ac:dyDescent="0.15">
      <c r="A29" s="4"/>
      <c r="B29" s="4"/>
      <c r="C29" s="4"/>
      <c r="D29" s="4"/>
      <c r="E29" s="4"/>
      <c r="F29" s="4"/>
      <c r="G29" s="4"/>
      <c r="H29" s="19"/>
      <c r="I29" s="4"/>
      <c r="J29" s="4"/>
      <c r="K29" s="90"/>
      <c r="L29" s="90"/>
      <c r="M29" s="89"/>
      <c r="N29" s="90"/>
      <c r="O29" s="90"/>
      <c r="P29" s="89"/>
      <c r="Q29" s="90"/>
      <c r="R29" s="90"/>
      <c r="S29" s="89"/>
      <c r="T29" s="90"/>
      <c r="U29" s="90"/>
      <c r="V29" s="89"/>
      <c r="W29" s="90"/>
      <c r="X29" s="90"/>
      <c r="Y29" s="89"/>
      <c r="Z29" s="4"/>
      <c r="AA29" s="4"/>
      <c r="AB29" s="4"/>
      <c r="AC29" s="4"/>
      <c r="AD29" s="4"/>
      <c r="AE29" s="4"/>
      <c r="AF29" s="4"/>
    </row>
    <row r="30" spans="1:32" s="4" customFormat="1" ht="23.25" hidden="1" customHeight="1" x14ac:dyDescent="0.2">
      <c r="B30" s="73"/>
      <c r="C30" s="67"/>
      <c r="D30" s="67"/>
      <c r="E30" s="67"/>
      <c r="F30" s="67"/>
      <c r="G30" s="67"/>
      <c r="K30" s="90"/>
      <c r="L30" s="90"/>
      <c r="M30" s="89"/>
      <c r="N30" s="90"/>
      <c r="O30" s="90"/>
      <c r="P30" s="89"/>
      <c r="Q30" s="90"/>
      <c r="R30" s="90"/>
      <c r="S30" s="89"/>
      <c r="T30" s="90"/>
      <c r="U30" s="90"/>
      <c r="V30" s="89"/>
      <c r="W30" s="90"/>
      <c r="X30" s="90"/>
      <c r="Y30" s="100"/>
    </row>
    <row r="31" spans="1:32" s="4" customFormat="1" ht="16" x14ac:dyDescent="0.2">
      <c r="B31" s="73"/>
      <c r="C31" s="69"/>
      <c r="D31" s="69"/>
      <c r="E31" s="69"/>
      <c r="F31" s="69"/>
      <c r="G31" s="69"/>
      <c r="K31" s="90"/>
      <c r="L31" s="90"/>
      <c r="M31" s="89"/>
      <c r="N31" s="90"/>
      <c r="O31" s="90"/>
      <c r="P31" s="89"/>
      <c r="Q31" s="90"/>
      <c r="R31" s="90"/>
      <c r="S31" s="89"/>
      <c r="T31" s="90"/>
      <c r="U31" s="90"/>
      <c r="V31" s="89"/>
      <c r="W31" s="90"/>
      <c r="X31" s="90"/>
      <c r="Y31" s="100"/>
    </row>
    <row r="32" spans="1:32" s="24" customFormat="1" ht="16" x14ac:dyDescent="0.2">
      <c r="A32" s="4"/>
      <c r="B32" s="73"/>
      <c r="C32" s="79"/>
      <c r="D32" s="79"/>
      <c r="E32" s="79"/>
      <c r="F32" s="79"/>
      <c r="G32" s="79"/>
      <c r="H32" s="4"/>
      <c r="I32" s="4"/>
      <c r="J32" s="4"/>
      <c r="K32" s="90"/>
      <c r="L32" s="90"/>
      <c r="M32" s="89"/>
      <c r="N32" s="90"/>
      <c r="O32" s="90"/>
      <c r="P32" s="89"/>
      <c r="Q32" s="90"/>
      <c r="R32" s="90"/>
      <c r="S32" s="89"/>
      <c r="T32" s="90"/>
      <c r="U32" s="90"/>
      <c r="V32" s="89"/>
      <c r="W32" s="90"/>
      <c r="X32" s="90"/>
      <c r="Y32" s="89"/>
      <c r="Z32" s="4"/>
      <c r="AA32" s="4"/>
      <c r="AB32" s="4"/>
      <c r="AC32" s="4"/>
      <c r="AD32" s="4"/>
      <c r="AE32" s="4"/>
      <c r="AF32" s="4"/>
    </row>
    <row r="33" spans="2:24" s="4" customFormat="1" ht="16" x14ac:dyDescent="0.2">
      <c r="B33" s="8"/>
      <c r="D33" s="9"/>
      <c r="E33" s="9"/>
      <c r="F33" s="9"/>
      <c r="G33" s="9"/>
      <c r="H33" s="9"/>
      <c r="I33" s="9"/>
      <c r="J33" s="9"/>
      <c r="K33" s="9"/>
      <c r="L33" s="9"/>
      <c r="M33" s="9"/>
      <c r="X33" s="26"/>
    </row>
    <row r="34" spans="2:24" s="4" customFormat="1" ht="19" x14ac:dyDescent="0.25">
      <c r="B34" s="37"/>
      <c r="C34" s="6"/>
      <c r="X34" s="26"/>
    </row>
    <row r="35" spans="2:24" s="4" customFormat="1" ht="16" x14ac:dyDescent="0.2">
      <c r="B35" s="10"/>
      <c r="C35" s="6"/>
      <c r="X35" s="26"/>
    </row>
    <row r="36" spans="2:24" s="4" customFormat="1" ht="16" x14ac:dyDescent="0.2">
      <c r="B36" s="61"/>
      <c r="C36" s="77"/>
      <c r="D36" s="77"/>
      <c r="E36" s="77"/>
      <c r="F36" s="77"/>
      <c r="G36" s="77"/>
      <c r="X36" s="26"/>
    </row>
    <row r="37" spans="2:24" s="4" customFormat="1" ht="16" x14ac:dyDescent="0.2">
      <c r="B37" s="75"/>
      <c r="C37" s="68"/>
      <c r="D37" s="68"/>
      <c r="E37" s="68"/>
      <c r="F37" s="68"/>
      <c r="G37" s="68"/>
      <c r="H37" s="6"/>
      <c r="I37" s="6"/>
      <c r="J37" s="6"/>
      <c r="X37" s="26"/>
    </row>
    <row r="38" spans="2:24" s="4" customFormat="1" ht="16" x14ac:dyDescent="0.2">
      <c r="B38" s="75"/>
      <c r="C38" s="68"/>
      <c r="D38" s="68"/>
      <c r="E38" s="68"/>
      <c r="F38" s="68"/>
      <c r="G38" s="68"/>
      <c r="H38" s="6"/>
      <c r="I38" s="6"/>
      <c r="J38" s="6"/>
      <c r="X38" s="26"/>
    </row>
    <row r="39" spans="2:24" s="4" customFormat="1" ht="16" x14ac:dyDescent="0.2">
      <c r="B39" s="76"/>
      <c r="C39" s="68"/>
      <c r="D39" s="68"/>
      <c r="E39" s="68"/>
      <c r="F39" s="68"/>
      <c r="G39" s="68"/>
      <c r="H39" s="6"/>
      <c r="I39" s="6"/>
      <c r="J39" s="6"/>
      <c r="X39" s="26"/>
    </row>
    <row r="40" spans="2:24" s="4" customFormat="1" ht="16" x14ac:dyDescent="0.2">
      <c r="B40" s="75"/>
      <c r="C40" s="68"/>
      <c r="D40" s="68"/>
      <c r="E40" s="68"/>
      <c r="F40" s="68"/>
      <c r="G40" s="68"/>
      <c r="H40" s="6"/>
      <c r="I40" s="6"/>
      <c r="J40" s="6"/>
      <c r="X40" s="26"/>
    </row>
    <row r="41" spans="2:24" s="4" customFormat="1" ht="16" x14ac:dyDescent="0.2">
      <c r="B41" s="76"/>
      <c r="C41" s="68"/>
      <c r="D41" s="68"/>
      <c r="E41" s="68"/>
      <c r="F41" s="68"/>
      <c r="G41" s="68"/>
      <c r="H41" s="6"/>
      <c r="I41" s="6"/>
      <c r="J41" s="6"/>
      <c r="X41" s="26"/>
    </row>
    <row r="42" spans="2:24" s="4" customFormat="1" ht="16" x14ac:dyDescent="0.2">
      <c r="B42" s="75"/>
      <c r="C42" s="68"/>
      <c r="D42" s="68"/>
      <c r="E42" s="68"/>
      <c r="F42" s="68"/>
      <c r="G42" s="68"/>
      <c r="H42" s="6"/>
      <c r="I42" s="6"/>
      <c r="J42" s="6"/>
      <c r="X42" s="26"/>
    </row>
    <row r="43" spans="2:24" s="4" customFormat="1" ht="16" x14ac:dyDescent="0.2">
      <c r="B43" s="76"/>
      <c r="C43" s="68"/>
      <c r="D43" s="68"/>
      <c r="E43" s="68"/>
      <c r="F43" s="68"/>
      <c r="G43" s="68"/>
      <c r="H43" s="6"/>
      <c r="I43" s="6"/>
      <c r="J43" s="6"/>
      <c r="X43" s="26"/>
    </row>
    <row r="44" spans="2:24" s="4" customFormat="1" ht="16" x14ac:dyDescent="0.2">
      <c r="B44" s="75"/>
      <c r="C44" s="68"/>
      <c r="D44" s="68"/>
      <c r="E44" s="68"/>
      <c r="F44" s="68"/>
      <c r="G44" s="68"/>
      <c r="H44" s="6"/>
      <c r="I44" s="6"/>
      <c r="J44" s="6"/>
      <c r="X44" s="26"/>
    </row>
    <row r="45" spans="2:24" s="4" customFormat="1" ht="16" x14ac:dyDescent="0.2">
      <c r="B45" s="76"/>
      <c r="C45" s="68"/>
      <c r="D45" s="68"/>
      <c r="E45" s="68"/>
      <c r="F45" s="68"/>
      <c r="G45" s="68"/>
      <c r="H45" s="6"/>
      <c r="I45" s="6"/>
      <c r="J45" s="6"/>
      <c r="X45" s="26"/>
    </row>
    <row r="46" spans="2:24" s="4" customFormat="1" ht="16" x14ac:dyDescent="0.2">
      <c r="B46" s="11"/>
      <c r="C46" s="12"/>
      <c r="D46" s="12"/>
      <c r="E46" s="12"/>
      <c r="F46" s="12"/>
      <c r="G46" s="12"/>
      <c r="H46" s="6"/>
      <c r="I46" s="6"/>
      <c r="J46" s="6"/>
      <c r="X46" s="26"/>
    </row>
    <row r="47" spans="2:24" s="4" customFormat="1" ht="19" x14ac:dyDescent="0.25">
      <c r="B47" s="37"/>
      <c r="C47" s="12"/>
      <c r="D47" s="12"/>
      <c r="E47" s="12"/>
      <c r="F47" s="12"/>
      <c r="G47" s="12"/>
      <c r="H47" s="6"/>
      <c r="I47" s="6"/>
      <c r="J47" s="6"/>
      <c r="X47" s="26"/>
    </row>
    <row r="48" spans="2:24" s="4" customFormat="1" ht="19" x14ac:dyDescent="0.25">
      <c r="B48" s="37"/>
      <c r="C48" s="12"/>
      <c r="D48" s="12"/>
      <c r="E48" s="12"/>
      <c r="F48" s="12"/>
      <c r="G48" s="12"/>
      <c r="H48" s="6"/>
      <c r="I48" s="6"/>
      <c r="J48" s="6"/>
      <c r="X48" s="26"/>
    </row>
    <row r="49" spans="2:24" s="4" customFormat="1" ht="16" x14ac:dyDescent="0.2">
      <c r="B49" s="61"/>
      <c r="H49" s="6"/>
      <c r="I49" s="6"/>
      <c r="J49" s="6"/>
      <c r="X49" s="26"/>
    </row>
    <row r="50" spans="2:24" s="4" customFormat="1" ht="16" x14ac:dyDescent="0.2">
      <c r="B50" s="61"/>
      <c r="C50" s="62"/>
      <c r="D50" s="62"/>
      <c r="E50" s="62"/>
      <c r="F50" s="62"/>
      <c r="G50" s="62"/>
      <c r="H50" s="6"/>
      <c r="I50" s="6"/>
      <c r="J50" s="6"/>
      <c r="X50" s="26"/>
    </row>
    <row r="51" spans="2:24" s="4" customFormat="1" ht="16" x14ac:dyDescent="0.2">
      <c r="B51" s="8"/>
      <c r="C51" s="62"/>
      <c r="D51" s="62"/>
      <c r="E51" s="62"/>
      <c r="F51" s="62"/>
      <c r="G51" s="62"/>
      <c r="H51" s="6"/>
      <c r="I51" s="6"/>
      <c r="J51" s="6"/>
      <c r="X51" s="26"/>
    </row>
    <row r="52" spans="2:24" s="4" customFormat="1" ht="16" x14ac:dyDescent="0.2">
      <c r="B52" s="61"/>
      <c r="C52" s="62"/>
      <c r="D52" s="62"/>
      <c r="E52" s="62"/>
      <c r="F52" s="62"/>
      <c r="G52" s="62"/>
      <c r="H52" s="6"/>
      <c r="I52" s="6"/>
      <c r="J52" s="6"/>
      <c r="X52" s="26"/>
    </row>
    <row r="53" spans="2:24" s="4" customFormat="1" ht="16" x14ac:dyDescent="0.2">
      <c r="B53" s="8"/>
      <c r="C53" s="62"/>
      <c r="D53" s="62"/>
      <c r="E53" s="62"/>
      <c r="F53" s="62"/>
      <c r="G53" s="62"/>
      <c r="H53" s="6"/>
      <c r="I53" s="6"/>
      <c r="J53" s="6"/>
      <c r="K53" s="13"/>
      <c r="L53" s="13"/>
      <c r="M53" s="13"/>
      <c r="X53" s="26"/>
    </row>
    <row r="54" spans="2:24" s="4" customFormat="1" ht="16" x14ac:dyDescent="0.2">
      <c r="B54" s="8"/>
      <c r="C54" s="62"/>
      <c r="D54" s="62"/>
      <c r="E54" s="62"/>
      <c r="F54" s="62"/>
      <c r="G54" s="62"/>
      <c r="H54" s="6"/>
      <c r="I54" s="6"/>
      <c r="J54" s="6"/>
      <c r="X54" s="26"/>
    </row>
    <row r="55" spans="2:24" s="4" customFormat="1" ht="16" x14ac:dyDescent="0.2">
      <c r="H55" s="14"/>
      <c r="I55" s="14"/>
      <c r="J55" s="14"/>
      <c r="X55" s="26"/>
    </row>
    <row r="56" spans="2:24" ht="16" x14ac:dyDescent="0.2">
      <c r="X56" s="27"/>
    </row>
    <row r="57" spans="2:24" ht="16" x14ac:dyDescent="0.2">
      <c r="X57" s="27"/>
    </row>
    <row r="58" spans="2:24" ht="16" x14ac:dyDescent="0.2">
      <c r="C58" s="38"/>
      <c r="X58" s="27"/>
    </row>
    <row r="59" spans="2:24" ht="16" x14ac:dyDescent="0.2">
      <c r="C59" s="1"/>
      <c r="X59" s="27"/>
    </row>
    <row r="60" spans="2:24" ht="16" x14ac:dyDescent="0.2">
      <c r="C60" s="40"/>
      <c r="D60" s="40"/>
      <c r="E60" s="40"/>
      <c r="F60" s="40"/>
      <c r="G60" s="40"/>
      <c r="X60" s="27"/>
    </row>
    <row r="61" spans="2:24" ht="16" x14ac:dyDescent="0.2">
      <c r="C61" s="41"/>
      <c r="D61" s="41"/>
      <c r="E61" s="41"/>
      <c r="F61" s="41"/>
      <c r="G61" s="41"/>
      <c r="X61" s="27"/>
    </row>
    <row r="62" spans="2:24" ht="16" x14ac:dyDescent="0.2">
      <c r="B62" s="1"/>
      <c r="C62" s="42"/>
      <c r="D62" s="42"/>
      <c r="E62" s="42"/>
      <c r="F62" s="42"/>
      <c r="G62" s="42"/>
      <c r="X62" s="27"/>
    </row>
    <row r="63" spans="2:24" ht="16" x14ac:dyDescent="0.2">
      <c r="C63" s="41"/>
      <c r="D63" s="41"/>
      <c r="E63" s="41"/>
      <c r="F63" s="41"/>
      <c r="G63" s="41"/>
      <c r="X63" s="27"/>
    </row>
    <row r="64" spans="2:24" ht="16" x14ac:dyDescent="0.2">
      <c r="B64" s="1"/>
      <c r="C64" s="42"/>
      <c r="D64" s="42"/>
      <c r="E64" s="42"/>
      <c r="F64" s="42"/>
      <c r="G64" s="42"/>
      <c r="X64" s="27"/>
    </row>
    <row r="65" spans="2:46" ht="16" x14ac:dyDescent="0.2">
      <c r="C65" s="41"/>
      <c r="D65" s="41"/>
      <c r="E65" s="41"/>
      <c r="F65" s="41"/>
      <c r="G65" s="41"/>
      <c r="X65" s="27"/>
    </row>
    <row r="66" spans="2:46" ht="16" x14ac:dyDescent="0.2">
      <c r="B66" s="1"/>
      <c r="C66" s="42"/>
      <c r="D66" s="42"/>
      <c r="E66" s="42"/>
      <c r="F66" s="42"/>
      <c r="G66" s="42"/>
      <c r="X66" s="27"/>
    </row>
    <row r="67" spans="2:46" ht="16" x14ac:dyDescent="0.2">
      <c r="C67" s="41"/>
      <c r="D67" s="41"/>
      <c r="E67" s="41"/>
      <c r="F67" s="41"/>
      <c r="G67" s="41"/>
      <c r="X67" s="27"/>
    </row>
    <row r="68" spans="2:46" x14ac:dyDescent="0.2">
      <c r="B68" s="1"/>
      <c r="C68" s="43"/>
      <c r="D68" s="43"/>
      <c r="E68" s="43"/>
      <c r="F68" s="43"/>
      <c r="G68" s="43"/>
    </row>
    <row r="69" spans="2:46" x14ac:dyDescent="0.2">
      <c r="C69" s="44"/>
      <c r="D69" s="44"/>
      <c r="E69" s="44"/>
      <c r="F69" s="44"/>
      <c r="G69" s="44"/>
    </row>
    <row r="70" spans="2:46" x14ac:dyDescent="0.2">
      <c r="B70" s="1"/>
      <c r="C70" s="43"/>
      <c r="D70" s="43"/>
      <c r="E70" s="43"/>
      <c r="F70" s="43"/>
      <c r="G70" s="43"/>
    </row>
    <row r="71" spans="2:46" x14ac:dyDescent="0.2">
      <c r="B71" s="45"/>
      <c r="C71" s="46"/>
      <c r="D71" s="47"/>
      <c r="E71" s="47"/>
      <c r="F71" s="47"/>
      <c r="G71" s="47"/>
    </row>
    <row r="72" spans="2:46" x14ac:dyDescent="0.2">
      <c r="B72" s="45"/>
      <c r="C72" s="46"/>
      <c r="D72" s="47"/>
      <c r="E72" s="47"/>
      <c r="F72" s="47"/>
      <c r="G72" s="47"/>
    </row>
    <row r="73" spans="2:46" s="3" customFormat="1" x14ac:dyDescent="0.2">
      <c r="B73" s="1"/>
      <c r="C73" s="48"/>
      <c r="D73" s="48"/>
      <c r="E73" s="48"/>
      <c r="F73" s="48"/>
      <c r="G73" s="48"/>
      <c r="H73" s="49"/>
      <c r="I73" s="4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2:46" x14ac:dyDescent="0.2">
      <c r="C74" s="15"/>
      <c r="D74" s="15"/>
      <c r="E74" s="15"/>
      <c r="F74" s="15"/>
      <c r="G74" s="15"/>
      <c r="H74" s="50"/>
      <c r="I74" s="50"/>
      <c r="J74" s="50"/>
    </row>
    <row r="75" spans="2:46" x14ac:dyDescent="0.2">
      <c r="C75" s="15"/>
      <c r="D75" s="15"/>
      <c r="E75" s="15"/>
      <c r="F75" s="15"/>
      <c r="G75" s="15"/>
      <c r="H75" s="16"/>
      <c r="I75" s="16"/>
      <c r="J75" s="16"/>
    </row>
    <row r="76" spans="2:46" x14ac:dyDescent="0.2">
      <c r="C76" s="51"/>
      <c r="D76" s="16"/>
      <c r="E76" s="16"/>
      <c r="F76" s="16"/>
      <c r="G76" s="16"/>
      <c r="H76" s="16"/>
      <c r="I76" s="16"/>
      <c r="J76" s="16"/>
    </row>
    <row r="77" spans="2:46" x14ac:dyDescent="0.2">
      <c r="B77" s="1"/>
      <c r="C77" s="52"/>
      <c r="D77" s="15"/>
      <c r="E77" s="15"/>
      <c r="F77" s="15"/>
      <c r="G77" s="15"/>
      <c r="H77" s="16"/>
      <c r="I77" s="16"/>
      <c r="J77" s="16"/>
    </row>
    <row r="78" spans="2:46" x14ac:dyDescent="0.2">
      <c r="B78" s="1"/>
      <c r="C78" s="52"/>
      <c r="D78" s="15"/>
      <c r="E78" s="15"/>
      <c r="F78" s="15"/>
      <c r="G78" s="15"/>
      <c r="H78" s="16"/>
      <c r="I78" s="16"/>
      <c r="J78" s="16"/>
    </row>
    <row r="79" spans="2:46" x14ac:dyDescent="0.2">
      <c r="B79" s="1"/>
      <c r="C79" s="52"/>
      <c r="D79" s="15"/>
      <c r="E79" s="15"/>
      <c r="F79" s="15"/>
      <c r="G79" s="15"/>
      <c r="H79" s="16"/>
      <c r="I79" s="16"/>
      <c r="J79" s="16"/>
    </row>
    <row r="80" spans="2:46" x14ac:dyDescent="0.2">
      <c r="B80" s="1"/>
      <c r="C80" s="5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2:19" x14ac:dyDescent="0.2">
      <c r="B81" s="1"/>
      <c r="C81" s="52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2:19" x14ac:dyDescent="0.2">
      <c r="B82" s="1"/>
      <c r="C82" s="52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2:19" x14ac:dyDescent="0.2">
      <c r="B83" s="1"/>
      <c r="C83" s="52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2:19" x14ac:dyDescent="0.2">
      <c r="B84" s="1"/>
      <c r="C84" s="52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2:19" x14ac:dyDescent="0.2">
      <c r="B85" s="1"/>
      <c r="C85" s="5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2:19" x14ac:dyDescent="0.2">
      <c r="B86" s="1"/>
      <c r="C86" s="52"/>
      <c r="D86" s="15"/>
      <c r="E86" s="15"/>
      <c r="F86" s="54"/>
      <c r="G86" s="15"/>
      <c r="H86" s="15"/>
      <c r="I86" s="15"/>
      <c r="J86" s="15"/>
      <c r="K86" s="16"/>
      <c r="L86" s="16"/>
      <c r="M86" s="16"/>
      <c r="N86" s="15"/>
      <c r="O86" s="15"/>
      <c r="P86" s="15"/>
      <c r="Q86" s="15"/>
      <c r="R86" s="15"/>
      <c r="S86" s="15"/>
    </row>
    <row r="87" spans="2:19" x14ac:dyDescent="0.2">
      <c r="B87" s="1"/>
      <c r="C87" s="52"/>
      <c r="D87" s="15"/>
      <c r="E87" s="15"/>
      <c r="F87" s="16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2:19" x14ac:dyDescent="0.2">
      <c r="B88" s="1"/>
      <c r="C88" s="5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2:19" x14ac:dyDescent="0.2">
      <c r="B89" s="1"/>
      <c r="C89" s="5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2:19" x14ac:dyDescent="0.2">
      <c r="B90" s="1"/>
      <c r="C90" s="5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2:19" x14ac:dyDescent="0.2">
      <c r="B91" s="1"/>
      <c r="C91" s="5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2:19" x14ac:dyDescent="0.2">
      <c r="B92" s="1"/>
      <c r="C92" s="5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2:19" x14ac:dyDescent="0.2">
      <c r="B93" s="1"/>
      <c r="C93" s="5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2:19" x14ac:dyDescent="0.2">
      <c r="B94" s="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2:19" x14ac:dyDescent="0.2">
      <c r="B95" s="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2:19" x14ac:dyDescent="0.2">
      <c r="B96" s="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2:19" x14ac:dyDescent="0.2">
      <c r="B97" s="1"/>
      <c r="C97" s="5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2:19" x14ac:dyDescent="0.2">
      <c r="B98" s="1"/>
      <c r="C98" s="5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2:19" x14ac:dyDescent="0.2">
      <c r="B99" s="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2:19" x14ac:dyDescent="0.2">
      <c r="B100" s="1"/>
      <c r="C100" s="5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2:19" x14ac:dyDescent="0.2">
      <c r="B101" s="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2:19" x14ac:dyDescent="0.2">
      <c r="B102" s="1"/>
      <c r="C102" s="5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2:19" x14ac:dyDescent="0.2">
      <c r="B103" s="1"/>
      <c r="C103" s="5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2:19" x14ac:dyDescent="0.2">
      <c r="B104" s="1"/>
      <c r="C104" s="5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2:19" x14ac:dyDescent="0.2">
      <c r="B105" s="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2:19" x14ac:dyDescent="0.2">
      <c r="B106" s="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2:19" x14ac:dyDescent="0.2">
      <c r="C107" s="17"/>
      <c r="D107" s="50"/>
    </row>
    <row r="108" spans="2:19" x14ac:dyDescent="0.2">
      <c r="C108" s="57"/>
    </row>
    <row r="109" spans="2:19" x14ac:dyDescent="0.2">
      <c r="C109" s="50"/>
    </row>
    <row r="110" spans="2:19" x14ac:dyDescent="0.2">
      <c r="C110" s="50"/>
      <c r="D110" s="15"/>
    </row>
    <row r="111" spans="2:19" x14ac:dyDescent="0.2">
      <c r="B111" s="58"/>
    </row>
    <row r="113" spans="2:13" x14ac:dyDescent="0.2">
      <c r="B113" s="1"/>
      <c r="C113" s="48"/>
      <c r="E113" s="1"/>
      <c r="F113" s="49"/>
      <c r="G113" s="15"/>
      <c r="K113" s="17"/>
      <c r="L113" s="17"/>
      <c r="M113" s="17"/>
    </row>
    <row r="114" spans="2:13" x14ac:dyDescent="0.2">
      <c r="E114" s="1"/>
      <c r="K114" s="17"/>
      <c r="L114" s="17"/>
      <c r="M114" s="17"/>
    </row>
    <row r="115" spans="2:13" x14ac:dyDescent="0.2">
      <c r="C115" s="50"/>
      <c r="E115" s="1"/>
      <c r="F115" s="48"/>
      <c r="K115" s="17"/>
      <c r="L115" s="17"/>
      <c r="M115" s="17"/>
    </row>
    <row r="116" spans="2:13" x14ac:dyDescent="0.2">
      <c r="C116" s="50"/>
    </row>
    <row r="117" spans="2:13" x14ac:dyDescent="0.2">
      <c r="C117" s="50"/>
      <c r="F117" s="50"/>
    </row>
    <row r="118" spans="2:13" x14ac:dyDescent="0.2">
      <c r="F118" s="50"/>
    </row>
    <row r="120" spans="2:13" x14ac:dyDescent="0.2">
      <c r="B120" s="1"/>
      <c r="C120" s="48"/>
      <c r="E120" s="1"/>
      <c r="F120" s="49"/>
    </row>
    <row r="121" spans="2:13" x14ac:dyDescent="0.2">
      <c r="F121" s="50"/>
    </row>
    <row r="122" spans="2:13" x14ac:dyDescent="0.2">
      <c r="C122" s="50"/>
      <c r="F122" s="50"/>
    </row>
    <row r="123" spans="2:13" x14ac:dyDescent="0.2">
      <c r="C123" s="50"/>
      <c r="F123" s="50"/>
    </row>
    <row r="124" spans="2:13" x14ac:dyDescent="0.2">
      <c r="B124" s="59"/>
      <c r="C124" s="60"/>
      <c r="F124" s="50"/>
    </row>
    <row r="125" spans="2:13" x14ac:dyDescent="0.2">
      <c r="B125" s="59"/>
      <c r="C125" s="60"/>
      <c r="F125" s="50"/>
    </row>
    <row r="126" spans="2:13" x14ac:dyDescent="0.2">
      <c r="C126" s="50"/>
      <c r="F126" s="50"/>
    </row>
    <row r="129" spans="2:7" x14ac:dyDescent="0.2">
      <c r="B129" s="1"/>
      <c r="C129" s="48"/>
      <c r="E129" s="1"/>
      <c r="F129" s="48"/>
    </row>
    <row r="133" spans="2:7" x14ac:dyDescent="0.2">
      <c r="B133" s="58"/>
    </row>
    <row r="134" spans="2:7" x14ac:dyDescent="0.2">
      <c r="F134" s="50"/>
      <c r="G134" s="50"/>
    </row>
    <row r="135" spans="2:7" x14ac:dyDescent="0.2">
      <c r="B135" s="1"/>
      <c r="C135" s="48"/>
      <c r="E135" s="1"/>
      <c r="F135" s="49"/>
      <c r="G135" s="50"/>
    </row>
    <row r="136" spans="2:7" x14ac:dyDescent="0.2">
      <c r="E136" s="1"/>
      <c r="F136" s="49"/>
      <c r="G136" s="50"/>
    </row>
    <row r="137" spans="2:7" x14ac:dyDescent="0.2">
      <c r="E137" s="1"/>
      <c r="F137" s="49"/>
      <c r="G137" s="50"/>
    </row>
    <row r="138" spans="2:7" x14ac:dyDescent="0.2">
      <c r="E138" s="1"/>
      <c r="F138" s="49"/>
      <c r="G138" s="50"/>
    </row>
    <row r="139" spans="2:7" x14ac:dyDescent="0.2">
      <c r="E139" s="1"/>
      <c r="F139" s="49"/>
      <c r="G139" s="50"/>
    </row>
    <row r="140" spans="2:7" x14ac:dyDescent="0.2">
      <c r="B140" s="1"/>
      <c r="C140" s="48"/>
      <c r="E140" s="1"/>
      <c r="F140" s="49"/>
      <c r="G140" s="50"/>
    </row>
    <row r="141" spans="2:7" x14ac:dyDescent="0.2">
      <c r="F141" s="50"/>
      <c r="G141" s="50"/>
    </row>
    <row r="142" spans="2:7" x14ac:dyDescent="0.2">
      <c r="F142" s="50"/>
      <c r="G142" s="50"/>
    </row>
    <row r="144" spans="2:7" x14ac:dyDescent="0.2">
      <c r="B144" s="1"/>
      <c r="C144" s="48"/>
      <c r="E144" s="1"/>
      <c r="F144" s="48"/>
    </row>
    <row r="148" spans="2:10" x14ac:dyDescent="0.2">
      <c r="B148" s="1"/>
      <c r="C148" s="48"/>
      <c r="E148" s="1"/>
      <c r="F148" s="48"/>
    </row>
    <row r="149" spans="2:10" x14ac:dyDescent="0.2">
      <c r="C149" s="1"/>
      <c r="E149" s="1"/>
      <c r="F149" s="15"/>
    </row>
    <row r="150" spans="2:10" x14ac:dyDescent="0.2">
      <c r="C150" s="1"/>
      <c r="H150" s="15"/>
      <c r="I150" s="15"/>
      <c r="J150" s="15"/>
    </row>
    <row r="151" spans="2:10" x14ac:dyDescent="0.2">
      <c r="B151" s="1"/>
      <c r="C151" s="48"/>
      <c r="E151" s="1"/>
      <c r="F151" s="15"/>
    </row>
    <row r="152" spans="2:10" x14ac:dyDescent="0.2">
      <c r="C152" s="1"/>
      <c r="E152" s="1"/>
    </row>
    <row r="154" spans="2:10" x14ac:dyDescent="0.2">
      <c r="B154" s="1"/>
      <c r="C154" s="48"/>
      <c r="D154" s="1"/>
      <c r="E154" s="1"/>
      <c r="F154" s="4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8414-29F7-6C44-8A43-74B591479E62}">
  <sheetPr>
    <pageSetUpPr fitToPage="1"/>
  </sheetPr>
  <dimension ref="A2:AT154"/>
  <sheetViews>
    <sheetView zoomScale="119" zoomScaleNormal="90" workbookViewId="0">
      <selection activeCell="H15" sqref="H15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325" t="s">
        <v>153</v>
      </c>
    </row>
    <row r="3" spans="1:32" ht="16" thickBot="1" x14ac:dyDescent="0.25">
      <c r="J3" s="314"/>
      <c r="K3" s="315"/>
      <c r="M3" s="314"/>
    </row>
    <row r="4" spans="1:32" ht="17" thickBot="1" x14ac:dyDescent="0.25">
      <c r="B4" s="119"/>
      <c r="C4" s="262" t="s">
        <v>80</v>
      </c>
      <c r="D4" s="20" t="s">
        <v>81</v>
      </c>
      <c r="E4" s="263" t="s">
        <v>82</v>
      </c>
      <c r="F4" s="25" t="s">
        <v>83</v>
      </c>
      <c r="G4" s="23" t="s">
        <v>108</v>
      </c>
      <c r="J4" s="314"/>
      <c r="K4" s="315"/>
      <c r="M4" s="1"/>
      <c r="N4" s="316"/>
    </row>
    <row r="5" spans="1:32" ht="18" thickBot="1" x14ac:dyDescent="0.3">
      <c r="B5" s="113"/>
      <c r="C5" s="117" t="s">
        <v>110</v>
      </c>
      <c r="D5" s="104" t="s">
        <v>111</v>
      </c>
      <c r="E5" s="117" t="s">
        <v>112</v>
      </c>
      <c r="F5" s="104" t="s">
        <v>113</v>
      </c>
      <c r="G5" s="104" t="s">
        <v>114</v>
      </c>
      <c r="I5" s="319" t="s">
        <v>91</v>
      </c>
      <c r="J5" s="86">
        <v>1</v>
      </c>
      <c r="K5" s="317"/>
      <c r="L5" s="4"/>
      <c r="M5" s="314"/>
      <c r="N5" s="318"/>
    </row>
    <row r="6" spans="1:32" ht="17" x14ac:dyDescent="0.25">
      <c r="B6" s="95" t="s">
        <v>96</v>
      </c>
      <c r="C6" s="64">
        <f>'Minimum Operator'!C41</f>
        <v>913877.49989999994</v>
      </c>
      <c r="D6" s="118">
        <f>'Minimum Operator'!D41</f>
        <v>880388.41299599968</v>
      </c>
      <c r="E6" s="30">
        <f>'Minimum Operator'!E41</f>
        <v>845869.19658935256</v>
      </c>
      <c r="F6" s="118">
        <f>'Minimum Operator'!F41</f>
        <v>820617.34711280151</v>
      </c>
      <c r="G6" s="118">
        <f>'Minimum Operator'!G41</f>
        <v>788593.32328556362</v>
      </c>
      <c r="I6" s="320" t="s">
        <v>92</v>
      </c>
      <c r="J6" s="18">
        <v>2</v>
      </c>
      <c r="K6" s="87"/>
      <c r="L6" s="5"/>
      <c r="M6" s="5"/>
      <c r="N6" s="318"/>
    </row>
    <row r="7" spans="1:32" s="4" customFormat="1" ht="17" x14ac:dyDescent="0.25">
      <c r="B7" s="96" t="s">
        <v>88</v>
      </c>
      <c r="C7" s="64">
        <f>'Maximum Operator'!C41</f>
        <v>1318076.0602500001</v>
      </c>
      <c r="D7" s="118">
        <f>'Maximum Operator'!D41</f>
        <v>1436587.5458639995</v>
      </c>
      <c r="E7" s="30">
        <f>'Maximum Operator'!E41</f>
        <v>1499351.6164184399</v>
      </c>
      <c r="F7" s="118">
        <f>'Maximum Operator'!F41</f>
        <v>1563860.836222874</v>
      </c>
      <c r="G7" s="118">
        <f>'Maximum Operator'!G41</f>
        <v>1666695.1927927528</v>
      </c>
      <c r="I7" s="320" t="s">
        <v>93</v>
      </c>
      <c r="J7" s="18">
        <v>3</v>
      </c>
      <c r="K7" s="87"/>
      <c r="L7" s="5"/>
      <c r="M7" s="5"/>
      <c r="N7" s="318"/>
    </row>
    <row r="8" spans="1:32" s="5" customFormat="1" ht="17" x14ac:dyDescent="0.25">
      <c r="B8" s="95" t="s">
        <v>140</v>
      </c>
      <c r="C8" s="64">
        <f>1/EXP((J5-1)*(ABS(C6-C7)/C6))</f>
        <v>1</v>
      </c>
      <c r="D8" s="118">
        <f>1/(J6-1)</f>
        <v>1</v>
      </c>
      <c r="E8" s="30">
        <f>1/(J7-1)</f>
        <v>0.5</v>
      </c>
      <c r="F8" s="118">
        <f>1/(J8-1)</f>
        <v>0.33333333333333331</v>
      </c>
      <c r="G8" s="118">
        <f>1/(J9-1)</f>
        <v>0.25</v>
      </c>
      <c r="I8" s="320" t="s">
        <v>94</v>
      </c>
      <c r="J8" s="18">
        <v>4</v>
      </c>
    </row>
    <row r="9" spans="1:32" s="5" customFormat="1" ht="18" thickBot="1" x14ac:dyDescent="0.3">
      <c r="B9" s="95" t="s">
        <v>150</v>
      </c>
      <c r="C9" s="64">
        <v>1</v>
      </c>
      <c r="D9" s="118">
        <f>1/(ABS(D6-D7)/D7+1)</f>
        <v>0.72089379219359961</v>
      </c>
      <c r="E9" s="30">
        <f t="shared" ref="E9:G9" si="0">1/(ABS(E6-E7)/E7+1)</f>
        <v>0.69645480848670882</v>
      </c>
      <c r="F9" s="118">
        <f t="shared" si="0"/>
        <v>0.67784573894255418</v>
      </c>
      <c r="G9" s="118">
        <f t="shared" si="0"/>
        <v>0.65494228105027108</v>
      </c>
      <c r="I9" s="321" t="s">
        <v>95</v>
      </c>
      <c r="J9" s="88">
        <v>5</v>
      </c>
    </row>
    <row r="10" spans="1:32" s="5" customFormat="1" ht="16" x14ac:dyDescent="0.2">
      <c r="B10" s="95" t="s">
        <v>151</v>
      </c>
      <c r="C10" s="64">
        <f>C8*C9</f>
        <v>1</v>
      </c>
      <c r="D10" s="64">
        <f t="shared" ref="D10:G10" si="1">D8*D9</f>
        <v>0.72089379219359961</v>
      </c>
      <c r="E10" s="64">
        <f t="shared" si="1"/>
        <v>0.34822740424335441</v>
      </c>
      <c r="F10" s="64">
        <f t="shared" si="1"/>
        <v>0.22594857964751805</v>
      </c>
      <c r="G10" s="118">
        <f t="shared" si="1"/>
        <v>0.16373557026256777</v>
      </c>
      <c r="I10" s="1"/>
      <c r="J10"/>
    </row>
    <row r="11" spans="1:32" s="4" customFormat="1" ht="17" thickBot="1" x14ac:dyDescent="0.25">
      <c r="B11" s="97" t="s">
        <v>89</v>
      </c>
      <c r="C11" s="122">
        <f>C7*C10+(1-C10)*C6</f>
        <v>1318076.0602500001</v>
      </c>
      <c r="D11" s="120">
        <f t="shared" ref="D11:G11" si="2">D7*D10+(1-D10)*D6</f>
        <v>1281348.9151040039</v>
      </c>
      <c r="E11" s="122">
        <f t="shared" si="2"/>
        <v>1073429.6833651015</v>
      </c>
      <c r="F11" s="120">
        <f t="shared" si="2"/>
        <v>988552.15780948789</v>
      </c>
      <c r="G11" s="120">
        <f t="shared" si="2"/>
        <v>932369.83363795001</v>
      </c>
      <c r="I11" s="1"/>
      <c r="J11"/>
      <c r="P11" s="92"/>
      <c r="Q11" s="353"/>
      <c r="R11" s="353"/>
      <c r="S11" s="353"/>
      <c r="T11" s="353"/>
      <c r="U11" s="353"/>
      <c r="V11" s="353"/>
      <c r="W11" s="353"/>
      <c r="X11" s="353"/>
      <c r="Y11" s="353"/>
    </row>
    <row r="12" spans="1:32" s="4" customFormat="1" ht="16" x14ac:dyDescent="0.2">
      <c r="Q12" s="26"/>
      <c r="R12" s="26"/>
      <c r="S12" s="29"/>
      <c r="T12" s="26"/>
      <c r="U12" s="26"/>
      <c r="V12" s="29"/>
      <c r="W12" s="26"/>
      <c r="X12" s="26"/>
      <c r="Y12" s="29"/>
    </row>
    <row r="13" spans="1:32" s="24" customFormat="1" ht="16" x14ac:dyDescent="0.2">
      <c r="A13" s="4"/>
      <c r="B13" s="276" t="s">
        <v>139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1"/>
      <c r="Q13" s="322"/>
      <c r="R13" s="322"/>
      <c r="S13" s="31"/>
      <c r="T13" s="322"/>
      <c r="U13" s="322"/>
      <c r="V13" s="31"/>
      <c r="W13" s="322"/>
      <c r="X13" s="34"/>
      <c r="Y13" s="31"/>
      <c r="Z13" s="4"/>
      <c r="AA13" s="4"/>
      <c r="AB13" s="4"/>
      <c r="AC13" s="4"/>
      <c r="AD13" s="4"/>
      <c r="AE13" s="4"/>
      <c r="AF13" s="4"/>
    </row>
    <row r="14" spans="1:32" s="4" customFormat="1" ht="17" thickBot="1" x14ac:dyDescent="0.25">
      <c r="I14" s="19"/>
      <c r="P14" s="31"/>
      <c r="Q14" s="30"/>
      <c r="R14" s="30"/>
      <c r="S14" s="31"/>
      <c r="T14" s="30"/>
      <c r="U14" s="30"/>
      <c r="V14" s="31"/>
      <c r="W14" s="30"/>
      <c r="X14" s="34"/>
      <c r="Y14" s="87"/>
    </row>
    <row r="15" spans="1:32" s="4" customFormat="1" ht="17" thickBot="1" x14ac:dyDescent="0.25">
      <c r="B15" s="80"/>
      <c r="C15" s="166" t="s">
        <v>80</v>
      </c>
      <c r="D15" s="167" t="s">
        <v>81</v>
      </c>
      <c r="E15" s="124" t="s">
        <v>82</v>
      </c>
      <c r="F15" s="168" t="s">
        <v>83</v>
      </c>
      <c r="G15" s="179" t="s">
        <v>108</v>
      </c>
      <c r="H15" s="215" t="s">
        <v>155</v>
      </c>
      <c r="P15" s="31"/>
      <c r="Q15" s="30"/>
      <c r="R15" s="30"/>
      <c r="S15" s="31"/>
      <c r="T15" s="30"/>
      <c r="U15" s="30"/>
      <c r="V15" s="31"/>
      <c r="W15" s="30"/>
      <c r="X15" s="34"/>
      <c r="Y15" s="87"/>
    </row>
    <row r="16" spans="1:32" s="4" customFormat="1" ht="17" thickBot="1" x14ac:dyDescent="0.25">
      <c r="B16" s="84" t="s">
        <v>154</v>
      </c>
      <c r="C16" s="83">
        <f>C11</f>
        <v>1318076.0602500001</v>
      </c>
      <c r="D16" s="81">
        <f>D11</f>
        <v>1281348.9151040039</v>
      </c>
      <c r="E16" s="81">
        <f>E11</f>
        <v>1073429.6833651015</v>
      </c>
      <c r="F16" s="81">
        <f>F11</f>
        <v>988552.15780948789</v>
      </c>
      <c r="G16" s="82">
        <f>G11</f>
        <v>932369.83363795001</v>
      </c>
      <c r="H16" s="222">
        <f>G16*(1+C20)/(C19-C20)</f>
        <v>19020344.606214177</v>
      </c>
      <c r="P16" s="31"/>
      <c r="Q16" s="30"/>
      <c r="R16" s="30"/>
      <c r="S16" s="31"/>
      <c r="T16" s="30"/>
      <c r="U16" s="30"/>
      <c r="V16" s="31"/>
      <c r="W16" s="30"/>
      <c r="X16" s="34"/>
      <c r="Y16" s="87"/>
    </row>
    <row r="17" spans="1:32" s="4" customFormat="1" ht="17" thickBot="1" x14ac:dyDescent="0.25">
      <c r="B17" s="73"/>
      <c r="C17" s="68"/>
      <c r="D17" s="68"/>
      <c r="E17" s="68"/>
      <c r="F17" s="68"/>
      <c r="G17" s="68"/>
      <c r="P17" s="31"/>
      <c r="Q17" s="30"/>
      <c r="R17" s="30"/>
      <c r="S17" s="31"/>
      <c r="T17" s="30"/>
      <c r="U17" s="30"/>
      <c r="V17" s="31"/>
      <c r="W17" s="30"/>
      <c r="X17" s="34"/>
      <c r="Y17" s="87"/>
    </row>
    <row r="18" spans="1:32" s="24" customFormat="1" ht="16" x14ac:dyDescent="0.2">
      <c r="A18" s="4"/>
      <c r="B18" s="279" t="s">
        <v>136</v>
      </c>
      <c r="C18" s="220">
        <v>14921222</v>
      </c>
      <c r="D18" s="78"/>
      <c r="E18" s="78"/>
      <c r="F18" s="78"/>
      <c r="G18" s="78"/>
      <c r="H18" s="4"/>
      <c r="I18" s="4"/>
      <c r="J18" s="4"/>
      <c r="K18" s="4"/>
      <c r="L18" s="4"/>
      <c r="M18" s="4"/>
      <c r="N18" s="4"/>
      <c r="O18" s="4"/>
      <c r="P18" s="31"/>
      <c r="Q18" s="30"/>
      <c r="R18" s="30"/>
      <c r="S18" s="31"/>
      <c r="T18" s="30"/>
      <c r="U18" s="30"/>
      <c r="V18" s="31"/>
      <c r="W18" s="30"/>
      <c r="X18" s="34"/>
      <c r="Y18" s="31"/>
      <c r="Z18" s="4"/>
      <c r="AA18" s="4"/>
      <c r="AB18" s="4"/>
      <c r="AC18" s="4"/>
      <c r="AD18" s="4"/>
      <c r="AE18" s="4"/>
      <c r="AF18" s="4"/>
    </row>
    <row r="19" spans="1:32" s="7" customFormat="1" ht="16" x14ac:dyDescent="0.2">
      <c r="B19" s="281" t="s">
        <v>135</v>
      </c>
      <c r="C19" s="323">
        <v>7.0000000000000007E-2</v>
      </c>
      <c r="D19" s="74"/>
      <c r="E19" s="74"/>
      <c r="F19" s="74"/>
      <c r="G19" s="74"/>
      <c r="H19" s="85"/>
      <c r="I19" s="85"/>
      <c r="P19" s="33"/>
      <c r="Q19" s="32"/>
      <c r="R19" s="32"/>
      <c r="S19" s="33"/>
      <c r="T19" s="32"/>
      <c r="U19" s="32"/>
      <c r="V19" s="33"/>
      <c r="W19" s="32"/>
      <c r="X19" s="35"/>
      <c r="Y19" s="99"/>
    </row>
    <row r="20" spans="1:32" s="4" customFormat="1" ht="17" thickBot="1" x14ac:dyDescent="0.25">
      <c r="B20" s="283" t="s">
        <v>137</v>
      </c>
      <c r="C20" s="324">
        <v>0.02</v>
      </c>
      <c r="D20" s="5"/>
      <c r="E20" s="5"/>
      <c r="F20" s="5"/>
      <c r="G20" s="5"/>
      <c r="H20"/>
      <c r="P20" s="31"/>
      <c r="Q20" s="30"/>
      <c r="R20" s="30"/>
      <c r="S20" s="31"/>
      <c r="T20" s="30"/>
      <c r="U20" s="30"/>
      <c r="V20" s="31"/>
      <c r="W20" s="30"/>
      <c r="X20" s="34"/>
      <c r="Y20" s="87"/>
    </row>
    <row r="21" spans="1:32" s="4" customFormat="1" ht="17" thickBot="1" x14ac:dyDescent="0.25">
      <c r="B21" s="180"/>
      <c r="C21" s="181"/>
      <c r="D21" s="77"/>
      <c r="E21" s="77"/>
      <c r="F21" s="77"/>
      <c r="G21" s="77"/>
      <c r="H21"/>
      <c r="K21" s="30"/>
      <c r="L21" s="30"/>
      <c r="M21" s="31"/>
      <c r="N21" s="30"/>
      <c r="O21" s="30"/>
      <c r="P21" s="31"/>
      <c r="Q21" s="30"/>
      <c r="R21" s="30"/>
      <c r="S21" s="31"/>
      <c r="T21" s="30"/>
      <c r="U21" s="30"/>
      <c r="V21" s="31"/>
      <c r="W21" s="30"/>
      <c r="X21" s="34"/>
      <c r="Y21" s="87"/>
    </row>
    <row r="22" spans="1:32" s="4" customFormat="1" ht="20" thickBot="1" x14ac:dyDescent="0.3">
      <c r="B22" s="327" t="s">
        <v>97</v>
      </c>
      <c r="C22" s="326">
        <f>NPV(C19,C16:G16)-C18+H16/((1+C19)^5)</f>
        <v>3286214.2705365214</v>
      </c>
      <c r="K22" s="30"/>
      <c r="L22" s="30"/>
      <c r="M22" s="31"/>
      <c r="N22" s="30"/>
      <c r="O22" s="30"/>
      <c r="P22" s="31"/>
      <c r="Q22" s="30"/>
      <c r="R22" s="30"/>
      <c r="S22" s="31"/>
      <c r="T22" s="30"/>
      <c r="U22" s="30"/>
      <c r="V22" s="31"/>
      <c r="W22" s="30"/>
      <c r="X22" s="34"/>
      <c r="Y22" s="87"/>
    </row>
    <row r="23" spans="1:32" s="4" customFormat="1" ht="16" x14ac:dyDescent="0.2">
      <c r="K23" s="30"/>
      <c r="L23" s="30"/>
      <c r="M23" s="30"/>
      <c r="N23" s="30"/>
      <c r="O23" s="30"/>
      <c r="P23" s="31"/>
      <c r="Q23" s="30"/>
      <c r="R23" s="30"/>
      <c r="S23" s="31"/>
      <c r="T23" s="30"/>
      <c r="U23" s="30"/>
      <c r="V23" s="31"/>
      <c r="W23" s="30"/>
      <c r="X23" s="34"/>
      <c r="Y23" s="87"/>
    </row>
    <row r="24" spans="1:32" s="4" customFormat="1" ht="16" x14ac:dyDescent="0.2">
      <c r="B24"/>
      <c r="C24"/>
      <c r="D24"/>
      <c r="E24"/>
      <c r="F24"/>
      <c r="G24"/>
      <c r="K24" s="30"/>
      <c r="L24" s="30"/>
      <c r="M24" s="31"/>
      <c r="N24" s="30"/>
      <c r="O24" s="30"/>
      <c r="P24" s="31"/>
      <c r="Q24" s="30"/>
      <c r="R24" s="30"/>
      <c r="S24" s="31"/>
      <c r="T24" s="30"/>
      <c r="U24" s="30"/>
      <c r="V24" s="31"/>
      <c r="W24" s="30"/>
      <c r="X24" s="34"/>
      <c r="Y24" s="87"/>
    </row>
    <row r="25" spans="1:32" s="4" customFormat="1" ht="16" x14ac:dyDescent="0.2">
      <c r="D25"/>
      <c r="E25"/>
      <c r="F25"/>
      <c r="G25"/>
      <c r="H25" s="5"/>
      <c r="K25" s="30"/>
      <c r="L25" s="32"/>
      <c r="M25" s="33"/>
      <c r="N25" s="32"/>
      <c r="O25" s="32"/>
      <c r="P25" s="31"/>
      <c r="Q25" s="30"/>
      <c r="R25" s="30"/>
      <c r="S25" s="31"/>
      <c r="T25" s="30"/>
      <c r="U25" s="30"/>
      <c r="V25" s="31"/>
      <c r="W25" s="30"/>
      <c r="X25" s="34"/>
      <c r="Y25" s="87"/>
    </row>
    <row r="26" spans="1:32" s="4" customFormat="1" ht="16" x14ac:dyDescent="0.2">
      <c r="K26" s="98"/>
      <c r="L26" s="30"/>
      <c r="M26" s="31"/>
      <c r="N26" s="30"/>
      <c r="O26" s="30"/>
      <c r="P26" s="31"/>
      <c r="Q26" s="30"/>
      <c r="R26" s="30"/>
      <c r="S26" s="31"/>
      <c r="T26" s="30"/>
      <c r="U26" s="30"/>
      <c r="V26" s="31"/>
      <c r="W26" s="30"/>
      <c r="X26" s="34"/>
      <c r="Y26" s="87"/>
    </row>
    <row r="27" spans="1:32" s="24" customFormat="1" ht="1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90"/>
      <c r="L27" s="90"/>
      <c r="M27" s="89"/>
      <c r="N27" s="90"/>
      <c r="O27" s="90"/>
      <c r="P27" s="89"/>
      <c r="Q27" s="90"/>
      <c r="R27" s="90"/>
      <c r="S27" s="89"/>
      <c r="T27" s="90"/>
      <c r="U27" s="90"/>
      <c r="V27" s="89"/>
      <c r="W27" s="90"/>
      <c r="X27" s="91"/>
      <c r="Y27" s="89"/>
      <c r="Z27" s="4"/>
      <c r="AA27" s="4"/>
      <c r="AB27" s="4"/>
      <c r="AC27" s="4"/>
      <c r="AD27" s="4"/>
      <c r="AE27" s="4"/>
      <c r="AF27" s="4"/>
    </row>
    <row r="28" spans="1:32" s="4" customFormat="1" ht="16" x14ac:dyDescent="0.2">
      <c r="K28" s="30"/>
      <c r="L28" s="30"/>
      <c r="M28" s="31"/>
      <c r="N28" s="30"/>
      <c r="O28" s="30"/>
      <c r="P28" s="31"/>
      <c r="Q28" s="30"/>
      <c r="R28" s="30"/>
      <c r="S28" s="31"/>
      <c r="T28" s="30"/>
      <c r="U28" s="30"/>
      <c r="V28" s="31"/>
      <c r="W28" s="30"/>
      <c r="X28" s="34"/>
      <c r="Y28" s="87"/>
    </row>
    <row r="29" spans="1:32" s="24" customFormat="1" ht="16" x14ac:dyDescent="0.15">
      <c r="A29" s="4"/>
      <c r="B29" s="4"/>
      <c r="C29" s="4"/>
      <c r="D29" s="4"/>
      <c r="E29" s="4"/>
      <c r="F29" s="4"/>
      <c r="G29" s="4"/>
      <c r="H29" s="19"/>
      <c r="I29" s="4"/>
      <c r="J29" s="4"/>
      <c r="K29" s="90"/>
      <c r="L29" s="90"/>
      <c r="M29" s="89"/>
      <c r="N29" s="90"/>
      <c r="O29" s="90"/>
      <c r="P29" s="89"/>
      <c r="Q29" s="90"/>
      <c r="R29" s="90"/>
      <c r="S29" s="89"/>
      <c r="T29" s="90"/>
      <c r="U29" s="90"/>
      <c r="V29" s="89"/>
      <c r="W29" s="90"/>
      <c r="X29" s="90"/>
      <c r="Y29" s="89"/>
      <c r="Z29" s="4"/>
      <c r="AA29" s="4"/>
      <c r="AB29" s="4"/>
      <c r="AC29" s="4"/>
      <c r="AD29" s="4"/>
      <c r="AE29" s="4"/>
      <c r="AF29" s="4"/>
    </row>
    <row r="30" spans="1:32" s="4" customFormat="1" ht="23.25" hidden="1" customHeight="1" x14ac:dyDescent="0.2">
      <c r="B30" s="73"/>
      <c r="C30" s="67"/>
      <c r="D30" s="67"/>
      <c r="E30" s="67"/>
      <c r="F30" s="67"/>
      <c r="G30" s="67"/>
      <c r="K30" s="90"/>
      <c r="L30" s="90"/>
      <c r="M30" s="89"/>
      <c r="N30" s="90"/>
      <c r="O30" s="90"/>
      <c r="P30" s="89"/>
      <c r="Q30" s="90"/>
      <c r="R30" s="90"/>
      <c r="S30" s="89"/>
      <c r="T30" s="90"/>
      <c r="U30" s="90"/>
      <c r="V30" s="89"/>
      <c r="W30" s="90"/>
      <c r="X30" s="90"/>
      <c r="Y30" s="100"/>
    </row>
    <row r="31" spans="1:32" s="4" customFormat="1" ht="16" x14ac:dyDescent="0.2">
      <c r="B31" s="73"/>
      <c r="C31" s="69"/>
      <c r="D31" s="69"/>
      <c r="E31" s="69"/>
      <c r="F31" s="69"/>
      <c r="G31" s="69"/>
      <c r="K31" s="90"/>
      <c r="L31" s="90"/>
      <c r="M31" s="89"/>
      <c r="N31" s="90"/>
      <c r="O31" s="90"/>
      <c r="P31" s="89"/>
      <c r="Q31" s="90"/>
      <c r="R31" s="90"/>
      <c r="S31" s="89"/>
      <c r="T31" s="90"/>
      <c r="U31" s="90"/>
      <c r="V31" s="89"/>
      <c r="W31" s="90"/>
      <c r="X31" s="90"/>
      <c r="Y31" s="100"/>
    </row>
    <row r="32" spans="1:32" s="24" customFormat="1" ht="16" x14ac:dyDescent="0.2">
      <c r="A32" s="4"/>
      <c r="B32" s="73"/>
      <c r="C32" s="79"/>
      <c r="D32" s="79"/>
      <c r="E32" s="79"/>
      <c r="F32" s="79"/>
      <c r="G32" s="79"/>
      <c r="H32" s="4"/>
      <c r="I32" s="4"/>
      <c r="J32" s="4"/>
      <c r="K32" s="90"/>
      <c r="L32" s="90"/>
      <c r="M32" s="89"/>
      <c r="N32" s="90"/>
      <c r="O32" s="90"/>
      <c r="P32" s="89"/>
      <c r="Q32" s="90"/>
      <c r="R32" s="90"/>
      <c r="S32" s="89"/>
      <c r="T32" s="90"/>
      <c r="U32" s="90"/>
      <c r="V32" s="89"/>
      <c r="W32" s="90"/>
      <c r="X32" s="90"/>
      <c r="Y32" s="89"/>
      <c r="Z32" s="4"/>
      <c r="AA32" s="4"/>
      <c r="AB32" s="4"/>
      <c r="AC32" s="4"/>
      <c r="AD32" s="4"/>
      <c r="AE32" s="4"/>
      <c r="AF32" s="4"/>
    </row>
    <row r="33" spans="2:24" s="4" customFormat="1" ht="16" x14ac:dyDescent="0.2">
      <c r="B33" s="8"/>
      <c r="D33" s="9"/>
      <c r="E33" s="9"/>
      <c r="F33" s="9"/>
      <c r="G33" s="9"/>
      <c r="H33" s="9"/>
      <c r="I33" s="9"/>
      <c r="J33" s="9"/>
      <c r="K33" s="9"/>
      <c r="L33" s="9"/>
      <c r="M33" s="9"/>
      <c r="X33" s="26"/>
    </row>
    <row r="34" spans="2:24" s="4" customFormat="1" ht="19" x14ac:dyDescent="0.25">
      <c r="B34" s="37"/>
      <c r="C34" s="6"/>
      <c r="X34" s="26"/>
    </row>
    <row r="35" spans="2:24" s="4" customFormat="1" ht="16" x14ac:dyDescent="0.2">
      <c r="B35" s="10"/>
      <c r="C35" s="6"/>
      <c r="X35" s="26"/>
    </row>
    <row r="36" spans="2:24" s="4" customFormat="1" ht="16" x14ac:dyDescent="0.2">
      <c r="B36" s="61"/>
      <c r="C36" s="77"/>
      <c r="D36" s="77"/>
      <c r="E36" s="77"/>
      <c r="F36" s="77"/>
      <c r="G36" s="77"/>
      <c r="X36" s="26"/>
    </row>
    <row r="37" spans="2:24" s="4" customFormat="1" ht="16" x14ac:dyDescent="0.2">
      <c r="B37" s="75"/>
      <c r="C37" s="68"/>
      <c r="D37" s="68"/>
      <c r="E37" s="68"/>
      <c r="F37" s="68"/>
      <c r="G37" s="68"/>
      <c r="H37" s="6"/>
      <c r="I37" s="6"/>
      <c r="J37" s="6"/>
      <c r="X37" s="26"/>
    </row>
    <row r="38" spans="2:24" s="4" customFormat="1" ht="16" x14ac:dyDescent="0.2">
      <c r="B38" s="75"/>
      <c r="C38" s="68"/>
      <c r="D38" s="68"/>
      <c r="E38" s="68"/>
      <c r="F38" s="68"/>
      <c r="G38" s="68"/>
      <c r="H38" s="6"/>
      <c r="I38" s="6"/>
      <c r="J38" s="6"/>
      <c r="X38" s="26"/>
    </row>
    <row r="39" spans="2:24" s="4" customFormat="1" ht="16" x14ac:dyDescent="0.2">
      <c r="B39" s="76"/>
      <c r="C39" s="68"/>
      <c r="D39" s="68"/>
      <c r="E39" s="68"/>
      <c r="F39" s="68"/>
      <c r="G39" s="68"/>
      <c r="H39" s="6"/>
      <c r="I39" s="6"/>
      <c r="J39" s="6"/>
      <c r="X39" s="26"/>
    </row>
    <row r="40" spans="2:24" s="4" customFormat="1" ht="16" x14ac:dyDescent="0.2">
      <c r="B40" s="75"/>
      <c r="C40" s="68"/>
      <c r="D40" s="68"/>
      <c r="E40" s="68"/>
      <c r="F40" s="68"/>
      <c r="G40" s="68"/>
      <c r="H40" s="6"/>
      <c r="I40" s="6"/>
      <c r="J40" s="6"/>
      <c r="X40" s="26"/>
    </row>
    <row r="41" spans="2:24" s="4" customFormat="1" ht="16" x14ac:dyDescent="0.2">
      <c r="B41" s="76"/>
      <c r="C41" s="68"/>
      <c r="D41" s="68"/>
      <c r="E41" s="68"/>
      <c r="F41" s="68"/>
      <c r="G41" s="68"/>
      <c r="H41" s="6"/>
      <c r="I41" s="6"/>
      <c r="J41" s="6"/>
      <c r="X41" s="26"/>
    </row>
    <row r="42" spans="2:24" s="4" customFormat="1" ht="16" x14ac:dyDescent="0.2">
      <c r="B42" s="75"/>
      <c r="C42" s="68"/>
      <c r="D42" s="68"/>
      <c r="E42" s="68"/>
      <c r="F42" s="68"/>
      <c r="G42" s="68"/>
      <c r="H42" s="6"/>
      <c r="I42" s="6"/>
      <c r="J42" s="6"/>
      <c r="X42" s="26"/>
    </row>
    <row r="43" spans="2:24" s="4" customFormat="1" ht="16" x14ac:dyDescent="0.2">
      <c r="B43" s="76"/>
      <c r="C43" s="68"/>
      <c r="D43" s="68"/>
      <c r="E43" s="68"/>
      <c r="F43" s="68"/>
      <c r="G43" s="68"/>
      <c r="H43" s="6"/>
      <c r="I43" s="6"/>
      <c r="J43" s="6"/>
      <c r="X43" s="26"/>
    </row>
    <row r="44" spans="2:24" s="4" customFormat="1" ht="16" x14ac:dyDescent="0.2">
      <c r="B44" s="75"/>
      <c r="C44" s="68"/>
      <c r="D44" s="68"/>
      <c r="E44" s="68"/>
      <c r="F44" s="68"/>
      <c r="G44" s="68"/>
      <c r="H44" s="6"/>
      <c r="I44" s="6"/>
      <c r="J44" s="6"/>
      <c r="X44" s="26"/>
    </row>
    <row r="45" spans="2:24" s="4" customFormat="1" ht="16" x14ac:dyDescent="0.2">
      <c r="B45" s="76"/>
      <c r="C45" s="68"/>
      <c r="D45" s="68"/>
      <c r="E45" s="68"/>
      <c r="F45" s="68"/>
      <c r="G45" s="68"/>
      <c r="H45" s="6"/>
      <c r="I45" s="6"/>
      <c r="J45" s="6"/>
      <c r="X45" s="26"/>
    </row>
    <row r="46" spans="2:24" s="4" customFormat="1" ht="16" x14ac:dyDescent="0.2">
      <c r="B46" s="11"/>
      <c r="C46" s="12"/>
      <c r="D46" s="12"/>
      <c r="E46" s="12"/>
      <c r="F46" s="12"/>
      <c r="G46" s="12"/>
      <c r="H46" s="6"/>
      <c r="I46" s="6"/>
      <c r="J46" s="6"/>
      <c r="X46" s="26"/>
    </row>
    <row r="47" spans="2:24" s="4" customFormat="1" ht="19" x14ac:dyDescent="0.25">
      <c r="B47" s="37"/>
      <c r="C47" s="12"/>
      <c r="D47" s="12"/>
      <c r="E47" s="12"/>
      <c r="F47" s="12"/>
      <c r="G47" s="12"/>
      <c r="H47" s="6"/>
      <c r="I47" s="6"/>
      <c r="J47" s="6"/>
      <c r="X47" s="26"/>
    </row>
    <row r="48" spans="2:24" s="4" customFormat="1" ht="19" x14ac:dyDescent="0.25">
      <c r="B48" s="37"/>
      <c r="C48" s="12"/>
      <c r="D48" s="12"/>
      <c r="E48" s="12"/>
      <c r="F48" s="12"/>
      <c r="G48" s="12"/>
      <c r="H48" s="6"/>
      <c r="I48" s="6"/>
      <c r="J48" s="6"/>
      <c r="X48" s="26"/>
    </row>
    <row r="49" spans="2:24" s="4" customFormat="1" ht="16" x14ac:dyDescent="0.2">
      <c r="B49" s="61"/>
      <c r="H49" s="6"/>
      <c r="I49" s="6"/>
      <c r="J49" s="6"/>
      <c r="X49" s="26"/>
    </row>
    <row r="50" spans="2:24" s="4" customFormat="1" ht="16" x14ac:dyDescent="0.2">
      <c r="B50" s="61"/>
      <c r="C50" s="62"/>
      <c r="D50" s="62"/>
      <c r="E50" s="62"/>
      <c r="F50" s="62"/>
      <c r="G50" s="62"/>
      <c r="H50" s="6"/>
      <c r="I50" s="6"/>
      <c r="J50" s="6"/>
      <c r="X50" s="26"/>
    </row>
    <row r="51" spans="2:24" s="4" customFormat="1" ht="16" x14ac:dyDescent="0.2">
      <c r="B51" s="8"/>
      <c r="C51" s="62"/>
      <c r="D51" s="62"/>
      <c r="E51" s="62"/>
      <c r="F51" s="62"/>
      <c r="G51" s="62"/>
      <c r="H51" s="6"/>
      <c r="I51" s="6"/>
      <c r="J51" s="6"/>
      <c r="X51" s="26"/>
    </row>
    <row r="52" spans="2:24" s="4" customFormat="1" ht="16" x14ac:dyDescent="0.2">
      <c r="B52" s="61"/>
      <c r="C52" s="62"/>
      <c r="D52" s="62"/>
      <c r="E52" s="62"/>
      <c r="F52" s="62"/>
      <c r="G52" s="62"/>
      <c r="H52" s="6"/>
      <c r="I52" s="6"/>
      <c r="J52" s="6"/>
      <c r="X52" s="26"/>
    </row>
    <row r="53" spans="2:24" s="4" customFormat="1" ht="16" x14ac:dyDescent="0.2">
      <c r="B53" s="8"/>
      <c r="C53" s="62"/>
      <c r="D53" s="62"/>
      <c r="E53" s="62"/>
      <c r="F53" s="62"/>
      <c r="G53" s="62"/>
      <c r="H53" s="6"/>
      <c r="I53" s="6"/>
      <c r="J53" s="6"/>
      <c r="K53" s="13"/>
      <c r="L53" s="13"/>
      <c r="M53" s="13"/>
      <c r="X53" s="26"/>
    </row>
    <row r="54" spans="2:24" s="4" customFormat="1" ht="16" x14ac:dyDescent="0.2">
      <c r="B54" s="8"/>
      <c r="C54" s="62"/>
      <c r="D54" s="62"/>
      <c r="E54" s="62"/>
      <c r="F54" s="62"/>
      <c r="G54" s="62"/>
      <c r="H54" s="6"/>
      <c r="I54" s="6"/>
      <c r="J54" s="6"/>
      <c r="X54" s="26"/>
    </row>
    <row r="55" spans="2:24" s="4" customFormat="1" ht="16" x14ac:dyDescent="0.2">
      <c r="H55" s="14"/>
      <c r="I55" s="14"/>
      <c r="J55" s="14"/>
      <c r="X55" s="26"/>
    </row>
    <row r="56" spans="2:24" ht="16" x14ac:dyDescent="0.2">
      <c r="X56" s="27"/>
    </row>
    <row r="57" spans="2:24" ht="16" x14ac:dyDescent="0.2">
      <c r="X57" s="27"/>
    </row>
    <row r="58" spans="2:24" ht="16" x14ac:dyDescent="0.2">
      <c r="C58" s="38"/>
      <c r="X58" s="27"/>
    </row>
    <row r="59" spans="2:24" ht="16" x14ac:dyDescent="0.2">
      <c r="C59" s="1"/>
      <c r="X59" s="27"/>
    </row>
    <row r="60" spans="2:24" ht="16" x14ac:dyDescent="0.2">
      <c r="C60" s="40"/>
      <c r="D60" s="40"/>
      <c r="E60" s="40"/>
      <c r="F60" s="40"/>
      <c r="G60" s="40"/>
      <c r="X60" s="27"/>
    </row>
    <row r="61" spans="2:24" ht="16" x14ac:dyDescent="0.2">
      <c r="C61" s="41"/>
      <c r="D61" s="41"/>
      <c r="E61" s="41"/>
      <c r="F61" s="41"/>
      <c r="G61" s="41"/>
      <c r="X61" s="27"/>
    </row>
    <row r="62" spans="2:24" ht="16" x14ac:dyDescent="0.2">
      <c r="B62" s="1"/>
      <c r="C62" s="42"/>
      <c r="D62" s="42"/>
      <c r="E62" s="42"/>
      <c r="F62" s="42"/>
      <c r="G62" s="42"/>
      <c r="X62" s="27"/>
    </row>
    <row r="63" spans="2:24" ht="16" x14ac:dyDescent="0.2">
      <c r="C63" s="41"/>
      <c r="D63" s="41"/>
      <c r="E63" s="41"/>
      <c r="F63" s="41"/>
      <c r="G63" s="41"/>
      <c r="X63" s="27"/>
    </row>
    <row r="64" spans="2:24" ht="16" x14ac:dyDescent="0.2">
      <c r="B64" s="1"/>
      <c r="C64" s="42"/>
      <c r="D64" s="42"/>
      <c r="E64" s="42"/>
      <c r="F64" s="42"/>
      <c r="G64" s="42"/>
      <c r="X64" s="27"/>
    </row>
    <row r="65" spans="2:46" ht="16" x14ac:dyDescent="0.2">
      <c r="C65" s="41"/>
      <c r="D65" s="41"/>
      <c r="E65" s="41"/>
      <c r="F65" s="41"/>
      <c r="G65" s="41"/>
      <c r="X65" s="27"/>
    </row>
    <row r="66" spans="2:46" ht="16" x14ac:dyDescent="0.2">
      <c r="B66" s="1"/>
      <c r="C66" s="42"/>
      <c r="D66" s="42"/>
      <c r="E66" s="42"/>
      <c r="F66" s="42"/>
      <c r="G66" s="42"/>
      <c r="X66" s="27"/>
    </row>
    <row r="67" spans="2:46" ht="16" x14ac:dyDescent="0.2">
      <c r="C67" s="41"/>
      <c r="D67" s="41"/>
      <c r="E67" s="41"/>
      <c r="F67" s="41"/>
      <c r="G67" s="41"/>
      <c r="X67" s="27"/>
    </row>
    <row r="68" spans="2:46" x14ac:dyDescent="0.2">
      <c r="B68" s="1"/>
      <c r="C68" s="43"/>
      <c r="D68" s="43"/>
      <c r="E68" s="43"/>
      <c r="F68" s="43"/>
      <c r="G68" s="43"/>
    </row>
    <row r="69" spans="2:46" x14ac:dyDescent="0.2">
      <c r="C69" s="44"/>
      <c r="D69" s="44"/>
      <c r="E69" s="44"/>
      <c r="F69" s="44"/>
      <c r="G69" s="44"/>
    </row>
    <row r="70" spans="2:46" x14ac:dyDescent="0.2">
      <c r="B70" s="1"/>
      <c r="C70" s="43"/>
      <c r="D70" s="43"/>
      <c r="E70" s="43"/>
      <c r="F70" s="43"/>
      <c r="G70" s="43"/>
    </row>
    <row r="71" spans="2:46" x14ac:dyDescent="0.2">
      <c r="B71" s="45"/>
      <c r="C71" s="46"/>
      <c r="D71" s="47"/>
      <c r="E71" s="47"/>
      <c r="F71" s="47"/>
      <c r="G71" s="47"/>
    </row>
    <row r="72" spans="2:46" x14ac:dyDescent="0.2">
      <c r="B72" s="45"/>
      <c r="C72" s="46"/>
      <c r="D72" s="47"/>
      <c r="E72" s="47"/>
      <c r="F72" s="47"/>
      <c r="G72" s="47"/>
    </row>
    <row r="73" spans="2:46" s="3" customFormat="1" x14ac:dyDescent="0.2">
      <c r="B73" s="1"/>
      <c r="C73" s="48"/>
      <c r="D73" s="48"/>
      <c r="E73" s="48"/>
      <c r="F73" s="48"/>
      <c r="G73" s="48"/>
      <c r="H73" s="49"/>
      <c r="I73" s="4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2:46" x14ac:dyDescent="0.2">
      <c r="C74" s="15"/>
      <c r="D74" s="15"/>
      <c r="E74" s="15"/>
      <c r="F74" s="15"/>
      <c r="G74" s="15"/>
      <c r="H74" s="50"/>
      <c r="I74" s="50"/>
      <c r="J74" s="50"/>
    </row>
    <row r="75" spans="2:46" x14ac:dyDescent="0.2">
      <c r="C75" s="15"/>
      <c r="D75" s="15"/>
      <c r="E75" s="15"/>
      <c r="F75" s="15"/>
      <c r="G75" s="15"/>
      <c r="H75" s="16"/>
      <c r="I75" s="16"/>
      <c r="J75" s="16"/>
    </row>
    <row r="76" spans="2:46" x14ac:dyDescent="0.2">
      <c r="C76" s="51"/>
      <c r="D76" s="16"/>
      <c r="E76" s="16"/>
      <c r="F76" s="16"/>
      <c r="G76" s="16"/>
      <c r="H76" s="16"/>
      <c r="I76" s="16"/>
      <c r="J76" s="16"/>
    </row>
    <row r="77" spans="2:46" x14ac:dyDescent="0.2">
      <c r="B77" s="1"/>
      <c r="C77" s="52"/>
      <c r="D77" s="15"/>
      <c r="E77" s="15"/>
      <c r="F77" s="15"/>
      <c r="G77" s="15"/>
      <c r="H77" s="16"/>
      <c r="I77" s="16"/>
      <c r="J77" s="16"/>
    </row>
    <row r="78" spans="2:46" x14ac:dyDescent="0.2">
      <c r="B78" s="1"/>
      <c r="C78" s="52"/>
      <c r="D78" s="15"/>
      <c r="E78" s="15"/>
      <c r="F78" s="15"/>
      <c r="G78" s="15"/>
      <c r="H78" s="16"/>
      <c r="I78" s="16"/>
      <c r="J78" s="16"/>
    </row>
    <row r="79" spans="2:46" x14ac:dyDescent="0.2">
      <c r="B79" s="1"/>
      <c r="C79" s="52"/>
      <c r="D79" s="15"/>
      <c r="E79" s="15"/>
      <c r="F79" s="15"/>
      <c r="G79" s="15"/>
      <c r="H79" s="16"/>
      <c r="I79" s="16"/>
      <c r="J79" s="16"/>
    </row>
    <row r="80" spans="2:46" x14ac:dyDescent="0.2">
      <c r="B80" s="1"/>
      <c r="C80" s="5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2:19" x14ac:dyDescent="0.2">
      <c r="B81" s="1"/>
      <c r="C81" s="52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2:19" x14ac:dyDescent="0.2">
      <c r="B82" s="1"/>
      <c r="C82" s="52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2:19" x14ac:dyDescent="0.2">
      <c r="B83" s="1"/>
      <c r="C83" s="52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2:19" x14ac:dyDescent="0.2">
      <c r="B84" s="1"/>
      <c r="C84" s="52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2:19" x14ac:dyDescent="0.2">
      <c r="B85" s="1"/>
      <c r="C85" s="5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2:19" x14ac:dyDescent="0.2">
      <c r="B86" s="1"/>
      <c r="C86" s="52"/>
      <c r="D86" s="15"/>
      <c r="E86" s="15"/>
      <c r="F86" s="54"/>
      <c r="G86" s="15"/>
      <c r="H86" s="15"/>
      <c r="I86" s="15"/>
      <c r="J86" s="15"/>
      <c r="K86" s="16"/>
      <c r="L86" s="16"/>
      <c r="M86" s="16"/>
      <c r="N86" s="15"/>
      <c r="O86" s="15"/>
      <c r="P86" s="15"/>
      <c r="Q86" s="15"/>
      <c r="R86" s="15"/>
      <c r="S86" s="15"/>
    </row>
    <row r="87" spans="2:19" x14ac:dyDescent="0.2">
      <c r="B87" s="1"/>
      <c r="C87" s="52"/>
      <c r="D87" s="15"/>
      <c r="E87" s="15"/>
      <c r="F87" s="16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2:19" x14ac:dyDescent="0.2">
      <c r="B88" s="1"/>
      <c r="C88" s="5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2:19" x14ac:dyDescent="0.2">
      <c r="B89" s="1"/>
      <c r="C89" s="5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2:19" x14ac:dyDescent="0.2">
      <c r="B90" s="1"/>
      <c r="C90" s="5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2:19" x14ac:dyDescent="0.2">
      <c r="B91" s="1"/>
      <c r="C91" s="5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2:19" x14ac:dyDescent="0.2">
      <c r="B92" s="1"/>
      <c r="C92" s="5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2:19" x14ac:dyDescent="0.2">
      <c r="B93" s="1"/>
      <c r="C93" s="5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2:19" x14ac:dyDescent="0.2">
      <c r="B94" s="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2:19" x14ac:dyDescent="0.2">
      <c r="B95" s="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2:19" x14ac:dyDescent="0.2">
      <c r="B96" s="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2:19" x14ac:dyDescent="0.2">
      <c r="B97" s="1"/>
      <c r="C97" s="5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2:19" x14ac:dyDescent="0.2">
      <c r="B98" s="1"/>
      <c r="C98" s="5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2:19" x14ac:dyDescent="0.2">
      <c r="B99" s="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2:19" x14ac:dyDescent="0.2">
      <c r="B100" s="1"/>
      <c r="C100" s="5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2:19" x14ac:dyDescent="0.2">
      <c r="B101" s="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2:19" x14ac:dyDescent="0.2">
      <c r="B102" s="1"/>
      <c r="C102" s="5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2:19" x14ac:dyDescent="0.2">
      <c r="B103" s="1"/>
      <c r="C103" s="5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2:19" x14ac:dyDescent="0.2">
      <c r="B104" s="1"/>
      <c r="C104" s="5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2:19" x14ac:dyDescent="0.2">
      <c r="B105" s="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2:19" x14ac:dyDescent="0.2">
      <c r="B106" s="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2:19" x14ac:dyDescent="0.2">
      <c r="C107" s="17"/>
      <c r="D107" s="50"/>
    </row>
    <row r="108" spans="2:19" x14ac:dyDescent="0.2">
      <c r="C108" s="57"/>
    </row>
    <row r="109" spans="2:19" x14ac:dyDescent="0.2">
      <c r="C109" s="50"/>
    </row>
    <row r="110" spans="2:19" x14ac:dyDescent="0.2">
      <c r="C110" s="50"/>
      <c r="D110" s="15"/>
    </row>
    <row r="111" spans="2:19" x14ac:dyDescent="0.2">
      <c r="B111" s="58"/>
    </row>
    <row r="113" spans="2:13" x14ac:dyDescent="0.2">
      <c r="B113" s="1"/>
      <c r="C113" s="48"/>
      <c r="E113" s="1"/>
      <c r="F113" s="49"/>
      <c r="G113" s="15"/>
      <c r="K113" s="17"/>
      <c r="L113" s="17"/>
      <c r="M113" s="17"/>
    </row>
    <row r="114" spans="2:13" x14ac:dyDescent="0.2">
      <c r="E114" s="1"/>
      <c r="K114" s="17"/>
      <c r="L114" s="17"/>
      <c r="M114" s="17"/>
    </row>
    <row r="115" spans="2:13" x14ac:dyDescent="0.2">
      <c r="C115" s="50"/>
      <c r="E115" s="1"/>
      <c r="F115" s="48"/>
      <c r="K115" s="17"/>
      <c r="L115" s="17"/>
      <c r="M115" s="17"/>
    </row>
    <row r="116" spans="2:13" x14ac:dyDescent="0.2">
      <c r="C116" s="50"/>
    </row>
    <row r="117" spans="2:13" x14ac:dyDescent="0.2">
      <c r="C117" s="50"/>
      <c r="F117" s="50"/>
    </row>
    <row r="118" spans="2:13" x14ac:dyDescent="0.2">
      <c r="F118" s="50"/>
    </row>
    <row r="120" spans="2:13" x14ac:dyDescent="0.2">
      <c r="B120" s="1"/>
      <c r="C120" s="48"/>
      <c r="E120" s="1"/>
      <c r="F120" s="49"/>
    </row>
    <row r="121" spans="2:13" x14ac:dyDescent="0.2">
      <c r="F121" s="50"/>
    </row>
    <row r="122" spans="2:13" x14ac:dyDescent="0.2">
      <c r="C122" s="50"/>
      <c r="F122" s="50"/>
    </row>
    <row r="123" spans="2:13" x14ac:dyDescent="0.2">
      <c r="C123" s="50"/>
      <c r="F123" s="50"/>
    </row>
    <row r="124" spans="2:13" x14ac:dyDescent="0.2">
      <c r="B124" s="59"/>
      <c r="C124" s="60"/>
      <c r="F124" s="50"/>
    </row>
    <row r="125" spans="2:13" x14ac:dyDescent="0.2">
      <c r="B125" s="59"/>
      <c r="C125" s="60"/>
      <c r="F125" s="50"/>
    </row>
    <row r="126" spans="2:13" x14ac:dyDescent="0.2">
      <c r="C126" s="50"/>
      <c r="F126" s="50"/>
    </row>
    <row r="129" spans="2:7" x14ac:dyDescent="0.2">
      <c r="B129" s="1"/>
      <c r="C129" s="48"/>
      <c r="E129" s="1"/>
      <c r="F129" s="48"/>
    </row>
    <row r="133" spans="2:7" x14ac:dyDescent="0.2">
      <c r="B133" s="58"/>
    </row>
    <row r="134" spans="2:7" x14ac:dyDescent="0.2">
      <c r="F134" s="50"/>
      <c r="G134" s="50"/>
    </row>
    <row r="135" spans="2:7" x14ac:dyDescent="0.2">
      <c r="B135" s="1"/>
      <c r="C135" s="48"/>
      <c r="E135" s="1"/>
      <c r="F135" s="49"/>
      <c r="G135" s="50"/>
    </row>
    <row r="136" spans="2:7" x14ac:dyDescent="0.2">
      <c r="E136" s="1"/>
      <c r="F136" s="49"/>
      <c r="G136" s="50"/>
    </row>
    <row r="137" spans="2:7" x14ac:dyDescent="0.2">
      <c r="E137" s="1"/>
      <c r="F137" s="49"/>
      <c r="G137" s="50"/>
    </row>
    <row r="138" spans="2:7" x14ac:dyDescent="0.2">
      <c r="E138" s="1"/>
      <c r="F138" s="49"/>
      <c r="G138" s="50"/>
    </row>
    <row r="139" spans="2:7" x14ac:dyDescent="0.2">
      <c r="E139" s="1"/>
      <c r="F139" s="49"/>
      <c r="G139" s="50"/>
    </row>
    <row r="140" spans="2:7" x14ac:dyDescent="0.2">
      <c r="B140" s="1"/>
      <c r="C140" s="48"/>
      <c r="E140" s="1"/>
      <c r="F140" s="49"/>
      <c r="G140" s="50"/>
    </row>
    <row r="141" spans="2:7" x14ac:dyDescent="0.2">
      <c r="F141" s="50"/>
      <c r="G141" s="50"/>
    </row>
    <row r="142" spans="2:7" x14ac:dyDescent="0.2">
      <c r="F142" s="50"/>
      <c r="G142" s="50"/>
    </row>
    <row r="144" spans="2:7" x14ac:dyDescent="0.2">
      <c r="B144" s="1"/>
      <c r="C144" s="48"/>
      <c r="E144" s="1"/>
      <c r="F144" s="48"/>
    </row>
    <row r="148" spans="2:10" x14ac:dyDescent="0.2">
      <c r="B148" s="1"/>
      <c r="C148" s="48"/>
      <c r="E148" s="1"/>
      <c r="F148" s="48"/>
    </row>
    <row r="149" spans="2:10" x14ac:dyDescent="0.2">
      <c r="C149" s="1"/>
      <c r="E149" s="1"/>
      <c r="F149" s="15"/>
    </row>
    <row r="150" spans="2:10" x14ac:dyDescent="0.2">
      <c r="C150" s="1"/>
      <c r="H150" s="15"/>
      <c r="I150" s="15"/>
      <c r="J150" s="15"/>
    </row>
    <row r="151" spans="2:10" x14ac:dyDescent="0.2">
      <c r="B151" s="1"/>
      <c r="C151" s="48"/>
      <c r="E151" s="1"/>
      <c r="F151" s="15"/>
    </row>
    <row r="152" spans="2:10" x14ac:dyDescent="0.2">
      <c r="C152" s="1"/>
      <c r="E152" s="1"/>
    </row>
    <row r="154" spans="2:10" x14ac:dyDescent="0.2">
      <c r="B154" s="1"/>
      <c r="C154" s="48"/>
      <c r="D154" s="1"/>
      <c r="E154" s="1"/>
      <c r="F154" s="4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D86A-5665-284C-BA64-AEEEB853BF2B}">
  <sheetPr>
    <pageSetUpPr fitToPage="1"/>
  </sheetPr>
  <dimension ref="A2:AT152"/>
  <sheetViews>
    <sheetView tabSelected="1" zoomScale="119" zoomScaleNormal="90" workbookViewId="0">
      <selection activeCell="I23" sqref="I23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325" t="s">
        <v>153</v>
      </c>
    </row>
    <row r="3" spans="1:32" ht="16" thickBot="1" x14ac:dyDescent="0.25">
      <c r="J3" s="314"/>
      <c r="K3" s="315"/>
      <c r="M3" s="314"/>
    </row>
    <row r="4" spans="1:32" ht="17" thickBot="1" x14ac:dyDescent="0.25">
      <c r="B4" s="119"/>
      <c r="C4" s="72" t="s">
        <v>80</v>
      </c>
      <c r="D4" s="20" t="s">
        <v>81</v>
      </c>
      <c r="E4" s="21" t="s">
        <v>82</v>
      </c>
      <c r="F4" s="25" t="s">
        <v>83</v>
      </c>
      <c r="G4" s="28" t="s">
        <v>108</v>
      </c>
      <c r="J4" s="314"/>
      <c r="K4" s="315"/>
      <c r="M4" s="1"/>
      <c r="N4" s="316"/>
    </row>
    <row r="5" spans="1:32" ht="18" thickBot="1" x14ac:dyDescent="0.3">
      <c r="B5" s="113"/>
      <c r="C5" s="117" t="s">
        <v>110</v>
      </c>
      <c r="D5" s="104" t="s">
        <v>111</v>
      </c>
      <c r="E5" s="104" t="s">
        <v>112</v>
      </c>
      <c r="F5" s="104" t="s">
        <v>113</v>
      </c>
      <c r="G5" s="116" t="s">
        <v>114</v>
      </c>
      <c r="I5" s="319" t="s">
        <v>91</v>
      </c>
      <c r="J5" s="86">
        <v>1</v>
      </c>
      <c r="K5" s="317"/>
      <c r="L5" s="4"/>
      <c r="M5" s="314"/>
      <c r="N5" s="318"/>
    </row>
    <row r="6" spans="1:32" ht="17" x14ac:dyDescent="0.25">
      <c r="B6" s="95" t="s">
        <v>96</v>
      </c>
      <c r="C6" s="118">
        <f>'Minimum Operator'!C41</f>
        <v>913877.49989999994</v>
      </c>
      <c r="D6" s="118">
        <f>'Minimum Operator'!D41</f>
        <v>880388.41299599968</v>
      </c>
      <c r="E6" s="118">
        <f>'Minimum Operator'!E41</f>
        <v>845869.19658935256</v>
      </c>
      <c r="F6" s="118">
        <f>'Minimum Operator'!F41</f>
        <v>820617.34711280151</v>
      </c>
      <c r="G6" s="118">
        <f>'Minimum Operator'!G41</f>
        <v>788593.32328556362</v>
      </c>
      <c r="I6" s="320" t="s">
        <v>92</v>
      </c>
      <c r="J6" s="18">
        <v>2</v>
      </c>
      <c r="K6" s="87"/>
      <c r="L6" s="5"/>
      <c r="M6" s="5"/>
      <c r="N6" s="318"/>
    </row>
    <row r="7" spans="1:32" s="4" customFormat="1" ht="17" x14ac:dyDescent="0.25">
      <c r="B7" s="96" t="s">
        <v>88</v>
      </c>
      <c r="C7" s="118">
        <f>'Maximum Operator'!C41</f>
        <v>1318076.0602500001</v>
      </c>
      <c r="D7" s="118">
        <f>'Maximum Operator'!D41</f>
        <v>1436587.5458639995</v>
      </c>
      <c r="E7" s="118">
        <f>'Maximum Operator'!E41</f>
        <v>1499351.6164184399</v>
      </c>
      <c r="F7" s="118">
        <f>'Maximum Operator'!F41</f>
        <v>1563860.836222874</v>
      </c>
      <c r="G7" s="93">
        <f>'Maximum Operator'!G41</f>
        <v>1666695.1927927528</v>
      </c>
      <c r="I7" s="320" t="s">
        <v>93</v>
      </c>
      <c r="J7" s="18">
        <v>3</v>
      </c>
      <c r="K7" s="87"/>
      <c r="L7" s="5"/>
      <c r="M7" s="5"/>
      <c r="N7" s="318"/>
    </row>
    <row r="8" spans="1:32" s="5" customFormat="1" ht="17" x14ac:dyDescent="0.25">
      <c r="B8" s="95" t="s">
        <v>140</v>
      </c>
      <c r="C8" s="118">
        <f>1/((J5-1)+(ABS(C6-C7)/C6)+1)</f>
        <v>0.69334200617122532</v>
      </c>
      <c r="D8" s="118">
        <f>1/((J6-1)+(ABS(D6-D7)/D6)+1)</f>
        <v>0.37997304617229144</v>
      </c>
      <c r="E8" s="118">
        <f>1/((J7-1)+(ABS(E6-E7)/E6)+1)</f>
        <v>0.26507218350012579</v>
      </c>
      <c r="F8" s="118">
        <f>1/((J8-1)+(ABS(F6-F7)/F6)+1)</f>
        <v>0.20384398293450082</v>
      </c>
      <c r="G8" s="118">
        <f>1/((J9-1)+(ABS(G6-G7)/G6)+1)</f>
        <v>0.1635723129812835</v>
      </c>
      <c r="I8" s="320" t="s">
        <v>94</v>
      </c>
      <c r="J8" s="18">
        <v>4</v>
      </c>
    </row>
    <row r="9" spans="1:32" s="4" customFormat="1" ht="18" thickBot="1" x14ac:dyDescent="0.3">
      <c r="B9" s="97" t="s">
        <v>89</v>
      </c>
      <c r="C9" s="120">
        <f>C7*C8+(1-C8)*C6</f>
        <v>1194125.3406245902</v>
      </c>
      <c r="D9" s="120">
        <f>D7*D8+(1-D8)*D6</f>
        <v>1091729.0917902407</v>
      </c>
      <c r="E9" s="120">
        <f>E7*E8+(1-E8)*E6</f>
        <v>1019089.2084923947</v>
      </c>
      <c r="F9" s="120">
        <f>F7*F8+(1-F8)*F6</f>
        <v>972123.060223134</v>
      </c>
      <c r="G9" s="121">
        <f>G7*G8+(1-G8)*G6</f>
        <v>932226.47711404366</v>
      </c>
      <c r="I9" s="321" t="s">
        <v>95</v>
      </c>
      <c r="J9" s="88">
        <v>5</v>
      </c>
      <c r="P9" s="92"/>
      <c r="Q9" s="353"/>
      <c r="R9" s="353"/>
      <c r="S9" s="353"/>
      <c r="T9" s="353"/>
      <c r="U9" s="353"/>
      <c r="V9" s="353"/>
      <c r="W9" s="353"/>
      <c r="X9" s="353"/>
      <c r="Y9" s="353"/>
    </row>
    <row r="10" spans="1:32" s="4" customFormat="1" ht="16" x14ac:dyDescent="0.2">
      <c r="Q10" s="26"/>
      <c r="R10" s="26"/>
      <c r="S10" s="29"/>
      <c r="T10" s="26"/>
      <c r="U10" s="26"/>
      <c r="V10" s="29"/>
      <c r="W10" s="26"/>
      <c r="X10" s="26"/>
      <c r="Y10" s="29"/>
    </row>
    <row r="11" spans="1:32" s="24" customFormat="1" ht="16" x14ac:dyDescent="0.2">
      <c r="A11" s="4"/>
      <c r="B11" s="276" t="s">
        <v>139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1"/>
      <c r="Q11" s="322"/>
      <c r="R11" s="322"/>
      <c r="S11" s="31"/>
      <c r="T11" s="322"/>
      <c r="U11" s="322"/>
      <c r="V11" s="31"/>
      <c r="W11" s="322"/>
      <c r="X11" s="34"/>
      <c r="Y11" s="31"/>
      <c r="Z11" s="4"/>
      <c r="AA11" s="4"/>
      <c r="AB11" s="4"/>
      <c r="AC11" s="4"/>
      <c r="AD11" s="4"/>
      <c r="AE11" s="4"/>
      <c r="AF11" s="4"/>
    </row>
    <row r="12" spans="1:32" s="4" customFormat="1" ht="17" thickBot="1" x14ac:dyDescent="0.25">
      <c r="I12" s="19"/>
      <c r="P12" s="31"/>
      <c r="Q12" s="30"/>
      <c r="R12" s="30"/>
      <c r="S12" s="31"/>
      <c r="T12" s="30"/>
      <c r="U12" s="30"/>
      <c r="V12" s="31"/>
      <c r="W12" s="30"/>
      <c r="X12" s="34"/>
      <c r="Y12" s="87"/>
    </row>
    <row r="13" spans="1:32" s="4" customFormat="1" ht="17" thickBot="1" x14ac:dyDescent="0.25">
      <c r="B13" s="80"/>
      <c r="C13" s="166" t="s">
        <v>80</v>
      </c>
      <c r="D13" s="167" t="s">
        <v>81</v>
      </c>
      <c r="E13" s="124" t="s">
        <v>82</v>
      </c>
      <c r="F13" s="168" t="s">
        <v>83</v>
      </c>
      <c r="G13" s="179" t="s">
        <v>108</v>
      </c>
      <c r="H13" s="215" t="s">
        <v>155</v>
      </c>
      <c r="P13" s="31"/>
      <c r="Q13" s="30"/>
      <c r="R13" s="30"/>
      <c r="S13" s="31"/>
      <c r="T13" s="30"/>
      <c r="U13" s="30"/>
      <c r="V13" s="31"/>
      <c r="W13" s="30"/>
      <c r="X13" s="34"/>
      <c r="Y13" s="87"/>
    </row>
    <row r="14" spans="1:32" s="4" customFormat="1" ht="17" thickBot="1" x14ac:dyDescent="0.25">
      <c r="B14" s="84" t="s">
        <v>154</v>
      </c>
      <c r="C14" s="83">
        <f>C9</f>
        <v>1194125.3406245902</v>
      </c>
      <c r="D14" s="81">
        <f>D9</f>
        <v>1091729.0917902407</v>
      </c>
      <c r="E14" s="81">
        <f>E9</f>
        <v>1019089.2084923947</v>
      </c>
      <c r="F14" s="81">
        <f>F9</f>
        <v>972123.060223134</v>
      </c>
      <c r="G14" s="82">
        <f>G9</f>
        <v>932226.47711404366</v>
      </c>
      <c r="H14" s="222">
        <f>G14*(1+C18)/(C17-C18)</f>
        <v>19017420.13312649</v>
      </c>
      <c r="P14" s="31"/>
      <c r="Q14" s="30"/>
      <c r="R14" s="30"/>
      <c r="S14" s="31"/>
      <c r="T14" s="30"/>
      <c r="U14" s="30"/>
      <c r="V14" s="31"/>
      <c r="W14" s="30"/>
      <c r="X14" s="34"/>
      <c r="Y14" s="87"/>
    </row>
    <row r="15" spans="1:32" s="4" customFormat="1" ht="17" thickBot="1" x14ac:dyDescent="0.25">
      <c r="B15" s="73"/>
      <c r="C15" s="68"/>
      <c r="D15" s="68"/>
      <c r="E15" s="68"/>
      <c r="F15" s="68"/>
      <c r="G15" s="68"/>
      <c r="P15" s="31"/>
      <c r="Q15" s="30"/>
      <c r="R15" s="30"/>
      <c r="S15" s="31"/>
      <c r="T15" s="30"/>
      <c r="U15" s="30"/>
      <c r="V15" s="31"/>
      <c r="W15" s="30"/>
      <c r="X15" s="34"/>
      <c r="Y15" s="87"/>
    </row>
    <row r="16" spans="1:32" s="24" customFormat="1" ht="16" x14ac:dyDescent="0.2">
      <c r="A16" s="4"/>
      <c r="B16" s="279" t="s">
        <v>136</v>
      </c>
      <c r="C16" s="220">
        <v>14921222</v>
      </c>
      <c r="D16" s="78"/>
      <c r="E16" s="78"/>
      <c r="F16" s="78"/>
      <c r="G16" s="78"/>
      <c r="H16" s="4"/>
      <c r="I16" s="4"/>
      <c r="J16" s="4"/>
      <c r="K16" s="4"/>
      <c r="L16" s="4"/>
      <c r="M16" s="4"/>
      <c r="N16" s="4"/>
      <c r="O16" s="4"/>
      <c r="P16" s="31"/>
      <c r="Q16" s="30"/>
      <c r="R16" s="30"/>
      <c r="S16" s="31"/>
      <c r="T16" s="30"/>
      <c r="U16" s="30"/>
      <c r="V16" s="31"/>
      <c r="W16" s="30"/>
      <c r="X16" s="34"/>
      <c r="Y16" s="31"/>
      <c r="Z16" s="4"/>
      <c r="AA16" s="4"/>
      <c r="AB16" s="4"/>
      <c r="AC16" s="4"/>
      <c r="AD16" s="4"/>
      <c r="AE16" s="4"/>
      <c r="AF16" s="4"/>
    </row>
    <row r="17" spans="1:32" s="7" customFormat="1" ht="16" x14ac:dyDescent="0.2">
      <c r="B17" s="281" t="s">
        <v>135</v>
      </c>
      <c r="C17" s="323">
        <v>7.0000000000000007E-2</v>
      </c>
      <c r="D17" s="74"/>
      <c r="E17" s="74"/>
      <c r="F17" s="74"/>
      <c r="G17" s="74"/>
      <c r="H17" s="85"/>
      <c r="I17" s="85"/>
      <c r="P17" s="33"/>
      <c r="Q17" s="32"/>
      <c r="R17" s="32"/>
      <c r="S17" s="33"/>
      <c r="T17" s="32"/>
      <c r="U17" s="32"/>
      <c r="V17" s="33"/>
      <c r="W17" s="32"/>
      <c r="X17" s="35"/>
      <c r="Y17" s="99"/>
    </row>
    <row r="18" spans="1:32" s="4" customFormat="1" ht="17" thickBot="1" x14ac:dyDescent="0.25">
      <c r="B18" s="283" t="s">
        <v>137</v>
      </c>
      <c r="C18" s="324">
        <v>0.02</v>
      </c>
      <c r="D18" s="5"/>
      <c r="E18" s="5"/>
      <c r="F18" s="5"/>
      <c r="G18" s="5"/>
      <c r="H18"/>
      <c r="P18" s="31"/>
      <c r="Q18" s="30"/>
      <c r="R18" s="30"/>
      <c r="S18" s="31"/>
      <c r="T18" s="30"/>
      <c r="U18" s="30"/>
      <c r="V18" s="31"/>
      <c r="W18" s="30"/>
      <c r="X18" s="34"/>
      <c r="Y18" s="87"/>
    </row>
    <row r="19" spans="1:32" s="4" customFormat="1" ht="17" thickBot="1" x14ac:dyDescent="0.25">
      <c r="B19" s="180"/>
      <c r="C19" s="181"/>
      <c r="D19" s="77"/>
      <c r="E19" s="77"/>
      <c r="F19" s="77"/>
      <c r="G19" s="77"/>
      <c r="H19"/>
      <c r="K19" s="30"/>
      <c r="L19" s="30"/>
      <c r="M19" s="31"/>
      <c r="N19" s="30"/>
      <c r="O19" s="30"/>
      <c r="P19" s="31"/>
      <c r="Q19" s="30"/>
      <c r="R19" s="30"/>
      <c r="S19" s="31"/>
      <c r="T19" s="30"/>
      <c r="U19" s="30"/>
      <c r="V19" s="31"/>
      <c r="W19" s="30"/>
      <c r="X19" s="34"/>
      <c r="Y19" s="87"/>
    </row>
    <row r="20" spans="1:32" s="4" customFormat="1" ht="20" thickBot="1" x14ac:dyDescent="0.3">
      <c r="B20" s="327" t="s">
        <v>97</v>
      </c>
      <c r="C20" s="326">
        <f>NPV(C17,C14:G14)-C16+H14/((1+C17)^5)</f>
        <v>2945672.1648947224</v>
      </c>
      <c r="K20" s="30"/>
      <c r="L20" s="30"/>
      <c r="M20" s="31"/>
      <c r="N20" s="30"/>
      <c r="O20" s="30"/>
      <c r="P20" s="31"/>
      <c r="Q20" s="30"/>
      <c r="R20" s="30"/>
      <c r="S20" s="31"/>
      <c r="T20" s="30"/>
      <c r="U20" s="30"/>
      <c r="V20" s="31"/>
      <c r="W20" s="30"/>
      <c r="X20" s="34"/>
      <c r="Y20" s="87"/>
    </row>
    <row r="21" spans="1:32" s="4" customFormat="1" ht="16" x14ac:dyDescent="0.2">
      <c r="K21" s="30"/>
      <c r="L21" s="30"/>
      <c r="M21" s="30"/>
      <c r="N21" s="30"/>
      <c r="O21" s="30"/>
      <c r="P21" s="31"/>
      <c r="Q21" s="30"/>
      <c r="R21" s="30"/>
      <c r="S21" s="31"/>
      <c r="T21" s="30"/>
      <c r="U21" s="30"/>
      <c r="V21" s="31"/>
      <c r="W21" s="30"/>
      <c r="X21" s="34"/>
      <c r="Y21" s="87"/>
    </row>
    <row r="22" spans="1:32" s="4" customFormat="1" ht="16" x14ac:dyDescent="0.2">
      <c r="B22"/>
      <c r="C22"/>
      <c r="D22"/>
      <c r="E22"/>
      <c r="F22"/>
      <c r="G22"/>
      <c r="K22" s="30"/>
      <c r="L22" s="30"/>
      <c r="M22" s="31"/>
      <c r="N22" s="30"/>
      <c r="O22" s="30"/>
      <c r="P22" s="31"/>
      <c r="Q22" s="30"/>
      <c r="R22" s="30"/>
      <c r="S22" s="31"/>
      <c r="T22" s="30"/>
      <c r="U22" s="30"/>
      <c r="V22" s="31"/>
      <c r="W22" s="30"/>
      <c r="X22" s="34"/>
      <c r="Y22" s="87"/>
    </row>
    <row r="23" spans="1:32" s="4" customFormat="1" ht="16" x14ac:dyDescent="0.2">
      <c r="D23"/>
      <c r="E23"/>
      <c r="F23"/>
      <c r="G23"/>
      <c r="H23" s="5"/>
      <c r="K23" s="30"/>
      <c r="L23" s="32"/>
      <c r="M23" s="33"/>
      <c r="N23" s="32"/>
      <c r="O23" s="32"/>
      <c r="P23" s="31"/>
      <c r="Q23" s="30"/>
      <c r="R23" s="30"/>
      <c r="S23" s="31"/>
      <c r="T23" s="30"/>
      <c r="U23" s="30"/>
      <c r="V23" s="31"/>
      <c r="W23" s="30"/>
      <c r="X23" s="34"/>
      <c r="Y23" s="87"/>
    </row>
    <row r="24" spans="1:32" s="4" customFormat="1" ht="16" x14ac:dyDescent="0.2">
      <c r="K24" s="98"/>
      <c r="L24" s="30"/>
      <c r="M24" s="31"/>
      <c r="N24" s="30"/>
      <c r="O24" s="30"/>
      <c r="P24" s="31"/>
      <c r="Q24" s="30"/>
      <c r="R24" s="30"/>
      <c r="S24" s="31"/>
      <c r="T24" s="30"/>
      <c r="U24" s="30"/>
      <c r="V24" s="31"/>
      <c r="W24" s="30"/>
      <c r="X24" s="34"/>
      <c r="Y24" s="87"/>
    </row>
    <row r="25" spans="1:32" s="24" customFormat="1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90"/>
      <c r="L25" s="90"/>
      <c r="M25" s="89"/>
      <c r="N25" s="90"/>
      <c r="O25" s="90"/>
      <c r="P25" s="89"/>
      <c r="Q25" s="90"/>
      <c r="R25" s="90"/>
      <c r="S25" s="89"/>
      <c r="T25" s="90"/>
      <c r="U25" s="90"/>
      <c r="V25" s="89"/>
      <c r="W25" s="90"/>
      <c r="X25" s="91"/>
      <c r="Y25" s="89"/>
      <c r="Z25" s="4"/>
      <c r="AA25" s="4"/>
      <c r="AB25" s="4"/>
      <c r="AC25" s="4"/>
      <c r="AD25" s="4"/>
      <c r="AE25" s="4"/>
      <c r="AF25" s="4"/>
    </row>
    <row r="26" spans="1:32" s="4" customFormat="1" ht="16" x14ac:dyDescent="0.2">
      <c r="K26" s="30"/>
      <c r="L26" s="30"/>
      <c r="M26" s="31"/>
      <c r="N26" s="30"/>
      <c r="O26" s="30"/>
      <c r="P26" s="31"/>
      <c r="Q26" s="30"/>
      <c r="R26" s="30"/>
      <c r="S26" s="31"/>
      <c r="T26" s="30"/>
      <c r="U26" s="30"/>
      <c r="V26" s="31"/>
      <c r="W26" s="30"/>
      <c r="X26" s="34"/>
      <c r="Y26" s="87"/>
    </row>
    <row r="27" spans="1:32" s="24" customFormat="1" ht="16" x14ac:dyDescent="0.15">
      <c r="A27" s="4"/>
      <c r="B27" s="4"/>
      <c r="C27" s="4"/>
      <c r="D27" s="4"/>
      <c r="E27" s="4"/>
      <c r="F27" s="4"/>
      <c r="G27" s="4"/>
      <c r="H27" s="19"/>
      <c r="I27" s="4"/>
      <c r="J27" s="4"/>
      <c r="K27" s="90"/>
      <c r="L27" s="90"/>
      <c r="M27" s="89"/>
      <c r="N27" s="90"/>
      <c r="O27" s="90"/>
      <c r="P27" s="89"/>
      <c r="Q27" s="90"/>
      <c r="R27" s="90"/>
      <c r="S27" s="89"/>
      <c r="T27" s="90"/>
      <c r="U27" s="90"/>
      <c r="V27" s="89"/>
      <c r="W27" s="90"/>
      <c r="X27" s="90"/>
      <c r="Y27" s="89"/>
      <c r="Z27" s="4"/>
      <c r="AA27" s="4"/>
      <c r="AB27" s="4"/>
      <c r="AC27" s="4"/>
      <c r="AD27" s="4"/>
      <c r="AE27" s="4"/>
      <c r="AF27" s="4"/>
    </row>
    <row r="28" spans="1:32" s="4" customFormat="1" ht="23.25" hidden="1" customHeight="1" x14ac:dyDescent="0.2">
      <c r="B28" s="73"/>
      <c r="C28" s="67"/>
      <c r="D28" s="67"/>
      <c r="E28" s="67"/>
      <c r="F28" s="67"/>
      <c r="G28" s="67"/>
      <c r="K28" s="90"/>
      <c r="L28" s="90"/>
      <c r="M28" s="89"/>
      <c r="N28" s="90"/>
      <c r="O28" s="90"/>
      <c r="P28" s="89"/>
      <c r="Q28" s="90"/>
      <c r="R28" s="90"/>
      <c r="S28" s="89"/>
      <c r="T28" s="90"/>
      <c r="U28" s="90"/>
      <c r="V28" s="89"/>
      <c r="W28" s="90"/>
      <c r="X28" s="90"/>
      <c r="Y28" s="100"/>
    </row>
    <row r="29" spans="1:32" s="4" customFormat="1" ht="16" x14ac:dyDescent="0.2">
      <c r="B29" s="73"/>
      <c r="C29" s="69"/>
      <c r="D29" s="69"/>
      <c r="E29" s="69"/>
      <c r="F29" s="69"/>
      <c r="G29" s="69"/>
      <c r="K29" s="90"/>
      <c r="L29" s="90"/>
      <c r="M29" s="89"/>
      <c r="N29" s="90"/>
      <c r="O29" s="90"/>
      <c r="P29" s="89"/>
      <c r="Q29" s="90"/>
      <c r="R29" s="90"/>
      <c r="S29" s="89"/>
      <c r="T29" s="90"/>
      <c r="U29" s="90"/>
      <c r="V29" s="89"/>
      <c r="W29" s="90"/>
      <c r="X29" s="90"/>
      <c r="Y29" s="100"/>
    </row>
    <row r="30" spans="1:32" s="24" customFormat="1" ht="16" x14ac:dyDescent="0.2">
      <c r="A30" s="4"/>
      <c r="B30" s="73"/>
      <c r="C30" s="79"/>
      <c r="D30" s="79"/>
      <c r="E30" s="79"/>
      <c r="F30" s="79"/>
      <c r="G30" s="79"/>
      <c r="H30" s="4"/>
      <c r="I30" s="4"/>
      <c r="J30" s="4"/>
      <c r="K30" s="90"/>
      <c r="L30" s="90"/>
      <c r="M30" s="89"/>
      <c r="N30" s="90"/>
      <c r="O30" s="90"/>
      <c r="P30" s="89"/>
      <c r="Q30" s="90"/>
      <c r="R30" s="90"/>
      <c r="S30" s="89"/>
      <c r="T30" s="90"/>
      <c r="U30" s="90"/>
      <c r="V30" s="89"/>
      <c r="W30" s="90"/>
      <c r="X30" s="90"/>
      <c r="Y30" s="89"/>
      <c r="Z30" s="4"/>
      <c r="AA30" s="4"/>
      <c r="AB30" s="4"/>
      <c r="AC30" s="4"/>
      <c r="AD30" s="4"/>
      <c r="AE30" s="4"/>
      <c r="AF30" s="4"/>
    </row>
    <row r="31" spans="1:32" s="4" customFormat="1" ht="16" x14ac:dyDescent="0.2">
      <c r="B31" s="8"/>
      <c r="D31" s="9"/>
      <c r="E31" s="9"/>
      <c r="F31" s="9"/>
      <c r="G31" s="9"/>
      <c r="H31" s="9"/>
      <c r="I31" s="9"/>
      <c r="J31" s="9"/>
      <c r="K31" s="9"/>
      <c r="L31" s="9"/>
      <c r="M31" s="9"/>
      <c r="X31" s="26"/>
    </row>
    <row r="32" spans="1:32" s="4" customFormat="1" ht="19" x14ac:dyDescent="0.25">
      <c r="B32" s="37"/>
      <c r="C32" s="6"/>
      <c r="X32" s="26"/>
    </row>
    <row r="33" spans="2:24" s="4" customFormat="1" ht="16" x14ac:dyDescent="0.2">
      <c r="B33" s="10"/>
      <c r="C33" s="6"/>
      <c r="X33" s="26"/>
    </row>
    <row r="34" spans="2:24" s="4" customFormat="1" ht="16" x14ac:dyDescent="0.2">
      <c r="B34" s="61"/>
      <c r="C34" s="77"/>
      <c r="D34" s="77"/>
      <c r="E34" s="77"/>
      <c r="F34" s="77"/>
      <c r="G34" s="77"/>
      <c r="X34" s="26"/>
    </row>
    <row r="35" spans="2:24" s="4" customFormat="1" ht="16" x14ac:dyDescent="0.2">
      <c r="B35" s="75"/>
      <c r="C35" s="68"/>
      <c r="D35" s="68"/>
      <c r="E35" s="68"/>
      <c r="F35" s="68"/>
      <c r="G35" s="68"/>
      <c r="H35" s="6"/>
      <c r="I35" s="6"/>
      <c r="J35" s="6"/>
      <c r="X35" s="26"/>
    </row>
    <row r="36" spans="2:24" s="4" customFormat="1" ht="16" x14ac:dyDescent="0.2">
      <c r="B36" s="75"/>
      <c r="C36" s="68"/>
      <c r="D36" s="68"/>
      <c r="E36" s="68"/>
      <c r="F36" s="68"/>
      <c r="G36" s="68"/>
      <c r="H36" s="6"/>
      <c r="I36" s="6"/>
      <c r="J36" s="6"/>
      <c r="X36" s="26"/>
    </row>
    <row r="37" spans="2:24" s="4" customFormat="1" ht="16" x14ac:dyDescent="0.2">
      <c r="B37" s="76"/>
      <c r="C37" s="68"/>
      <c r="D37" s="68"/>
      <c r="E37" s="68"/>
      <c r="F37" s="68"/>
      <c r="G37" s="68"/>
      <c r="H37" s="6"/>
      <c r="I37" s="6"/>
      <c r="J37" s="6"/>
      <c r="X37" s="26"/>
    </row>
    <row r="38" spans="2:24" s="4" customFormat="1" ht="16" x14ac:dyDescent="0.2">
      <c r="B38" s="75"/>
      <c r="C38" s="68"/>
      <c r="D38" s="68"/>
      <c r="E38" s="68"/>
      <c r="F38" s="68"/>
      <c r="G38" s="68"/>
      <c r="H38" s="6"/>
      <c r="I38" s="6"/>
      <c r="J38" s="6"/>
      <c r="X38" s="26"/>
    </row>
    <row r="39" spans="2:24" s="4" customFormat="1" ht="16" x14ac:dyDescent="0.2">
      <c r="B39" s="76"/>
      <c r="C39" s="68"/>
      <c r="D39" s="68"/>
      <c r="E39" s="68"/>
      <c r="F39" s="68"/>
      <c r="G39" s="68"/>
      <c r="H39" s="6"/>
      <c r="I39" s="6"/>
      <c r="J39" s="6"/>
      <c r="X39" s="26"/>
    </row>
    <row r="40" spans="2:24" s="4" customFormat="1" ht="16" x14ac:dyDescent="0.2">
      <c r="B40" s="75"/>
      <c r="C40" s="68"/>
      <c r="D40" s="68"/>
      <c r="E40" s="68"/>
      <c r="F40" s="68"/>
      <c r="G40" s="68"/>
      <c r="H40" s="6"/>
      <c r="I40" s="6"/>
      <c r="J40" s="6"/>
      <c r="X40" s="26"/>
    </row>
    <row r="41" spans="2:24" s="4" customFormat="1" ht="16" x14ac:dyDescent="0.2">
      <c r="B41" s="76"/>
      <c r="C41" s="68"/>
      <c r="D41" s="68"/>
      <c r="E41" s="68"/>
      <c r="F41" s="68"/>
      <c r="G41" s="68"/>
      <c r="H41" s="6"/>
      <c r="I41" s="6"/>
      <c r="J41" s="6"/>
      <c r="X41" s="26"/>
    </row>
    <row r="42" spans="2:24" s="4" customFormat="1" ht="16" x14ac:dyDescent="0.2">
      <c r="B42" s="75"/>
      <c r="C42" s="68"/>
      <c r="D42" s="68"/>
      <c r="E42" s="68"/>
      <c r="F42" s="68"/>
      <c r="G42" s="68"/>
      <c r="H42" s="6"/>
      <c r="I42" s="6"/>
      <c r="J42" s="6"/>
      <c r="X42" s="26"/>
    </row>
    <row r="43" spans="2:24" s="4" customFormat="1" ht="16" x14ac:dyDescent="0.2">
      <c r="B43" s="76"/>
      <c r="C43" s="68"/>
      <c r="D43" s="68"/>
      <c r="E43" s="68"/>
      <c r="F43" s="68"/>
      <c r="G43" s="68"/>
      <c r="H43" s="6"/>
      <c r="I43" s="6"/>
      <c r="J43" s="6"/>
      <c r="X43" s="26"/>
    </row>
    <row r="44" spans="2:24" s="4" customFormat="1" ht="16" x14ac:dyDescent="0.2">
      <c r="B44" s="11"/>
      <c r="C44" s="12"/>
      <c r="D44" s="12"/>
      <c r="E44" s="12"/>
      <c r="F44" s="12"/>
      <c r="G44" s="12"/>
      <c r="H44" s="6"/>
      <c r="I44" s="6"/>
      <c r="J44" s="6"/>
      <c r="X44" s="26"/>
    </row>
    <row r="45" spans="2:24" s="4" customFormat="1" ht="19" x14ac:dyDescent="0.25">
      <c r="B45" s="37"/>
      <c r="C45" s="12"/>
      <c r="D45" s="12"/>
      <c r="E45" s="12"/>
      <c r="F45" s="12"/>
      <c r="G45" s="12"/>
      <c r="H45" s="6"/>
      <c r="I45" s="6"/>
      <c r="J45" s="6"/>
      <c r="X45" s="26"/>
    </row>
    <row r="46" spans="2:24" s="4" customFormat="1" ht="19" x14ac:dyDescent="0.25">
      <c r="B46" s="37"/>
      <c r="C46" s="12"/>
      <c r="D46" s="12"/>
      <c r="E46" s="12"/>
      <c r="F46" s="12"/>
      <c r="G46" s="12"/>
      <c r="H46" s="6"/>
      <c r="I46" s="6"/>
      <c r="J46" s="6"/>
      <c r="X46" s="26"/>
    </row>
    <row r="47" spans="2:24" s="4" customFormat="1" ht="16" x14ac:dyDescent="0.2">
      <c r="B47" s="61"/>
      <c r="H47" s="6"/>
      <c r="I47" s="6"/>
      <c r="J47" s="6"/>
      <c r="X47" s="26"/>
    </row>
    <row r="48" spans="2:24" s="4" customFormat="1" ht="16" x14ac:dyDescent="0.2">
      <c r="B48" s="61"/>
      <c r="C48" s="62"/>
      <c r="D48" s="62"/>
      <c r="E48" s="62"/>
      <c r="F48" s="62"/>
      <c r="G48" s="62"/>
      <c r="H48" s="6"/>
      <c r="I48" s="6"/>
      <c r="J48" s="6"/>
      <c r="X48" s="26"/>
    </row>
    <row r="49" spans="2:24" s="4" customFormat="1" ht="16" x14ac:dyDescent="0.2">
      <c r="B49" s="8"/>
      <c r="C49" s="62"/>
      <c r="D49" s="62"/>
      <c r="E49" s="62"/>
      <c r="F49" s="62"/>
      <c r="G49" s="62"/>
      <c r="H49" s="6"/>
      <c r="I49" s="6"/>
      <c r="J49" s="6"/>
      <c r="X49" s="26"/>
    </row>
    <row r="50" spans="2:24" s="4" customFormat="1" ht="16" x14ac:dyDescent="0.2">
      <c r="B50" s="61"/>
      <c r="C50" s="62"/>
      <c r="D50" s="62"/>
      <c r="E50" s="62"/>
      <c r="F50" s="62"/>
      <c r="G50" s="62"/>
      <c r="H50" s="6"/>
      <c r="I50" s="6"/>
      <c r="J50" s="6"/>
      <c r="X50" s="26"/>
    </row>
    <row r="51" spans="2:24" s="4" customFormat="1" ht="16" x14ac:dyDescent="0.2">
      <c r="B51" s="8"/>
      <c r="C51" s="62"/>
      <c r="D51" s="62"/>
      <c r="E51" s="62"/>
      <c r="F51" s="62"/>
      <c r="G51" s="62"/>
      <c r="H51" s="6"/>
      <c r="I51" s="6"/>
      <c r="J51" s="6"/>
      <c r="K51" s="13"/>
      <c r="L51" s="13"/>
      <c r="M51" s="13"/>
      <c r="X51" s="26"/>
    </row>
    <row r="52" spans="2:24" s="4" customFormat="1" ht="16" x14ac:dyDescent="0.2">
      <c r="B52" s="8"/>
      <c r="C52" s="62"/>
      <c r="D52" s="62"/>
      <c r="E52" s="62"/>
      <c r="F52" s="62"/>
      <c r="G52" s="62"/>
      <c r="H52" s="6"/>
      <c r="I52" s="6"/>
      <c r="J52" s="6"/>
      <c r="X52" s="26"/>
    </row>
    <row r="53" spans="2:24" s="4" customFormat="1" ht="16" x14ac:dyDescent="0.2">
      <c r="H53" s="14"/>
      <c r="I53" s="14"/>
      <c r="J53" s="14"/>
      <c r="X53" s="26"/>
    </row>
    <row r="54" spans="2:24" ht="16" x14ac:dyDescent="0.2">
      <c r="X54" s="27"/>
    </row>
    <row r="55" spans="2:24" ht="16" x14ac:dyDescent="0.2">
      <c r="X55" s="27"/>
    </row>
    <row r="56" spans="2:24" ht="16" x14ac:dyDescent="0.2">
      <c r="C56" s="38"/>
      <c r="X56" s="27"/>
    </row>
    <row r="57" spans="2:24" ht="16" x14ac:dyDescent="0.2">
      <c r="C57" s="1"/>
      <c r="X57" s="27"/>
    </row>
    <row r="58" spans="2:24" ht="16" x14ac:dyDescent="0.2">
      <c r="C58" s="40"/>
      <c r="D58" s="40"/>
      <c r="E58" s="40"/>
      <c r="F58" s="40"/>
      <c r="G58" s="40"/>
      <c r="X58" s="27"/>
    </row>
    <row r="59" spans="2:24" ht="16" x14ac:dyDescent="0.2">
      <c r="C59" s="41"/>
      <c r="D59" s="41"/>
      <c r="E59" s="41"/>
      <c r="F59" s="41"/>
      <c r="G59" s="41"/>
      <c r="X59" s="27"/>
    </row>
    <row r="60" spans="2:24" ht="16" x14ac:dyDescent="0.2">
      <c r="B60" s="1"/>
      <c r="C60" s="42"/>
      <c r="D60" s="42"/>
      <c r="E60" s="42"/>
      <c r="F60" s="42"/>
      <c r="G60" s="42"/>
      <c r="X60" s="27"/>
    </row>
    <row r="61" spans="2:24" ht="16" x14ac:dyDescent="0.2">
      <c r="C61" s="41"/>
      <c r="D61" s="41"/>
      <c r="E61" s="41"/>
      <c r="F61" s="41"/>
      <c r="G61" s="41"/>
      <c r="X61" s="27"/>
    </row>
    <row r="62" spans="2:24" ht="16" x14ac:dyDescent="0.2">
      <c r="B62" s="1"/>
      <c r="C62" s="42"/>
      <c r="D62" s="42"/>
      <c r="E62" s="42"/>
      <c r="F62" s="42"/>
      <c r="G62" s="42"/>
      <c r="X62" s="27"/>
    </row>
    <row r="63" spans="2:24" ht="16" x14ac:dyDescent="0.2">
      <c r="C63" s="41"/>
      <c r="D63" s="41"/>
      <c r="E63" s="41"/>
      <c r="F63" s="41"/>
      <c r="G63" s="41"/>
      <c r="X63" s="27"/>
    </row>
    <row r="64" spans="2:24" ht="16" x14ac:dyDescent="0.2">
      <c r="B64" s="1"/>
      <c r="C64" s="42"/>
      <c r="D64" s="42"/>
      <c r="E64" s="42"/>
      <c r="F64" s="42"/>
      <c r="G64" s="42"/>
      <c r="X64" s="27"/>
    </row>
    <row r="65" spans="2:46" ht="16" x14ac:dyDescent="0.2">
      <c r="C65" s="41"/>
      <c r="D65" s="41"/>
      <c r="E65" s="41"/>
      <c r="F65" s="41"/>
      <c r="G65" s="41"/>
      <c r="X65" s="27"/>
    </row>
    <row r="66" spans="2:46" x14ac:dyDescent="0.2">
      <c r="B66" s="1"/>
      <c r="C66" s="43"/>
      <c r="D66" s="43"/>
      <c r="E66" s="43"/>
      <c r="F66" s="43"/>
      <c r="G66" s="43"/>
    </row>
    <row r="67" spans="2:46" x14ac:dyDescent="0.2">
      <c r="C67" s="44"/>
      <c r="D67" s="44"/>
      <c r="E67" s="44"/>
      <c r="F67" s="44"/>
      <c r="G67" s="44"/>
    </row>
    <row r="68" spans="2:46" x14ac:dyDescent="0.2">
      <c r="B68" s="1"/>
      <c r="C68" s="43"/>
      <c r="D68" s="43"/>
      <c r="E68" s="43"/>
      <c r="F68" s="43"/>
      <c r="G68" s="43"/>
    </row>
    <row r="69" spans="2:46" x14ac:dyDescent="0.2">
      <c r="B69" s="45"/>
      <c r="C69" s="46"/>
      <c r="D69" s="47"/>
      <c r="E69" s="47"/>
      <c r="F69" s="47"/>
      <c r="G69" s="47"/>
    </row>
    <row r="70" spans="2:46" x14ac:dyDescent="0.2">
      <c r="B70" s="45"/>
      <c r="C70" s="46"/>
      <c r="D70" s="47"/>
      <c r="E70" s="47"/>
      <c r="F70" s="47"/>
      <c r="G70" s="47"/>
    </row>
    <row r="71" spans="2:46" s="3" customFormat="1" x14ac:dyDescent="0.2">
      <c r="B71" s="1"/>
      <c r="C71" s="48"/>
      <c r="D71" s="48"/>
      <c r="E71" s="48"/>
      <c r="F71" s="48"/>
      <c r="G71" s="48"/>
      <c r="H71" s="49"/>
      <c r="I71" s="4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2:46" x14ac:dyDescent="0.2">
      <c r="C72" s="15"/>
      <c r="D72" s="15"/>
      <c r="E72" s="15"/>
      <c r="F72" s="15"/>
      <c r="G72" s="15"/>
      <c r="H72" s="50"/>
      <c r="I72" s="50"/>
      <c r="J72" s="50"/>
    </row>
    <row r="73" spans="2:46" x14ac:dyDescent="0.2">
      <c r="C73" s="15"/>
      <c r="D73" s="15"/>
      <c r="E73" s="15"/>
      <c r="F73" s="15"/>
      <c r="G73" s="15"/>
      <c r="H73" s="16"/>
      <c r="I73" s="16"/>
      <c r="J73" s="16"/>
    </row>
    <row r="74" spans="2:46" x14ac:dyDescent="0.2">
      <c r="C74" s="51"/>
      <c r="D74" s="16"/>
      <c r="E74" s="16"/>
      <c r="F74" s="16"/>
      <c r="G74" s="16"/>
      <c r="H74" s="16"/>
      <c r="I74" s="16"/>
      <c r="J74" s="16"/>
    </row>
    <row r="75" spans="2:46" x14ac:dyDescent="0.2">
      <c r="B75" s="1"/>
      <c r="C75" s="52"/>
      <c r="D75" s="15"/>
      <c r="E75" s="15"/>
      <c r="F75" s="15"/>
      <c r="G75" s="15"/>
      <c r="H75" s="16"/>
      <c r="I75" s="16"/>
      <c r="J75" s="16"/>
    </row>
    <row r="76" spans="2:46" x14ac:dyDescent="0.2">
      <c r="B76" s="1"/>
      <c r="C76" s="52"/>
      <c r="D76" s="15"/>
      <c r="E76" s="15"/>
      <c r="F76" s="15"/>
      <c r="G76" s="15"/>
      <c r="H76" s="16"/>
      <c r="I76" s="16"/>
      <c r="J76" s="16"/>
    </row>
    <row r="77" spans="2:46" x14ac:dyDescent="0.2">
      <c r="B77" s="1"/>
      <c r="C77" s="52"/>
      <c r="D77" s="15"/>
      <c r="E77" s="15"/>
      <c r="F77" s="15"/>
      <c r="G77" s="15"/>
      <c r="H77" s="16"/>
      <c r="I77" s="16"/>
      <c r="J77" s="16"/>
    </row>
    <row r="78" spans="2:46" x14ac:dyDescent="0.2">
      <c r="B78" s="1"/>
      <c r="C78" s="52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2:46" x14ac:dyDescent="0.2">
      <c r="B79" s="1"/>
      <c r="C79" s="52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2:46" x14ac:dyDescent="0.2">
      <c r="B80" s="1"/>
      <c r="C80" s="5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2:19" x14ac:dyDescent="0.2">
      <c r="B81" s="1"/>
      <c r="C81" s="52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2:19" x14ac:dyDescent="0.2">
      <c r="B82" s="1"/>
      <c r="C82" s="52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2:19" x14ac:dyDescent="0.2">
      <c r="B83" s="1"/>
      <c r="C83" s="5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2:19" x14ac:dyDescent="0.2">
      <c r="B84" s="1"/>
      <c r="C84" s="52"/>
      <c r="D84" s="15"/>
      <c r="E84" s="15"/>
      <c r="F84" s="54"/>
      <c r="G84" s="15"/>
      <c r="H84" s="15"/>
      <c r="I84" s="15"/>
      <c r="J84" s="15"/>
      <c r="K84" s="16"/>
      <c r="L84" s="16"/>
      <c r="M84" s="16"/>
      <c r="N84" s="15"/>
      <c r="O84" s="15"/>
      <c r="P84" s="15"/>
      <c r="Q84" s="15"/>
      <c r="R84" s="15"/>
      <c r="S84" s="15"/>
    </row>
    <row r="85" spans="2:19" x14ac:dyDescent="0.2">
      <c r="B85" s="1"/>
      <c r="C85" s="52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2:19" x14ac:dyDescent="0.2">
      <c r="B86" s="1"/>
      <c r="C86" s="5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2:19" x14ac:dyDescent="0.2">
      <c r="B87" s="1"/>
      <c r="C87" s="5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2:19" x14ac:dyDescent="0.2">
      <c r="B88" s="1"/>
      <c r="C88" s="5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2:19" x14ac:dyDescent="0.2">
      <c r="B89" s="1"/>
      <c r="C89" s="5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2:19" x14ac:dyDescent="0.2">
      <c r="B90" s="1"/>
      <c r="C90" s="5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2:19" x14ac:dyDescent="0.2">
      <c r="B91" s="1"/>
      <c r="C91" s="5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2:19" x14ac:dyDescent="0.2">
      <c r="B92" s="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2:19" x14ac:dyDescent="0.2">
      <c r="B93" s="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2:19" x14ac:dyDescent="0.2">
      <c r="B94" s="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2:19" x14ac:dyDescent="0.2">
      <c r="B95" s="1"/>
      <c r="C95" s="5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2:19" x14ac:dyDescent="0.2">
      <c r="B96" s="1"/>
      <c r="C96" s="5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2:19" x14ac:dyDescent="0.2">
      <c r="B97" s="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2:19" x14ac:dyDescent="0.2">
      <c r="B98" s="1"/>
      <c r="C98" s="5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2:19" x14ac:dyDescent="0.2">
      <c r="B99" s="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2:19" x14ac:dyDescent="0.2">
      <c r="B100" s="1"/>
      <c r="C100" s="5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2:19" x14ac:dyDescent="0.2">
      <c r="B101" s="1"/>
      <c r="C101" s="5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2:19" x14ac:dyDescent="0.2">
      <c r="B102" s="1"/>
      <c r="C102" s="5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2:19" x14ac:dyDescent="0.2">
      <c r="B103" s="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2:19" x14ac:dyDescent="0.2">
      <c r="B104" s="1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2:19" x14ac:dyDescent="0.2">
      <c r="C105" s="17"/>
      <c r="D105" s="50"/>
    </row>
    <row r="106" spans="2:19" x14ac:dyDescent="0.2">
      <c r="C106" s="57"/>
    </row>
    <row r="107" spans="2:19" x14ac:dyDescent="0.2">
      <c r="C107" s="50"/>
    </row>
    <row r="108" spans="2:19" x14ac:dyDescent="0.2">
      <c r="C108" s="50"/>
      <c r="D108" s="15"/>
    </row>
    <row r="109" spans="2:19" x14ac:dyDescent="0.2">
      <c r="B109" s="58"/>
    </row>
    <row r="111" spans="2:19" x14ac:dyDescent="0.2">
      <c r="B111" s="1"/>
      <c r="C111" s="48"/>
      <c r="E111" s="1"/>
      <c r="F111" s="49"/>
      <c r="G111" s="15"/>
      <c r="K111" s="17"/>
      <c r="L111" s="17"/>
      <c r="M111" s="17"/>
    </row>
    <row r="112" spans="2:19" x14ac:dyDescent="0.2">
      <c r="E112" s="1"/>
      <c r="K112" s="17"/>
      <c r="L112" s="17"/>
      <c r="M112" s="17"/>
    </row>
    <row r="113" spans="2:13" x14ac:dyDescent="0.2">
      <c r="C113" s="50"/>
      <c r="E113" s="1"/>
      <c r="F113" s="48"/>
      <c r="K113" s="17"/>
      <c r="L113" s="17"/>
      <c r="M113" s="17"/>
    </row>
    <row r="114" spans="2:13" x14ac:dyDescent="0.2">
      <c r="C114" s="50"/>
    </row>
    <row r="115" spans="2:13" x14ac:dyDescent="0.2">
      <c r="C115" s="50"/>
      <c r="F115" s="50"/>
    </row>
    <row r="116" spans="2:13" x14ac:dyDescent="0.2">
      <c r="F116" s="50"/>
    </row>
    <row r="118" spans="2:13" x14ac:dyDescent="0.2">
      <c r="B118" s="1"/>
      <c r="C118" s="48"/>
      <c r="E118" s="1"/>
      <c r="F118" s="49"/>
    </row>
    <row r="119" spans="2:13" x14ac:dyDescent="0.2">
      <c r="F119" s="50"/>
    </row>
    <row r="120" spans="2:13" x14ac:dyDescent="0.2">
      <c r="C120" s="50"/>
      <c r="F120" s="50"/>
    </row>
    <row r="121" spans="2:13" x14ac:dyDescent="0.2">
      <c r="C121" s="50"/>
      <c r="F121" s="50"/>
    </row>
    <row r="122" spans="2:13" x14ac:dyDescent="0.2">
      <c r="B122" s="59"/>
      <c r="C122" s="60"/>
      <c r="F122" s="50"/>
    </row>
    <row r="123" spans="2:13" x14ac:dyDescent="0.2">
      <c r="B123" s="59"/>
      <c r="C123" s="60"/>
      <c r="F123" s="50"/>
    </row>
    <row r="124" spans="2:13" x14ac:dyDescent="0.2">
      <c r="C124" s="50"/>
      <c r="F124" s="50"/>
    </row>
    <row r="127" spans="2:13" x14ac:dyDescent="0.2">
      <c r="B127" s="1"/>
      <c r="C127" s="48"/>
      <c r="E127" s="1"/>
      <c r="F127" s="48"/>
    </row>
    <row r="131" spans="2:7" x14ac:dyDescent="0.2">
      <c r="B131" s="58"/>
    </row>
    <row r="132" spans="2:7" x14ac:dyDescent="0.2">
      <c r="F132" s="50"/>
      <c r="G132" s="50"/>
    </row>
    <row r="133" spans="2:7" x14ac:dyDescent="0.2">
      <c r="B133" s="1"/>
      <c r="C133" s="48"/>
      <c r="E133" s="1"/>
      <c r="F133" s="49"/>
      <c r="G133" s="50"/>
    </row>
    <row r="134" spans="2:7" x14ac:dyDescent="0.2">
      <c r="E134" s="1"/>
      <c r="F134" s="49"/>
      <c r="G134" s="50"/>
    </row>
    <row r="135" spans="2:7" x14ac:dyDescent="0.2">
      <c r="E135" s="1"/>
      <c r="F135" s="49"/>
      <c r="G135" s="50"/>
    </row>
    <row r="136" spans="2:7" x14ac:dyDescent="0.2">
      <c r="E136" s="1"/>
      <c r="F136" s="49"/>
      <c r="G136" s="50"/>
    </row>
    <row r="137" spans="2:7" x14ac:dyDescent="0.2">
      <c r="E137" s="1"/>
      <c r="F137" s="49"/>
      <c r="G137" s="50"/>
    </row>
    <row r="138" spans="2:7" x14ac:dyDescent="0.2">
      <c r="B138" s="1"/>
      <c r="C138" s="48"/>
      <c r="E138" s="1"/>
      <c r="F138" s="49"/>
      <c r="G138" s="50"/>
    </row>
    <row r="139" spans="2:7" x14ac:dyDescent="0.2">
      <c r="F139" s="50"/>
      <c r="G139" s="50"/>
    </row>
    <row r="140" spans="2:7" x14ac:dyDescent="0.2">
      <c r="F140" s="50"/>
      <c r="G140" s="50"/>
    </row>
    <row r="142" spans="2:7" x14ac:dyDescent="0.2">
      <c r="B142" s="1"/>
      <c r="C142" s="48"/>
      <c r="E142" s="1"/>
      <c r="F142" s="48"/>
    </row>
    <row r="146" spans="2:10" x14ac:dyDescent="0.2">
      <c r="B146" s="1"/>
      <c r="C146" s="48"/>
      <c r="E146" s="1"/>
      <c r="F146" s="48"/>
    </row>
    <row r="147" spans="2:10" x14ac:dyDescent="0.2">
      <c r="C147" s="1"/>
      <c r="E147" s="1"/>
      <c r="F147" s="15"/>
    </row>
    <row r="148" spans="2:10" x14ac:dyDescent="0.2">
      <c r="C148" s="1"/>
      <c r="H148" s="15"/>
      <c r="I148" s="15"/>
      <c r="J148" s="15"/>
    </row>
    <row r="149" spans="2:10" x14ac:dyDescent="0.2">
      <c r="B149" s="1"/>
      <c r="C149" s="48"/>
      <c r="E149" s="1"/>
      <c r="F149" s="15"/>
    </row>
    <row r="150" spans="2:10" x14ac:dyDescent="0.2">
      <c r="C150" s="1"/>
      <c r="E150" s="1"/>
    </row>
    <row r="152" spans="2:10" x14ac:dyDescent="0.2">
      <c r="B152" s="1"/>
      <c r="C152" s="48"/>
      <c r="D152" s="1"/>
      <c r="E152" s="1"/>
      <c r="F152" s="48"/>
    </row>
  </sheetData>
  <mergeCells count="3">
    <mergeCell ref="Q9:S9"/>
    <mergeCell ref="T9:V9"/>
    <mergeCell ref="W9:Y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68D0-DE90-144C-8DB4-E7A51B1E5168}">
  <dimension ref="B5:P33"/>
  <sheetViews>
    <sheetView zoomScale="130" zoomScaleNormal="130" workbookViewId="0">
      <selection activeCell="G34" sqref="G34"/>
    </sheetView>
  </sheetViews>
  <sheetFormatPr baseColWidth="10" defaultRowHeight="15" x14ac:dyDescent="0.2"/>
  <cols>
    <col min="2" max="2" width="34.5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</cols>
  <sheetData>
    <row r="5" spans="2:16" ht="16" x14ac:dyDescent="0.2">
      <c r="B5" s="277" t="s">
        <v>118</v>
      </c>
    </row>
    <row r="6" spans="2:16" ht="16" thickBot="1" x14ac:dyDescent="0.25"/>
    <row r="7" spans="2:16" ht="17" thickBot="1" x14ac:dyDescent="0.25">
      <c r="B7" s="94"/>
      <c r="C7" s="332" t="s">
        <v>80</v>
      </c>
      <c r="D7" s="333"/>
      <c r="E7" s="245"/>
      <c r="F7" s="334" t="s">
        <v>81</v>
      </c>
      <c r="G7" s="335"/>
      <c r="H7" s="236"/>
      <c r="I7" s="336" t="s">
        <v>82</v>
      </c>
      <c r="J7" s="337"/>
      <c r="K7" s="237"/>
      <c r="L7" s="328" t="s">
        <v>83</v>
      </c>
      <c r="M7" s="329"/>
      <c r="N7" s="22"/>
      <c r="O7" s="330" t="s">
        <v>108</v>
      </c>
      <c r="P7" s="331"/>
    </row>
    <row r="8" spans="2:16" ht="17" thickBot="1" x14ac:dyDescent="0.25">
      <c r="B8" s="113"/>
      <c r="C8" s="65" t="s">
        <v>119</v>
      </c>
      <c r="D8" s="66" t="s">
        <v>120</v>
      </c>
      <c r="E8" s="66"/>
      <c r="F8" s="65" t="s">
        <v>119</v>
      </c>
      <c r="G8" s="66" t="s">
        <v>120</v>
      </c>
      <c r="H8" s="114"/>
      <c r="I8" s="65" t="s">
        <v>119</v>
      </c>
      <c r="J8" s="66" t="s">
        <v>120</v>
      </c>
      <c r="K8" s="114"/>
      <c r="L8" s="65" t="s">
        <v>119</v>
      </c>
      <c r="M8" s="66" t="s">
        <v>120</v>
      </c>
      <c r="N8" s="114"/>
      <c r="O8" s="65" t="s">
        <v>119</v>
      </c>
      <c r="P8" s="264" t="s">
        <v>120</v>
      </c>
    </row>
    <row r="9" spans="2:16" ht="16" x14ac:dyDescent="0.2">
      <c r="B9" s="227" t="s">
        <v>70</v>
      </c>
      <c r="C9" s="255">
        <v>2.8</v>
      </c>
      <c r="D9" s="249">
        <v>3.1</v>
      </c>
      <c r="E9" s="246"/>
      <c r="F9" s="260">
        <v>2.7949999999999999</v>
      </c>
      <c r="G9" s="254">
        <v>3.11</v>
      </c>
      <c r="H9" s="247"/>
      <c r="I9" s="260">
        <v>2.79</v>
      </c>
      <c r="J9" s="254">
        <v>3.12</v>
      </c>
      <c r="K9" s="247"/>
      <c r="L9" s="260">
        <v>2.78</v>
      </c>
      <c r="M9" s="254">
        <v>3.13</v>
      </c>
      <c r="N9" s="247"/>
      <c r="O9" s="247">
        <v>2.77</v>
      </c>
      <c r="P9" s="249">
        <v>3.15</v>
      </c>
    </row>
    <row r="10" spans="2:16" ht="16" hidden="1" x14ac:dyDescent="0.2">
      <c r="B10" s="228"/>
      <c r="C10" s="238"/>
      <c r="D10" s="250"/>
      <c r="E10" s="239"/>
      <c r="F10" s="238"/>
      <c r="G10" s="250"/>
      <c r="H10" s="239"/>
      <c r="I10" s="238"/>
      <c r="J10" s="250"/>
      <c r="K10" s="239"/>
      <c r="L10" s="238"/>
      <c r="M10" s="250"/>
      <c r="N10" s="239"/>
      <c r="O10" s="239"/>
      <c r="P10" s="250"/>
    </row>
    <row r="11" spans="2:16" ht="17" x14ac:dyDescent="0.2">
      <c r="B11" s="229" t="s">
        <v>72</v>
      </c>
      <c r="C11" s="256">
        <v>0.78</v>
      </c>
      <c r="D11" s="251">
        <v>0.81</v>
      </c>
      <c r="E11" s="240"/>
      <c r="F11" s="256">
        <v>0.77</v>
      </c>
      <c r="G11" s="251">
        <v>0.82</v>
      </c>
      <c r="H11" s="240"/>
      <c r="I11" s="256">
        <v>0.76500000000000001</v>
      </c>
      <c r="J11" s="251">
        <v>0.82499999999999996</v>
      </c>
      <c r="K11" s="240"/>
      <c r="L11" s="256">
        <v>0.76</v>
      </c>
      <c r="M11" s="251">
        <v>0.83</v>
      </c>
      <c r="N11" s="240"/>
      <c r="O11" s="240">
        <v>0.75</v>
      </c>
      <c r="P11" s="251">
        <v>0.83499999999999996</v>
      </c>
    </row>
    <row r="12" spans="2:16" ht="16" hidden="1" x14ac:dyDescent="0.2">
      <c r="B12" s="230"/>
      <c r="C12" s="238"/>
      <c r="D12" s="250"/>
      <c r="E12" s="239"/>
      <c r="F12" s="238"/>
      <c r="G12" s="250"/>
      <c r="H12" s="239"/>
      <c r="I12" s="238"/>
      <c r="J12" s="250"/>
      <c r="K12" s="239"/>
      <c r="L12" s="238"/>
      <c r="M12" s="250"/>
      <c r="N12" s="239"/>
      <c r="O12" s="239"/>
      <c r="P12" s="250"/>
    </row>
    <row r="13" spans="2:16" ht="16" hidden="1" x14ac:dyDescent="0.2">
      <c r="B13" s="230"/>
      <c r="C13" s="238"/>
      <c r="D13" s="250"/>
      <c r="E13" s="239"/>
      <c r="F13" s="238"/>
      <c r="G13" s="250"/>
      <c r="H13" s="239"/>
      <c r="I13" s="238"/>
      <c r="J13" s="250"/>
      <c r="K13" s="239"/>
      <c r="L13" s="238"/>
      <c r="M13" s="250"/>
      <c r="N13" s="239"/>
      <c r="O13" s="239"/>
      <c r="P13" s="250"/>
    </row>
    <row r="14" spans="2:16" ht="16" hidden="1" x14ac:dyDescent="0.2">
      <c r="B14" s="230"/>
      <c r="C14" s="238"/>
      <c r="D14" s="250"/>
      <c r="E14" s="239"/>
      <c r="F14" s="238"/>
      <c r="G14" s="250"/>
      <c r="H14" s="239"/>
      <c r="I14" s="238"/>
      <c r="J14" s="250"/>
      <c r="K14" s="239"/>
      <c r="L14" s="238"/>
      <c r="M14" s="250"/>
      <c r="N14" s="239"/>
      <c r="O14" s="239"/>
      <c r="P14" s="250"/>
    </row>
    <row r="15" spans="2:16" ht="16" x14ac:dyDescent="0.2">
      <c r="B15" s="231" t="s">
        <v>75</v>
      </c>
      <c r="C15" s="257">
        <v>35.5</v>
      </c>
      <c r="D15" s="250">
        <v>37</v>
      </c>
      <c r="E15" s="239"/>
      <c r="F15" s="238">
        <v>36</v>
      </c>
      <c r="G15" s="250">
        <v>38</v>
      </c>
      <c r="H15" s="239"/>
      <c r="I15" s="238">
        <v>36.25</v>
      </c>
      <c r="J15" s="250">
        <v>38.5</v>
      </c>
      <c r="K15" s="239"/>
      <c r="L15" s="238">
        <v>36.5</v>
      </c>
      <c r="M15" s="250">
        <v>39</v>
      </c>
      <c r="N15" s="239"/>
      <c r="O15" s="239">
        <v>36.75</v>
      </c>
      <c r="P15" s="250">
        <v>39.5</v>
      </c>
    </row>
    <row r="16" spans="2:16" ht="16" hidden="1" x14ac:dyDescent="0.2">
      <c r="B16" s="232"/>
      <c r="C16" s="258"/>
      <c r="D16" s="252"/>
      <c r="E16" s="248"/>
      <c r="F16" s="258"/>
      <c r="G16" s="252"/>
      <c r="H16" s="248"/>
      <c r="I16" s="258"/>
      <c r="J16" s="252"/>
      <c r="K16" s="248"/>
      <c r="L16" s="258"/>
      <c r="M16" s="252"/>
      <c r="N16" s="248"/>
      <c r="O16" s="248"/>
      <c r="P16" s="252"/>
    </row>
    <row r="17" spans="2:16" ht="16" hidden="1" x14ac:dyDescent="0.2">
      <c r="B17" s="230"/>
      <c r="C17" s="238"/>
      <c r="D17" s="250"/>
      <c r="E17" s="239"/>
      <c r="F17" s="238"/>
      <c r="G17" s="250"/>
      <c r="H17" s="239"/>
      <c r="I17" s="238"/>
      <c r="J17" s="250"/>
      <c r="K17" s="239"/>
      <c r="L17" s="238"/>
      <c r="M17" s="250"/>
      <c r="N17" s="239"/>
      <c r="O17" s="239"/>
      <c r="P17" s="250"/>
    </row>
    <row r="18" spans="2:16" ht="16" hidden="1" x14ac:dyDescent="0.2">
      <c r="B18" s="230"/>
      <c r="C18" s="238"/>
      <c r="D18" s="250"/>
      <c r="E18" s="239"/>
      <c r="F18" s="238"/>
      <c r="G18" s="250"/>
      <c r="H18" s="239"/>
      <c r="I18" s="238"/>
      <c r="J18" s="250"/>
      <c r="K18" s="239"/>
      <c r="L18" s="238"/>
      <c r="M18" s="250"/>
      <c r="N18" s="239"/>
      <c r="O18" s="239"/>
      <c r="P18" s="250"/>
    </row>
    <row r="19" spans="2:16" ht="16" hidden="1" x14ac:dyDescent="0.2">
      <c r="B19" s="230"/>
      <c r="C19" s="238"/>
      <c r="D19" s="250"/>
      <c r="E19" s="239"/>
      <c r="F19" s="238"/>
      <c r="G19" s="250"/>
      <c r="H19" s="239"/>
      <c r="I19" s="238"/>
      <c r="J19" s="250"/>
      <c r="K19" s="239"/>
      <c r="L19" s="238"/>
      <c r="M19" s="250"/>
      <c r="N19" s="239"/>
      <c r="O19" s="239"/>
      <c r="P19" s="250"/>
    </row>
    <row r="20" spans="2:16" ht="16" hidden="1" x14ac:dyDescent="0.2">
      <c r="B20" s="230"/>
      <c r="C20" s="238"/>
      <c r="D20" s="250"/>
      <c r="E20" s="239"/>
      <c r="F20" s="238"/>
      <c r="G20" s="250"/>
      <c r="H20" s="239"/>
      <c r="I20" s="238"/>
      <c r="J20" s="250"/>
      <c r="K20" s="239"/>
      <c r="L20" s="238"/>
      <c r="M20" s="250"/>
      <c r="N20" s="239"/>
      <c r="O20" s="239"/>
      <c r="P20" s="250"/>
    </row>
    <row r="21" spans="2:16" ht="16" hidden="1" x14ac:dyDescent="0.2">
      <c r="B21" s="230"/>
      <c r="C21" s="238"/>
      <c r="D21" s="250"/>
      <c r="E21" s="239"/>
      <c r="F21" s="238"/>
      <c r="G21" s="250"/>
      <c r="H21" s="239"/>
      <c r="I21" s="238"/>
      <c r="J21" s="250"/>
      <c r="K21" s="239"/>
      <c r="L21" s="238"/>
      <c r="M21" s="250"/>
      <c r="N21" s="239"/>
      <c r="O21" s="239"/>
      <c r="P21" s="250"/>
    </row>
    <row r="22" spans="2:16" ht="16" hidden="1" x14ac:dyDescent="0.2">
      <c r="B22" s="230"/>
      <c r="C22" s="238"/>
      <c r="D22" s="250"/>
      <c r="E22" s="239"/>
      <c r="F22" s="238"/>
      <c r="G22" s="250"/>
      <c r="H22" s="239"/>
      <c r="I22" s="238"/>
      <c r="J22" s="250"/>
      <c r="K22" s="239"/>
      <c r="L22" s="238"/>
      <c r="M22" s="250"/>
      <c r="N22" s="239"/>
      <c r="O22" s="239"/>
      <c r="P22" s="250"/>
    </row>
    <row r="23" spans="2:16" ht="16" hidden="1" x14ac:dyDescent="0.2">
      <c r="B23" s="230"/>
      <c r="C23" s="238"/>
      <c r="D23" s="250"/>
      <c r="E23" s="239"/>
      <c r="F23" s="238"/>
      <c r="G23" s="250"/>
      <c r="H23" s="239"/>
      <c r="I23" s="238"/>
      <c r="J23" s="250"/>
      <c r="K23" s="239"/>
      <c r="L23" s="238"/>
      <c r="M23" s="250"/>
      <c r="N23" s="239"/>
      <c r="O23" s="239"/>
      <c r="P23" s="250"/>
    </row>
    <row r="24" spans="2:16" ht="16" x14ac:dyDescent="0.2">
      <c r="B24" s="231" t="s">
        <v>76</v>
      </c>
      <c r="C24" s="256">
        <v>0.22500000000000001</v>
      </c>
      <c r="D24" s="251">
        <v>0.27</v>
      </c>
      <c r="E24" s="240"/>
      <c r="F24" s="256">
        <v>0.22</v>
      </c>
      <c r="G24" s="251">
        <v>0.28000000000000003</v>
      </c>
      <c r="H24" s="240"/>
      <c r="I24" s="256">
        <v>0.215</v>
      </c>
      <c r="J24" s="251">
        <v>0.28499999999999998</v>
      </c>
      <c r="K24" s="240"/>
      <c r="L24" s="256">
        <v>0.21249999999999999</v>
      </c>
      <c r="M24" s="251">
        <v>0.28999999999999998</v>
      </c>
      <c r="N24" s="240"/>
      <c r="O24" s="240">
        <v>0.21</v>
      </c>
      <c r="P24" s="251">
        <v>0.3</v>
      </c>
    </row>
    <row r="25" spans="2:16" ht="16" hidden="1" x14ac:dyDescent="0.2">
      <c r="B25" s="230"/>
      <c r="C25" s="238"/>
      <c r="D25" s="250"/>
      <c r="E25" s="239"/>
      <c r="F25" s="238"/>
      <c r="G25" s="250"/>
      <c r="H25" s="239"/>
      <c r="I25" s="238"/>
      <c r="J25" s="250"/>
      <c r="K25" s="239"/>
      <c r="L25" s="238"/>
      <c r="M25" s="250"/>
      <c r="N25" s="239"/>
      <c r="O25" s="239"/>
      <c r="P25" s="250"/>
    </row>
    <row r="26" spans="2:16" ht="34" x14ac:dyDescent="0.2">
      <c r="B26" s="229" t="s">
        <v>100</v>
      </c>
      <c r="C26" s="256">
        <v>0.04</v>
      </c>
      <c r="D26" s="251">
        <v>0.02</v>
      </c>
      <c r="E26" s="240"/>
      <c r="F26" s="256">
        <v>0.04</v>
      </c>
      <c r="G26" s="251">
        <v>0.02</v>
      </c>
      <c r="H26" s="240"/>
      <c r="I26" s="256">
        <v>0.04</v>
      </c>
      <c r="J26" s="251">
        <v>0.02</v>
      </c>
      <c r="K26" s="240"/>
      <c r="L26" s="256">
        <v>0.04</v>
      </c>
      <c r="M26" s="251">
        <v>0.02</v>
      </c>
      <c r="N26" s="240"/>
      <c r="O26" s="240">
        <v>0.04</v>
      </c>
      <c r="P26" s="251">
        <v>0.02</v>
      </c>
    </row>
    <row r="27" spans="2:16" ht="16" hidden="1" x14ac:dyDescent="0.2">
      <c r="B27" s="230"/>
      <c r="C27" s="256"/>
      <c r="D27" s="251"/>
      <c r="E27" s="240"/>
      <c r="F27" s="256"/>
      <c r="G27" s="251"/>
      <c r="H27" s="240"/>
      <c r="I27" s="256"/>
      <c r="J27" s="251"/>
      <c r="K27" s="240"/>
      <c r="L27" s="256"/>
      <c r="M27" s="251"/>
      <c r="N27" s="240"/>
      <c r="O27" s="240"/>
      <c r="P27" s="251"/>
    </row>
    <row r="28" spans="2:16" ht="16" hidden="1" x14ac:dyDescent="0.2">
      <c r="B28" s="230"/>
      <c r="C28" s="256"/>
      <c r="D28" s="251"/>
      <c r="E28" s="240"/>
      <c r="F28" s="256"/>
      <c r="G28" s="251"/>
      <c r="H28" s="240"/>
      <c r="I28" s="256"/>
      <c r="J28" s="251"/>
      <c r="K28" s="240"/>
      <c r="L28" s="256"/>
      <c r="M28" s="251"/>
      <c r="N28" s="240"/>
      <c r="O28" s="240"/>
      <c r="P28" s="251"/>
    </row>
    <row r="29" spans="2:16" ht="18" thickBot="1" x14ac:dyDescent="0.25">
      <c r="B29" s="233" t="s">
        <v>79</v>
      </c>
      <c r="C29" s="259">
        <v>0.04</v>
      </c>
      <c r="D29" s="253">
        <v>0.01</v>
      </c>
      <c r="E29" s="241"/>
      <c r="F29" s="259">
        <v>0.04</v>
      </c>
      <c r="G29" s="253">
        <v>0.01</v>
      </c>
      <c r="H29" s="241"/>
      <c r="I29" s="259">
        <v>0.04</v>
      </c>
      <c r="J29" s="253">
        <v>0.01</v>
      </c>
      <c r="K29" s="241"/>
      <c r="L29" s="259">
        <v>0.04</v>
      </c>
      <c r="M29" s="253">
        <v>0.01</v>
      </c>
      <c r="N29" s="241"/>
      <c r="O29" s="241">
        <v>0.04</v>
      </c>
      <c r="P29" s="253">
        <v>0.01</v>
      </c>
    </row>
    <row r="32" spans="2:16" x14ac:dyDescent="0.2">
      <c r="C32" s="261" t="s">
        <v>119</v>
      </c>
      <c r="D32" t="s">
        <v>121</v>
      </c>
    </row>
    <row r="33" spans="3:4" x14ac:dyDescent="0.2">
      <c r="C33" s="261" t="s">
        <v>120</v>
      </c>
      <c r="D33" t="s">
        <v>122</v>
      </c>
    </row>
  </sheetData>
  <mergeCells count="5">
    <mergeCell ref="L7:M7"/>
    <mergeCell ref="O7:P7"/>
    <mergeCell ref="C7:D7"/>
    <mergeCell ref="F7:G7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4F3A-1D8A-D54B-A147-81D5E5F2FE20}">
  <dimension ref="A2:AL164"/>
  <sheetViews>
    <sheetView topLeftCell="A24" zoomScale="120" zoomScaleNormal="120" workbookViewId="0">
      <selection activeCell="H37" sqref="H37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4" width="7.5" style="180" customWidth="1"/>
    <col min="15" max="15" width="9.83203125" style="180" bestFit="1" customWidth="1"/>
    <col min="16" max="17" width="7.5" style="180" customWidth="1"/>
    <col min="18" max="18" width="9.83203125" style="180" bestFit="1" customWidth="1"/>
    <col min="19" max="20" width="7.5" style="180" customWidth="1"/>
    <col min="21" max="21" width="9.83203125" style="180" bestFit="1" customWidth="1"/>
    <col min="22" max="23" width="7.5" style="180" customWidth="1"/>
    <col min="24" max="24" width="9.83203125" style="180" bestFit="1" customWidth="1"/>
    <col min="25" max="16384" width="11.5" style="180"/>
  </cols>
  <sheetData>
    <row r="2" spans="2:30" s="4" customFormat="1" ht="16" x14ac:dyDescent="0.2">
      <c r="B2" s="276" t="s">
        <v>129</v>
      </c>
      <c r="I2" s="276" t="s">
        <v>130</v>
      </c>
    </row>
    <row r="3" spans="2:30" s="5" customFormat="1" thickBot="1" x14ac:dyDescent="0.2"/>
    <row r="4" spans="2:30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40"/>
      <c r="M4" s="341" t="s">
        <v>81</v>
      </c>
      <c r="N4" s="342"/>
      <c r="O4" s="343"/>
      <c r="P4" s="344" t="s">
        <v>82</v>
      </c>
      <c r="Q4" s="345"/>
      <c r="R4" s="346"/>
      <c r="S4" s="347" t="s">
        <v>83</v>
      </c>
      <c r="T4" s="348"/>
      <c r="U4" s="349"/>
      <c r="V4" s="350" t="s">
        <v>108</v>
      </c>
      <c r="W4" s="351"/>
      <c r="X4" s="352"/>
      <c r="Z4" s="125"/>
      <c r="AA4" s="125"/>
      <c r="AB4" s="125"/>
      <c r="AC4" s="125"/>
      <c r="AD4" s="125"/>
    </row>
    <row r="5" spans="2:30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128</v>
      </c>
      <c r="M5" s="130" t="s">
        <v>119</v>
      </c>
      <c r="N5" s="131" t="s">
        <v>127</v>
      </c>
      <c r="O5" s="132" t="s">
        <v>128</v>
      </c>
      <c r="P5" s="130" t="s">
        <v>119</v>
      </c>
      <c r="Q5" s="131" t="s">
        <v>127</v>
      </c>
      <c r="R5" s="132" t="s">
        <v>128</v>
      </c>
      <c r="S5" s="130" t="s">
        <v>119</v>
      </c>
      <c r="T5" s="131" t="s">
        <v>127</v>
      </c>
      <c r="U5" s="132" t="s">
        <v>128</v>
      </c>
      <c r="V5" s="130" t="s">
        <v>119</v>
      </c>
      <c r="W5" s="131" t="s">
        <v>127</v>
      </c>
      <c r="X5" s="132" t="s">
        <v>128</v>
      </c>
    </row>
    <row r="6" spans="2:30" s="4" customFormat="1" ht="16" x14ac:dyDescent="0.2">
      <c r="B6" s="133" t="s">
        <v>70</v>
      </c>
      <c r="C6" s="134">
        <f>L6</f>
        <v>3.1</v>
      </c>
      <c r="D6" s="134">
        <f>O6</f>
        <v>3.11</v>
      </c>
      <c r="E6" s="134">
        <f>R6</f>
        <v>3.12</v>
      </c>
      <c r="F6" s="134">
        <f>U6</f>
        <v>3.13</v>
      </c>
      <c r="G6" s="135">
        <f>X6</f>
        <v>3.15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234">
        <f>MAX(J6:K6)</f>
        <v>3.1</v>
      </c>
      <c r="M6" s="242">
        <f>Variables!F9</f>
        <v>2.7949999999999999</v>
      </c>
      <c r="N6" s="242">
        <f>Variables!G9</f>
        <v>3.11</v>
      </c>
      <c r="O6" s="234">
        <f>MAX(M6:N6)</f>
        <v>3.11</v>
      </c>
      <c r="P6" s="242">
        <f>Variables!I9</f>
        <v>2.79</v>
      </c>
      <c r="Q6" s="242">
        <f>Variables!J9</f>
        <v>3.12</v>
      </c>
      <c r="R6" s="234">
        <f>MAX(P6:Q6)</f>
        <v>3.12</v>
      </c>
      <c r="S6" s="242">
        <f>Variables!L9</f>
        <v>2.78</v>
      </c>
      <c r="T6" s="242">
        <f>Variables!M9</f>
        <v>3.13</v>
      </c>
      <c r="U6" s="234">
        <f>MAX(S6:T6)</f>
        <v>3.13</v>
      </c>
      <c r="V6" s="242">
        <f>Variables!O9</f>
        <v>2.77</v>
      </c>
      <c r="W6" s="242">
        <f>Variables!P9</f>
        <v>3.15</v>
      </c>
      <c r="X6" s="234">
        <f>MAX(V6:W6)</f>
        <v>3.15</v>
      </c>
    </row>
    <row r="7" spans="2:30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234">
        <f t="shared" ref="L7:L9" si="2">MAX(J7:K7)</f>
        <v>0.81</v>
      </c>
      <c r="M7" s="243">
        <f>Variables!F11</f>
        <v>0.77</v>
      </c>
      <c r="N7" s="243">
        <f>Variables!G11</f>
        <v>0.82</v>
      </c>
      <c r="O7" s="234">
        <f t="shared" ref="O7:O9" si="3">MAX(M7:N7)</f>
        <v>0.82</v>
      </c>
      <c r="P7" s="243">
        <f>Variables!I11</f>
        <v>0.76500000000000001</v>
      </c>
      <c r="Q7" s="243">
        <f>Variables!J11</f>
        <v>0.82499999999999996</v>
      </c>
      <c r="R7" s="234">
        <f t="shared" ref="R7:R9" si="4">MAX(P7:Q7)</f>
        <v>0.82499999999999996</v>
      </c>
      <c r="S7" s="243">
        <f>Variables!L11</f>
        <v>0.76</v>
      </c>
      <c r="T7" s="243">
        <f>Variables!M11</f>
        <v>0.83</v>
      </c>
      <c r="U7" s="234">
        <f t="shared" ref="U7:U9" si="5">MAX(S7:T7)</f>
        <v>0.83</v>
      </c>
      <c r="V7" s="243">
        <f>Variables!O11</f>
        <v>0.75</v>
      </c>
      <c r="W7" s="243">
        <f>Variables!P11</f>
        <v>0.83499999999999996</v>
      </c>
      <c r="X7" s="234">
        <f t="shared" ref="X7:X9" si="6">MAX(V7:W7)</f>
        <v>0.83499999999999996</v>
      </c>
    </row>
    <row r="8" spans="2:30" s="4" customFormat="1" ht="18" thickBot="1" x14ac:dyDescent="0.2">
      <c r="B8" s="140" t="s">
        <v>72</v>
      </c>
      <c r="C8" s="141">
        <f>L7</f>
        <v>0.81</v>
      </c>
      <c r="D8" s="141">
        <f>O7</f>
        <v>0.82</v>
      </c>
      <c r="E8" s="141">
        <f>R7</f>
        <v>0.82499999999999996</v>
      </c>
      <c r="F8" s="141">
        <f>U7</f>
        <v>0.83</v>
      </c>
      <c r="G8" s="142">
        <f>X7</f>
        <v>0.83499999999999996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234">
        <f t="shared" si="2"/>
        <v>37</v>
      </c>
      <c r="M8" s="242">
        <f>Variables!F15</f>
        <v>36</v>
      </c>
      <c r="N8" s="242">
        <f>Variables!G15</f>
        <v>38</v>
      </c>
      <c r="O8" s="234">
        <f t="shared" si="3"/>
        <v>38</v>
      </c>
      <c r="P8" s="242">
        <f>Variables!I15</f>
        <v>36.25</v>
      </c>
      <c r="Q8" s="242">
        <f>Variables!J15</f>
        <v>38.5</v>
      </c>
      <c r="R8" s="234">
        <f t="shared" si="4"/>
        <v>38.5</v>
      </c>
      <c r="S8" s="242">
        <f>Variables!L15</f>
        <v>36.5</v>
      </c>
      <c r="T8" s="242">
        <f>Variables!M15</f>
        <v>39</v>
      </c>
      <c r="U8" s="234">
        <f t="shared" si="5"/>
        <v>39</v>
      </c>
      <c r="V8" s="242">
        <f>Variables!O15</f>
        <v>36.75</v>
      </c>
      <c r="W8" s="242">
        <f>Variables!P15</f>
        <v>39.5</v>
      </c>
      <c r="X8" s="234">
        <f t="shared" si="6"/>
        <v>39.5</v>
      </c>
    </row>
    <row r="9" spans="2:30" s="4" customFormat="1" ht="17" thickBot="1" x14ac:dyDescent="0.25">
      <c r="B9" s="266" t="s">
        <v>73</v>
      </c>
      <c r="C9" s="145">
        <f>+C5*C7*C8</f>
        <v>64006.200000000004</v>
      </c>
      <c r="D9" s="145">
        <f>+D5*D7*D8</f>
        <v>64796.399999999994</v>
      </c>
      <c r="E9" s="145">
        <f>+E5*E7*E8</f>
        <v>65191.5</v>
      </c>
      <c r="F9" s="145">
        <f>+F5*F7*F8</f>
        <v>65586.599999999991</v>
      </c>
      <c r="G9" s="146">
        <f>+G5*G7*G8</f>
        <v>65981.7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234">
        <f t="shared" si="2"/>
        <v>0.27</v>
      </c>
      <c r="M9" s="243">
        <f>Variables!F24</f>
        <v>0.22</v>
      </c>
      <c r="N9" s="243">
        <f>Variables!G24</f>
        <v>0.28000000000000003</v>
      </c>
      <c r="O9" s="234">
        <f t="shared" si="3"/>
        <v>0.28000000000000003</v>
      </c>
      <c r="P9" s="243">
        <f>Variables!I24</f>
        <v>0.215</v>
      </c>
      <c r="Q9" s="243">
        <f>Variables!J24</f>
        <v>0.28499999999999998</v>
      </c>
      <c r="R9" s="234">
        <f t="shared" si="4"/>
        <v>0.28499999999999998</v>
      </c>
      <c r="S9" s="243">
        <f>Variables!L24</f>
        <v>0.21249999999999999</v>
      </c>
      <c r="T9" s="243">
        <f>Variables!M24</f>
        <v>0.28999999999999998</v>
      </c>
      <c r="U9" s="234">
        <f t="shared" si="5"/>
        <v>0.28999999999999998</v>
      </c>
      <c r="V9" s="243">
        <f>Variables!O24</f>
        <v>0.21</v>
      </c>
      <c r="W9" s="243">
        <f>Variables!P24</f>
        <v>0.3</v>
      </c>
      <c r="X9" s="234">
        <f t="shared" si="6"/>
        <v>0.3</v>
      </c>
    </row>
    <row r="10" spans="2:30" s="4" customFormat="1" ht="34" x14ac:dyDescent="0.15">
      <c r="B10" s="265" t="s">
        <v>74</v>
      </c>
      <c r="C10" s="145">
        <f>+C5*C6*C7*C8</f>
        <v>198419.22000000003</v>
      </c>
      <c r="D10" s="145">
        <f>+D5*D6*D7*D8</f>
        <v>201516.80399999997</v>
      </c>
      <c r="E10" s="145">
        <f>+E5*E6*E7*E8</f>
        <v>203397.48</v>
      </c>
      <c r="F10" s="145">
        <f>+F5*F6*F7*F8</f>
        <v>205286.05799999996</v>
      </c>
      <c r="G10" s="146">
        <f>+G5*G6*G7*G8</f>
        <v>207842.35499999998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234">
        <f>MIN(J10:K10)</f>
        <v>0.02</v>
      </c>
      <c r="M10" s="243">
        <f>Variables!F26</f>
        <v>0.04</v>
      </c>
      <c r="N10" s="243">
        <f>Variables!G26</f>
        <v>0.02</v>
      </c>
      <c r="O10" s="234">
        <f>MIN(M10:N10)</f>
        <v>0.02</v>
      </c>
      <c r="P10" s="243">
        <f>Variables!I26</f>
        <v>0.04</v>
      </c>
      <c r="Q10" s="243">
        <f>Variables!J26</f>
        <v>0.02</v>
      </c>
      <c r="R10" s="234">
        <f>MIN(P10:Q10)</f>
        <v>0.02</v>
      </c>
      <c r="S10" s="243">
        <f>Variables!L26</f>
        <v>0.04</v>
      </c>
      <c r="T10" s="243">
        <f>Variables!M26</f>
        <v>0.02</v>
      </c>
      <c r="U10" s="234">
        <f>MIN(S10:T10)</f>
        <v>0.02</v>
      </c>
      <c r="V10" s="243">
        <f>Variables!O26</f>
        <v>0.04</v>
      </c>
      <c r="W10" s="243">
        <f>Variables!P26</f>
        <v>0.02</v>
      </c>
      <c r="X10" s="234">
        <f>MIN(V10:W10)</f>
        <v>0.02</v>
      </c>
    </row>
    <row r="11" spans="2:30" s="4" customFormat="1" ht="18" thickBot="1" x14ac:dyDescent="0.25">
      <c r="B11" s="133" t="s">
        <v>75</v>
      </c>
      <c r="C11" s="148">
        <f>L8</f>
        <v>37</v>
      </c>
      <c r="D11" s="148">
        <f>O8</f>
        <v>38</v>
      </c>
      <c r="E11" s="148">
        <f>R8</f>
        <v>38.5</v>
      </c>
      <c r="F11" s="148">
        <f>U8</f>
        <v>39</v>
      </c>
      <c r="G11" s="149">
        <f>X8</f>
        <v>39.5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275">
        <f>MIN(J11:K11)</f>
        <v>0.01</v>
      </c>
      <c r="M11" s="244">
        <f>Variables!F29</f>
        <v>0.04</v>
      </c>
      <c r="N11" s="244">
        <f>Variables!G29</f>
        <v>0.01</v>
      </c>
      <c r="O11" s="275">
        <f>MIN(M11:N11)</f>
        <v>0.01</v>
      </c>
      <c r="P11" s="244">
        <f>Variables!I29</f>
        <v>0.04</v>
      </c>
      <c r="Q11" s="244">
        <f>Variables!J29</f>
        <v>0.01</v>
      </c>
      <c r="R11" s="275">
        <f>MIN(P11:Q11)</f>
        <v>0.01</v>
      </c>
      <c r="S11" s="244">
        <f>Variables!L29</f>
        <v>0.04</v>
      </c>
      <c r="T11" s="244">
        <f>Variables!M29</f>
        <v>0.01</v>
      </c>
      <c r="U11" s="275">
        <f>MIN(S11:T11)</f>
        <v>0.01</v>
      </c>
      <c r="V11" s="244">
        <f>Variables!O29</f>
        <v>0.04</v>
      </c>
      <c r="W11" s="244">
        <f>Variables!P29</f>
        <v>0.01</v>
      </c>
      <c r="X11" s="275">
        <f>MIN(V11:W11)</f>
        <v>0.01</v>
      </c>
    </row>
    <row r="12" spans="2:30" s="7" customFormat="1" ht="17" x14ac:dyDescent="0.2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70"/>
      <c r="N12" s="270"/>
      <c r="O12" s="269"/>
      <c r="P12" s="270"/>
      <c r="Q12" s="270"/>
      <c r="R12" s="269"/>
      <c r="S12" s="270"/>
      <c r="T12" s="270"/>
      <c r="U12" s="269"/>
      <c r="V12" s="270"/>
      <c r="W12" s="271"/>
      <c r="X12" s="99"/>
    </row>
    <row r="13" spans="2:30" s="4" customFormat="1" ht="16" x14ac:dyDescent="0.2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268"/>
      <c r="K13" s="268"/>
      <c r="L13" s="272"/>
      <c r="M13" s="273"/>
      <c r="N13" s="273"/>
      <c r="O13" s="272"/>
      <c r="P13" s="273"/>
      <c r="Q13" s="273"/>
      <c r="R13" s="272"/>
      <c r="S13" s="273"/>
      <c r="T13" s="273"/>
      <c r="U13" s="272"/>
      <c r="V13" s="273"/>
      <c r="W13" s="274"/>
      <c r="X13" s="87"/>
    </row>
    <row r="14" spans="2:30" s="4" customFormat="1" ht="16" x14ac:dyDescent="0.2">
      <c r="B14" s="136" t="s">
        <v>125</v>
      </c>
      <c r="C14" s="137">
        <f t="shared" ref="C14:G14" si="7">C24-C26</f>
        <v>5359303.1322000008</v>
      </c>
      <c r="D14" s="137">
        <f t="shared" si="7"/>
        <v>5513499.7574399989</v>
      </c>
      <c r="E14" s="137">
        <f t="shared" si="7"/>
        <v>5599024.1307000006</v>
      </c>
      <c r="F14" s="137">
        <f t="shared" si="7"/>
        <v>5684370.9460199988</v>
      </c>
      <c r="G14" s="138">
        <f t="shared" si="7"/>
        <v>5746841.1157499999</v>
      </c>
      <c r="H14" s="139"/>
      <c r="J14" s="268"/>
      <c r="K14" s="268"/>
      <c r="L14" s="272"/>
      <c r="M14" s="273"/>
      <c r="N14" s="273"/>
      <c r="O14" s="272"/>
      <c r="P14" s="273"/>
      <c r="Q14" s="273"/>
      <c r="R14" s="272"/>
      <c r="S14" s="273"/>
      <c r="T14" s="273"/>
      <c r="U14" s="272"/>
      <c r="V14" s="273"/>
      <c r="W14" s="274"/>
      <c r="X14" s="87"/>
    </row>
    <row r="15" spans="2:30" s="4" customFormat="1" ht="16" x14ac:dyDescent="0.2">
      <c r="B15" s="136" t="s">
        <v>126</v>
      </c>
      <c r="C15" s="297">
        <f>C14/C24</f>
        <v>0.73</v>
      </c>
      <c r="D15" s="297">
        <f>D14/D24</f>
        <v>0.72</v>
      </c>
      <c r="E15" s="297">
        <f>E14/E24</f>
        <v>0.71500000000000008</v>
      </c>
      <c r="F15" s="297">
        <f>F14/F24</f>
        <v>0.71</v>
      </c>
      <c r="G15" s="298">
        <f>G14/G24</f>
        <v>0.70000000000000007</v>
      </c>
      <c r="H15" s="151"/>
      <c r="J15" s="268"/>
      <c r="K15" s="268"/>
      <c r="L15" s="272"/>
      <c r="M15" s="273"/>
      <c r="N15" s="273"/>
      <c r="O15" s="272"/>
      <c r="P15" s="273"/>
      <c r="Q15" s="273"/>
      <c r="R15" s="272"/>
      <c r="S15" s="273"/>
      <c r="T15" s="273"/>
      <c r="U15" s="272"/>
      <c r="V15" s="273"/>
      <c r="W15" s="274"/>
      <c r="X15" s="87"/>
    </row>
    <row r="16" spans="2:30" s="4" customFormat="1" ht="16" x14ac:dyDescent="0.2">
      <c r="B16" s="133" t="s">
        <v>76</v>
      </c>
      <c r="C16" s="152">
        <f>L9</f>
        <v>0.27</v>
      </c>
      <c r="D16" s="152">
        <f>O9</f>
        <v>0.28000000000000003</v>
      </c>
      <c r="E16" s="152">
        <f>R9</f>
        <v>0.28499999999999998</v>
      </c>
      <c r="F16" s="152">
        <f>U9</f>
        <v>0.28999999999999998</v>
      </c>
      <c r="G16" s="153">
        <f>X9</f>
        <v>0.3</v>
      </c>
      <c r="H16" s="154"/>
    </row>
    <row r="17" spans="2:24" s="4" customFormat="1" ht="34" x14ac:dyDescent="0.15">
      <c r="B17" s="140" t="s">
        <v>77</v>
      </c>
      <c r="C17" s="155">
        <f>L10</f>
        <v>0.02</v>
      </c>
      <c r="D17" s="155">
        <f>O10</f>
        <v>0.02</v>
      </c>
      <c r="E17" s="155">
        <f>R10</f>
        <v>0.02</v>
      </c>
      <c r="F17" s="155">
        <f>U10</f>
        <v>0.02</v>
      </c>
      <c r="G17" s="156">
        <f>X10</f>
        <v>0.02</v>
      </c>
      <c r="H17" s="157"/>
    </row>
    <row r="18" spans="2:24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8">D18</f>
        <v>0.25</v>
      </c>
      <c r="F18" s="159">
        <f t="shared" si="8"/>
        <v>0.25</v>
      </c>
      <c r="G18" s="160">
        <f t="shared" si="8"/>
        <v>0.25</v>
      </c>
      <c r="H18" s="161"/>
      <c r="J18" s="158"/>
      <c r="K18" s="158"/>
      <c r="L18" s="162"/>
      <c r="M18" s="158"/>
      <c r="N18" s="158"/>
      <c r="O18" s="162"/>
      <c r="P18" s="158"/>
      <c r="Q18" s="158"/>
      <c r="R18" s="162"/>
      <c r="S18" s="158"/>
      <c r="T18" s="158"/>
      <c r="U18" s="162"/>
      <c r="V18" s="158"/>
      <c r="W18" s="158"/>
      <c r="X18" s="63"/>
    </row>
    <row r="19" spans="2:24" s="4" customFormat="1" ht="18" thickBot="1" x14ac:dyDescent="0.25">
      <c r="B19" s="163" t="s">
        <v>79</v>
      </c>
      <c r="C19" s="164">
        <f>L11</f>
        <v>0.01</v>
      </c>
      <c r="D19" s="164">
        <f>O11</f>
        <v>0.01</v>
      </c>
      <c r="E19" s="164">
        <f>R11</f>
        <v>0.01</v>
      </c>
      <c r="F19" s="164">
        <f>U11</f>
        <v>0.01</v>
      </c>
      <c r="G19" s="165">
        <f>X11</f>
        <v>0.01</v>
      </c>
      <c r="H19" s="154"/>
    </row>
    <row r="20" spans="2:24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24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24" s="4" customFormat="1" thickBot="1" x14ac:dyDescent="0.2">
      <c r="B22" s="10"/>
      <c r="C22" s="6"/>
    </row>
    <row r="23" spans="2:24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24" s="4" customFormat="1" ht="16" x14ac:dyDescent="0.15">
      <c r="B24" s="169" t="s">
        <v>84</v>
      </c>
      <c r="C24" s="170">
        <f>C5*C6*C7*C8*C11</f>
        <v>7341511.1400000015</v>
      </c>
      <c r="D24" s="170">
        <f>D5*D6*D7*D8*D11</f>
        <v>7657638.5519999992</v>
      </c>
      <c r="E24" s="170">
        <f>E5*E6*E7*E8*E11</f>
        <v>7830802.9800000004</v>
      </c>
      <c r="F24" s="170">
        <f>F5*F6*F7*F8*F11</f>
        <v>8006156.2619999982</v>
      </c>
      <c r="G24" s="171">
        <f>G5*G6*G7*G8*G11</f>
        <v>8209773.022499999</v>
      </c>
      <c r="H24" s="12"/>
      <c r="I24" s="6"/>
      <c r="J24" s="6"/>
    </row>
    <row r="25" spans="2:24" s="4" customFormat="1" ht="16" x14ac:dyDescent="0.15">
      <c r="B25" s="172" t="s">
        <v>85</v>
      </c>
      <c r="C25" s="173">
        <f>C24-C26</f>
        <v>5359303.1322000008</v>
      </c>
      <c r="D25" s="173">
        <f t="shared" ref="D25:G25" si="9">D24-D26</f>
        <v>5513499.7574399989</v>
      </c>
      <c r="E25" s="173">
        <f t="shared" si="9"/>
        <v>5599024.1307000006</v>
      </c>
      <c r="F25" s="173">
        <f t="shared" si="9"/>
        <v>5684370.9460199988</v>
      </c>
      <c r="G25" s="174">
        <f t="shared" si="9"/>
        <v>5746841.1157499999</v>
      </c>
      <c r="H25" s="12"/>
      <c r="I25" s="6"/>
      <c r="J25" s="6"/>
    </row>
    <row r="26" spans="2:24" s="4" customFormat="1" ht="16" x14ac:dyDescent="0.15">
      <c r="B26" s="175" t="s">
        <v>0</v>
      </c>
      <c r="C26" s="173">
        <f>C16*C24</f>
        <v>1982208.0078000005</v>
      </c>
      <c r="D26" s="173">
        <f>D16*D24</f>
        <v>2144138.7945599998</v>
      </c>
      <c r="E26" s="173">
        <f>E16*E24</f>
        <v>2231778.8492999999</v>
      </c>
      <c r="F26" s="173">
        <f>F16*F24</f>
        <v>2321785.3159799995</v>
      </c>
      <c r="G26" s="174">
        <f>G16*G24</f>
        <v>2462931.9067499996</v>
      </c>
      <c r="H26" s="12"/>
      <c r="I26" s="6"/>
      <c r="J26" s="6"/>
    </row>
    <row r="27" spans="2:24" s="4" customFormat="1" ht="16" x14ac:dyDescent="0.15">
      <c r="B27" s="172" t="s">
        <v>133</v>
      </c>
      <c r="C27" s="173">
        <f>C17*C24</f>
        <v>146830.22280000005</v>
      </c>
      <c r="D27" s="173">
        <f>D17*D24</f>
        <v>153152.77103999999</v>
      </c>
      <c r="E27" s="173">
        <f>E17*E24</f>
        <v>156616.05960000001</v>
      </c>
      <c r="F27" s="173">
        <f>F17*F24</f>
        <v>160123.12523999996</v>
      </c>
      <c r="G27" s="174">
        <f>G17*G24</f>
        <v>164195.46044999998</v>
      </c>
      <c r="H27" s="6"/>
      <c r="I27" s="6"/>
      <c r="J27" s="6"/>
    </row>
    <row r="28" spans="2:24" s="4" customFormat="1" ht="16" x14ac:dyDescent="0.15">
      <c r="B28" s="175" t="s">
        <v>65</v>
      </c>
      <c r="C28" s="173">
        <f>C26-C27</f>
        <v>1835377.7850000004</v>
      </c>
      <c r="D28" s="173">
        <f t="shared" ref="D28:G28" si="10">D26-D27</f>
        <v>1990986.0235199998</v>
      </c>
      <c r="E28" s="173">
        <f t="shared" si="10"/>
        <v>2075162.7896999998</v>
      </c>
      <c r="F28" s="173">
        <f t="shared" si="10"/>
        <v>2161662.1907399995</v>
      </c>
      <c r="G28" s="174">
        <f t="shared" si="10"/>
        <v>2298736.4462999995</v>
      </c>
      <c r="H28" s="12"/>
      <c r="I28" s="6"/>
      <c r="J28" s="6"/>
    </row>
    <row r="29" spans="2:24" s="4" customFormat="1" ht="16" x14ac:dyDescent="0.15">
      <c r="B29" s="172" t="s">
        <v>99</v>
      </c>
      <c r="C29" s="173">
        <v>500322</v>
      </c>
      <c r="D29" s="173">
        <f t="shared" ref="D29:G29" si="11">+C29</f>
        <v>500322</v>
      </c>
      <c r="E29" s="173">
        <f t="shared" si="11"/>
        <v>500322</v>
      </c>
      <c r="F29" s="173">
        <f t="shared" si="11"/>
        <v>500322</v>
      </c>
      <c r="G29" s="174">
        <f t="shared" si="11"/>
        <v>500322</v>
      </c>
      <c r="H29" s="6"/>
      <c r="I29" s="6"/>
      <c r="J29" s="6"/>
    </row>
    <row r="30" spans="2:24" s="4" customFormat="1" ht="16" x14ac:dyDescent="0.15">
      <c r="B30" s="175" t="s">
        <v>86</v>
      </c>
      <c r="C30" s="173">
        <f t="shared" ref="C30:G30" si="12">+C26-C29</f>
        <v>1481886.0078000005</v>
      </c>
      <c r="D30" s="173">
        <f t="shared" si="12"/>
        <v>1643816.7945599998</v>
      </c>
      <c r="E30" s="173">
        <f t="shared" si="12"/>
        <v>1731456.8492999999</v>
      </c>
      <c r="F30" s="173">
        <f t="shared" si="12"/>
        <v>1821463.3159799995</v>
      </c>
      <c r="G30" s="174">
        <f t="shared" si="12"/>
        <v>1962609.9067499996</v>
      </c>
      <c r="H30" s="12"/>
      <c r="I30" s="6"/>
      <c r="J30" s="6"/>
    </row>
    <row r="31" spans="2:24" s="4" customFormat="1" ht="16" x14ac:dyDescent="0.15">
      <c r="B31" s="172" t="s">
        <v>134</v>
      </c>
      <c r="C31" s="173">
        <f>IF(C30&lt;=0,0,C$18*C30)</f>
        <v>370471.50195000012</v>
      </c>
      <c r="D31" s="173">
        <f t="shared" ref="D31:G31" si="13">IF(D30&lt;=0,0,D$18*D30)</f>
        <v>410954.19863999996</v>
      </c>
      <c r="E31" s="173">
        <f t="shared" si="13"/>
        <v>432864.21232499997</v>
      </c>
      <c r="F31" s="173">
        <f t="shared" si="13"/>
        <v>455365.82899499987</v>
      </c>
      <c r="G31" s="174">
        <f t="shared" si="13"/>
        <v>490652.4766874999</v>
      </c>
      <c r="H31" s="12"/>
      <c r="I31" s="6"/>
      <c r="J31" s="6"/>
    </row>
    <row r="32" spans="2:24" s="4" customFormat="1" ht="17" thickBot="1" x14ac:dyDescent="0.2">
      <c r="B32" s="176" t="s">
        <v>87</v>
      </c>
      <c r="C32" s="177">
        <f t="shared" ref="C32:G32" si="14">C30-C31</f>
        <v>1111414.5058500003</v>
      </c>
      <c r="D32" s="177">
        <f t="shared" si="14"/>
        <v>1232862.5959199998</v>
      </c>
      <c r="E32" s="177">
        <f t="shared" si="14"/>
        <v>1298592.6369749999</v>
      </c>
      <c r="F32" s="177">
        <f t="shared" si="14"/>
        <v>1366097.4869849996</v>
      </c>
      <c r="G32" s="178">
        <f t="shared" si="14"/>
        <v>1471957.4300624998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15">+C32</f>
        <v>1111414.5058500003</v>
      </c>
      <c r="D37" s="223">
        <f t="shared" si="15"/>
        <v>1232862.5959199998</v>
      </c>
      <c r="E37" s="235">
        <f t="shared" si="15"/>
        <v>1298592.6369749999</v>
      </c>
      <c r="F37" s="235">
        <f t="shared" si="15"/>
        <v>1366097.4869849996</v>
      </c>
      <c r="G37" s="235">
        <f t="shared" si="15"/>
        <v>1471957.4300624998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16">+C29</f>
        <v>500322</v>
      </c>
      <c r="D38" s="224">
        <f t="shared" si="16"/>
        <v>500322</v>
      </c>
      <c r="E38" s="111">
        <f t="shared" si="16"/>
        <v>500322</v>
      </c>
      <c r="F38" s="111">
        <f t="shared" si="16"/>
        <v>500322</v>
      </c>
      <c r="G38" s="111">
        <f t="shared" si="16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17">+C37+C38</f>
        <v>1611736.5058500003</v>
      </c>
      <c r="D39" s="224">
        <f t="shared" si="17"/>
        <v>1733184.5959199998</v>
      </c>
      <c r="E39" s="111">
        <f t="shared" si="17"/>
        <v>1798914.6369749999</v>
      </c>
      <c r="F39" s="111">
        <f t="shared" si="17"/>
        <v>1866419.4869849996</v>
      </c>
      <c r="G39" s="111">
        <f t="shared" si="17"/>
        <v>1972279.4300624998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293660.44560000009</v>
      </c>
      <c r="D40" s="224">
        <f>+C40*(1+D19)</f>
        <v>296597.05005600012</v>
      </c>
      <c r="E40" s="111">
        <f>+D40*(1+E19)</f>
        <v>299563.02055656014</v>
      </c>
      <c r="F40" s="111">
        <f>+E40*(1+F19)</f>
        <v>302558.65076212573</v>
      </c>
      <c r="G40" s="111">
        <f>+F40*(1+G19)</f>
        <v>305584.23726974701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1318076.0602500001</v>
      </c>
      <c r="D41" s="295">
        <f t="shared" ref="D41:G41" si="18">D39-D40</f>
        <v>1436587.5458639995</v>
      </c>
      <c r="E41" s="295">
        <f t="shared" si="18"/>
        <v>1499351.6164184399</v>
      </c>
      <c r="F41" s="295">
        <f t="shared" si="18"/>
        <v>1563860.836222874</v>
      </c>
      <c r="G41" s="295">
        <f t="shared" si="18"/>
        <v>1666695.1927927528</v>
      </c>
      <c r="H41" s="295">
        <f>G41*(1+C47)/(C46-C47)</f>
        <v>34000581.932972156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15412651.120335624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38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38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38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38" x14ac:dyDescent="0.15">
      <c r="B68" s="183" t="s">
        <v>0</v>
      </c>
      <c r="C68" s="185">
        <f>C26</f>
        <v>1982208.0078000005</v>
      </c>
      <c r="D68" s="185">
        <f>D26</f>
        <v>2144138.7945599998</v>
      </c>
      <c r="E68" s="185">
        <f>E26</f>
        <v>2231778.8492999999</v>
      </c>
      <c r="F68" s="185">
        <f>F26</f>
        <v>2321785.3159799995</v>
      </c>
      <c r="G68" s="185">
        <f>G26</f>
        <v>2462931.9067499996</v>
      </c>
      <c r="H68" s="185"/>
      <c r="I68" s="182"/>
      <c r="J68" s="182"/>
    </row>
    <row r="69" spans="1:38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19">D69</f>
        <v>500322</v>
      </c>
      <c r="F69" s="184">
        <f t="shared" si="19"/>
        <v>500322</v>
      </c>
      <c r="G69" s="184">
        <f t="shared" si="19"/>
        <v>500322</v>
      </c>
      <c r="H69" s="184"/>
      <c r="I69" s="182"/>
      <c r="J69" s="182"/>
    </row>
    <row r="70" spans="1:38" x14ac:dyDescent="0.15">
      <c r="B70" s="183" t="s">
        <v>2</v>
      </c>
      <c r="C70" s="185">
        <f>C68-C69</f>
        <v>1481886.0078000005</v>
      </c>
      <c r="D70" s="185">
        <f t="shared" ref="D70:G70" si="20">D68-D69</f>
        <v>1643816.7945599998</v>
      </c>
      <c r="E70" s="185">
        <f t="shared" si="20"/>
        <v>1731456.8492999999</v>
      </c>
      <c r="F70" s="185">
        <f t="shared" si="20"/>
        <v>1821463.3159799995</v>
      </c>
      <c r="G70" s="185">
        <f t="shared" si="20"/>
        <v>1962609.9067499996</v>
      </c>
      <c r="H70" s="185"/>
      <c r="I70" s="182"/>
      <c r="J70" s="182"/>
    </row>
    <row r="71" spans="1:38" x14ac:dyDescent="0.15">
      <c r="B71" s="182" t="s">
        <v>3</v>
      </c>
      <c r="C71" s="184">
        <f>C70*0.25</f>
        <v>370471.50195000012</v>
      </c>
      <c r="D71" s="184">
        <f t="shared" ref="D71:G71" si="21">D70*0.25</f>
        <v>410954.19863999996</v>
      </c>
      <c r="E71" s="184">
        <f t="shared" si="21"/>
        <v>432864.21232499997</v>
      </c>
      <c r="F71" s="184">
        <f t="shared" si="21"/>
        <v>455365.82899499987</v>
      </c>
      <c r="G71" s="184">
        <f t="shared" si="21"/>
        <v>490652.4766874999</v>
      </c>
      <c r="H71" s="184"/>
      <c r="I71" s="182"/>
      <c r="J71" s="182"/>
    </row>
    <row r="72" spans="1:38" x14ac:dyDescent="0.15">
      <c r="B72" s="183" t="s">
        <v>4</v>
      </c>
      <c r="C72" s="185">
        <f>C70-C71</f>
        <v>1111414.5058500003</v>
      </c>
      <c r="D72" s="185">
        <f t="shared" ref="D72:G72" si="22">D70-D71</f>
        <v>1232862.5959199998</v>
      </c>
      <c r="E72" s="185">
        <f t="shared" si="22"/>
        <v>1298592.6369749999</v>
      </c>
      <c r="F72" s="185">
        <f t="shared" si="22"/>
        <v>1366097.4869849996</v>
      </c>
      <c r="G72" s="185">
        <f t="shared" si="22"/>
        <v>1471957.4300624998</v>
      </c>
      <c r="H72" s="185"/>
      <c r="I72" s="182"/>
      <c r="J72" s="182"/>
    </row>
    <row r="73" spans="1:38" x14ac:dyDescent="0.15">
      <c r="B73" s="182" t="s">
        <v>1</v>
      </c>
      <c r="C73" s="184">
        <f>C69</f>
        <v>500322</v>
      </c>
      <c r="D73" s="184">
        <f t="shared" ref="D73:G73" si="23">D69</f>
        <v>500322</v>
      </c>
      <c r="E73" s="184">
        <f t="shared" si="23"/>
        <v>500322</v>
      </c>
      <c r="F73" s="184">
        <f t="shared" si="23"/>
        <v>500322</v>
      </c>
      <c r="G73" s="184">
        <f t="shared" si="23"/>
        <v>500322</v>
      </c>
      <c r="H73" s="184"/>
      <c r="I73" s="182"/>
      <c r="J73" s="182"/>
    </row>
    <row r="74" spans="1:38" x14ac:dyDescent="0.15">
      <c r="B74" s="183" t="s">
        <v>5</v>
      </c>
      <c r="C74" s="186">
        <f>C72+C73</f>
        <v>1611736.5058500003</v>
      </c>
      <c r="D74" s="186">
        <f t="shared" ref="D74:G74" si="24">D72+D73</f>
        <v>1733184.5959199998</v>
      </c>
      <c r="E74" s="186">
        <f t="shared" si="24"/>
        <v>1798914.6369749999</v>
      </c>
      <c r="F74" s="186">
        <f t="shared" si="24"/>
        <v>1866419.4869849996</v>
      </c>
      <c r="G74" s="186">
        <f t="shared" si="24"/>
        <v>1972279.4300624998</v>
      </c>
      <c r="H74" s="186"/>
      <c r="I74" s="182"/>
      <c r="J74" s="182"/>
    </row>
    <row r="75" spans="1:38" x14ac:dyDescent="0.15">
      <c r="B75" s="182" t="s">
        <v>7</v>
      </c>
      <c r="C75" s="187">
        <f>C40</f>
        <v>293660.44560000009</v>
      </c>
      <c r="D75" s="187">
        <f>D40</f>
        <v>296597.05005600012</v>
      </c>
      <c r="E75" s="187">
        <f>E40</f>
        <v>299563.02055656014</v>
      </c>
      <c r="F75" s="187">
        <f>F40</f>
        <v>302558.65076212573</v>
      </c>
      <c r="G75" s="187">
        <f>G40</f>
        <v>305584.23726974701</v>
      </c>
      <c r="H75" s="187"/>
      <c r="I75" s="182"/>
      <c r="J75" s="182"/>
    </row>
    <row r="76" spans="1:38" x14ac:dyDescent="0.15">
      <c r="B76" s="183" t="s">
        <v>6</v>
      </c>
      <c r="C76" s="186">
        <f>C74-C75</f>
        <v>1318076.0602500001</v>
      </c>
      <c r="D76" s="186">
        <f t="shared" ref="D76:G76" si="25">D74-D75</f>
        <v>1436587.5458639995</v>
      </c>
      <c r="E76" s="186">
        <f t="shared" si="25"/>
        <v>1499351.6164184399</v>
      </c>
      <c r="F76" s="186">
        <f t="shared" si="25"/>
        <v>1563860.836222874</v>
      </c>
      <c r="G76" s="186">
        <f t="shared" si="25"/>
        <v>1666695.1927927528</v>
      </c>
      <c r="H76" s="186"/>
      <c r="I76" s="182"/>
      <c r="J76" s="182"/>
    </row>
    <row r="77" spans="1:38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38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38" s="194" customFormat="1" x14ac:dyDescent="0.15">
      <c r="A79" s="193"/>
      <c r="B79" s="183" t="s">
        <v>10</v>
      </c>
      <c r="C79" s="191">
        <f>C76</f>
        <v>1318076.0602500001</v>
      </c>
      <c r="D79" s="191">
        <f>D76</f>
        <v>1436587.5458639995</v>
      </c>
      <c r="E79" s="191">
        <f>E76</f>
        <v>1499351.6164184399</v>
      </c>
      <c r="F79" s="191">
        <f>F76</f>
        <v>1563860.836222874</v>
      </c>
      <c r="G79" s="191">
        <f>G76</f>
        <v>1666695.1927927528</v>
      </c>
      <c r="H79" s="191"/>
      <c r="I79" s="192">
        <f>G79*(1+C83)/(C114-C113)</f>
        <v>44579421.793653607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</row>
    <row r="80" spans="1:38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3" x14ac:dyDescent="0.15">
      <c r="B81" s="182" t="s">
        <v>37</v>
      </c>
      <c r="C81" s="195">
        <f>C79</f>
        <v>1318076.0602500001</v>
      </c>
      <c r="D81" s="195">
        <f t="shared" ref="D81:G81" si="26">D79</f>
        <v>1436587.5458639995</v>
      </c>
      <c r="E81" s="195">
        <f t="shared" si="26"/>
        <v>1499351.6164184399</v>
      </c>
      <c r="F81" s="195">
        <f t="shared" si="26"/>
        <v>1563860.836222874</v>
      </c>
      <c r="G81" s="195">
        <f t="shared" si="26"/>
        <v>1666695.1927927528</v>
      </c>
      <c r="H81" s="195"/>
      <c r="I81" s="197"/>
      <c r="J81" s="197"/>
    </row>
    <row r="82" spans="2:13" x14ac:dyDescent="0.15">
      <c r="B82" s="182" t="s">
        <v>38</v>
      </c>
      <c r="C82" s="198"/>
      <c r="D82" s="197">
        <f>(D81/C81)-1</f>
        <v>8.991247864066465E-2</v>
      </c>
      <c r="E82" s="197">
        <f t="shared" ref="E82:G82" si="27">(E81/D81)-1</f>
        <v>4.3689694188941752E-2</v>
      </c>
      <c r="F82" s="197">
        <f t="shared" si="27"/>
        <v>4.3024744228128409E-2</v>
      </c>
      <c r="G82" s="197">
        <f t="shared" si="27"/>
        <v>6.5756718365203248E-2</v>
      </c>
      <c r="H82" s="197"/>
      <c r="I82" s="197"/>
      <c r="J82" s="197"/>
    </row>
    <row r="83" spans="2:13" x14ac:dyDescent="0.15">
      <c r="B83" s="183" t="s">
        <v>39</v>
      </c>
      <c r="C83" s="199">
        <f>AVERAGE(D82:G82)</f>
        <v>6.0595908855734515E-2</v>
      </c>
      <c r="D83" s="195"/>
      <c r="E83" s="195"/>
      <c r="F83" s="195"/>
      <c r="G83" s="195"/>
      <c r="H83" s="195"/>
      <c r="I83" s="197"/>
      <c r="J83" s="197"/>
    </row>
    <row r="84" spans="2:13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3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3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</row>
    <row r="87" spans="2:13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</row>
    <row r="88" spans="2:13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</row>
    <row r="89" spans="2:13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</row>
    <row r="90" spans="2:13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</row>
    <row r="91" spans="2:13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</row>
    <row r="92" spans="2:13" x14ac:dyDescent="0.15">
      <c r="B92" s="183" t="s">
        <v>44</v>
      </c>
      <c r="C92" s="199">
        <v>0.25965169999999999</v>
      </c>
      <c r="D92" s="195"/>
      <c r="E92" s="195"/>
      <c r="F92" s="202">
        <f>K121</f>
        <v>0.1205170015062666</v>
      </c>
      <c r="G92" s="195" t="s">
        <v>55</v>
      </c>
      <c r="H92" s="195"/>
      <c r="I92" s="195"/>
      <c r="J92" s="195"/>
      <c r="K92" s="203"/>
      <c r="L92" s="200"/>
      <c r="M92" s="200"/>
    </row>
    <row r="93" spans="2:13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0.87948299849373335</v>
      </c>
      <c r="G93" s="195" t="s">
        <v>57</v>
      </c>
      <c r="H93" s="195"/>
      <c r="I93" s="195"/>
      <c r="J93" s="195"/>
      <c r="K93" s="200"/>
      <c r="L93" s="200"/>
      <c r="M93" s="200"/>
    </row>
    <row r="94" spans="2:13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</row>
    <row r="95" spans="2:13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</row>
    <row r="96" spans="2:13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</row>
    <row r="97" spans="2:13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</row>
    <row r="98" spans="2:13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</row>
    <row r="99" spans="2:13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</row>
    <row r="100" spans="2:13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</row>
    <row r="101" spans="2:13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</row>
    <row r="102" spans="2:13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</row>
    <row r="103" spans="2:13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</row>
    <row r="104" spans="2:13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</row>
    <row r="105" spans="2:13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</row>
    <row r="106" spans="2:13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</row>
    <row r="107" spans="2:13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</row>
    <row r="108" spans="2:13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</row>
    <row r="109" spans="2:13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</row>
    <row r="110" spans="2:13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</row>
    <row r="111" spans="2:13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</row>
    <row r="112" spans="2:13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</row>
    <row r="113" spans="2:12" x14ac:dyDescent="0.15">
      <c r="B113" s="182" t="s">
        <v>9</v>
      </c>
      <c r="C113" s="206">
        <f>C83</f>
        <v>6.0595908855734515E-2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36594691.47639332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36663879.47639332</v>
      </c>
      <c r="D119" s="182"/>
      <c r="E119" s="183" t="s">
        <v>28</v>
      </c>
      <c r="F119" s="192">
        <f>F135-F126-F121</f>
        <v>33752218.47639332</v>
      </c>
      <c r="G119" s="195">
        <f>C135-F135</f>
        <v>0</v>
      </c>
      <c r="H119" s="195"/>
      <c r="I119" s="182"/>
      <c r="J119" s="182"/>
      <c r="K119" s="209">
        <f>F119/F135</f>
        <v>0.87948299849373335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0.1205170015062666</v>
      </c>
      <c r="L121" s="180" t="s">
        <v>55</v>
      </c>
    </row>
    <row r="122" spans="2:12" x14ac:dyDescent="0.15">
      <c r="B122" s="182" t="s">
        <v>15</v>
      </c>
      <c r="C122" s="196">
        <f>C115</f>
        <v>36594691.47639332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38377340.47639332</v>
      </c>
      <c r="D135" s="182"/>
      <c r="E135" s="183" t="s">
        <v>30</v>
      </c>
      <c r="F135" s="191">
        <f>C135</f>
        <v>38377340.47639332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45913579.47639332</v>
      </c>
      <c r="D154" s="182"/>
      <c r="E154" s="183" t="s">
        <v>28</v>
      </c>
      <c r="F154" s="191">
        <f>F119+F141</f>
        <v>36682918.47639332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47789040.47639332</v>
      </c>
      <c r="D160" s="183"/>
      <c r="E160" s="183" t="s">
        <v>36</v>
      </c>
      <c r="F160" s="191">
        <f>F150+F135</f>
        <v>47789040.47639332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L4"/>
    <mergeCell ref="M4:O4"/>
    <mergeCell ref="P4:R4"/>
    <mergeCell ref="S4:U4"/>
    <mergeCell ref="V4:X4"/>
  </mergeCells>
  <phoneticPr fontId="4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49BA-EC5B-604D-9CE0-17DA6806D942}">
  <dimension ref="A2:AL164"/>
  <sheetViews>
    <sheetView topLeftCell="A24" zoomScale="120" zoomScaleNormal="120" workbookViewId="0">
      <selection activeCell="H37" sqref="H37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4" width="7.5" style="180" customWidth="1"/>
    <col min="15" max="15" width="9.83203125" style="180" bestFit="1" customWidth="1"/>
    <col min="16" max="17" width="7.5" style="180" customWidth="1"/>
    <col min="18" max="18" width="9.83203125" style="180" bestFit="1" customWidth="1"/>
    <col min="19" max="20" width="7.5" style="180" customWidth="1"/>
    <col min="21" max="21" width="9.83203125" style="180" bestFit="1" customWidth="1"/>
    <col min="22" max="23" width="7.5" style="180" customWidth="1"/>
    <col min="24" max="24" width="9.83203125" style="180" bestFit="1" customWidth="1"/>
    <col min="25" max="16384" width="11.5" style="180"/>
  </cols>
  <sheetData>
    <row r="2" spans="2:30" s="4" customFormat="1" ht="16" x14ac:dyDescent="0.2">
      <c r="B2" s="276" t="s">
        <v>129</v>
      </c>
      <c r="I2" s="276" t="s">
        <v>130</v>
      </c>
    </row>
    <row r="3" spans="2:30" s="5" customFormat="1" thickBot="1" x14ac:dyDescent="0.2"/>
    <row r="4" spans="2:30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40"/>
      <c r="M4" s="341" t="s">
        <v>81</v>
      </c>
      <c r="N4" s="342"/>
      <c r="O4" s="343"/>
      <c r="P4" s="344" t="s">
        <v>82</v>
      </c>
      <c r="Q4" s="345"/>
      <c r="R4" s="346"/>
      <c r="S4" s="347" t="s">
        <v>83</v>
      </c>
      <c r="T4" s="348"/>
      <c r="U4" s="349"/>
      <c r="V4" s="350" t="s">
        <v>108</v>
      </c>
      <c r="W4" s="351"/>
      <c r="X4" s="352"/>
      <c r="Z4" s="125"/>
      <c r="AA4" s="125"/>
      <c r="AB4" s="125"/>
      <c r="AC4" s="125"/>
      <c r="AD4" s="125"/>
    </row>
    <row r="5" spans="2:30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128</v>
      </c>
      <c r="M5" s="130" t="s">
        <v>119</v>
      </c>
      <c r="N5" s="131" t="s">
        <v>127</v>
      </c>
      <c r="O5" s="132" t="s">
        <v>128</v>
      </c>
      <c r="P5" s="130" t="s">
        <v>119</v>
      </c>
      <c r="Q5" s="131" t="s">
        <v>127</v>
      </c>
      <c r="R5" s="132" t="s">
        <v>128</v>
      </c>
      <c r="S5" s="130" t="s">
        <v>119</v>
      </c>
      <c r="T5" s="131" t="s">
        <v>127</v>
      </c>
      <c r="U5" s="132" t="s">
        <v>128</v>
      </c>
      <c r="V5" s="130" t="s">
        <v>119</v>
      </c>
      <c r="W5" s="131" t="s">
        <v>127</v>
      </c>
      <c r="X5" s="132" t="s">
        <v>128</v>
      </c>
    </row>
    <row r="6" spans="2:30" s="4" customFormat="1" ht="16" x14ac:dyDescent="0.2">
      <c r="B6" s="133" t="s">
        <v>70</v>
      </c>
      <c r="C6" s="134">
        <f>L6</f>
        <v>2.8</v>
      </c>
      <c r="D6" s="134">
        <f>O6</f>
        <v>2.7949999999999999</v>
      </c>
      <c r="E6" s="134">
        <f>R6</f>
        <v>2.79</v>
      </c>
      <c r="F6" s="134">
        <f>U6</f>
        <v>2.78</v>
      </c>
      <c r="G6" s="135">
        <f>X6</f>
        <v>2.77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234">
        <f>MIN(J6:K6)</f>
        <v>2.8</v>
      </c>
      <c r="M6" s="242">
        <f>Variables!F9</f>
        <v>2.7949999999999999</v>
      </c>
      <c r="N6" s="242">
        <f>Variables!G9</f>
        <v>3.11</v>
      </c>
      <c r="O6" s="234">
        <f>MIN(M6:N6)</f>
        <v>2.7949999999999999</v>
      </c>
      <c r="P6" s="242">
        <f>Variables!I9</f>
        <v>2.79</v>
      </c>
      <c r="Q6" s="242">
        <f>Variables!J9</f>
        <v>3.12</v>
      </c>
      <c r="R6" s="234">
        <f>MIN(P6:Q6)</f>
        <v>2.79</v>
      </c>
      <c r="S6" s="242">
        <f>Variables!L9</f>
        <v>2.78</v>
      </c>
      <c r="T6" s="242">
        <f>Variables!M9</f>
        <v>3.13</v>
      </c>
      <c r="U6" s="234">
        <f>MIN(S6:T6)</f>
        <v>2.78</v>
      </c>
      <c r="V6" s="242">
        <f>Variables!O9</f>
        <v>2.77</v>
      </c>
      <c r="W6" s="242">
        <f>Variables!P9</f>
        <v>3.15</v>
      </c>
      <c r="X6" s="234">
        <f>MIN(V6:W6)</f>
        <v>2.77</v>
      </c>
    </row>
    <row r="7" spans="2:30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234">
        <f t="shared" ref="L7:L9" si="2">MIN(J7:K7)</f>
        <v>0.78</v>
      </c>
      <c r="M7" s="243">
        <f>Variables!F11</f>
        <v>0.77</v>
      </c>
      <c r="N7" s="243">
        <f>Variables!G11</f>
        <v>0.82</v>
      </c>
      <c r="O7" s="234">
        <f t="shared" ref="O7:O9" si="3">MIN(M7:N7)</f>
        <v>0.77</v>
      </c>
      <c r="P7" s="243">
        <f>Variables!I11</f>
        <v>0.76500000000000001</v>
      </c>
      <c r="Q7" s="243">
        <f>Variables!J11</f>
        <v>0.82499999999999996</v>
      </c>
      <c r="R7" s="234">
        <f t="shared" ref="R7:R9" si="4">MIN(P7:Q7)</f>
        <v>0.76500000000000001</v>
      </c>
      <c r="S7" s="243">
        <f>Variables!L11</f>
        <v>0.76</v>
      </c>
      <c r="T7" s="243">
        <f>Variables!M11</f>
        <v>0.83</v>
      </c>
      <c r="U7" s="234">
        <f t="shared" ref="U7:U9" si="5">MIN(S7:T7)</f>
        <v>0.76</v>
      </c>
      <c r="V7" s="243">
        <f>Variables!O11</f>
        <v>0.75</v>
      </c>
      <c r="W7" s="243">
        <f>Variables!P11</f>
        <v>0.83499999999999996</v>
      </c>
      <c r="X7" s="234">
        <f t="shared" ref="X7:X9" si="6">MIN(V7:W7)</f>
        <v>0.75</v>
      </c>
    </row>
    <row r="8" spans="2:30" s="4" customFormat="1" ht="18" thickBot="1" x14ac:dyDescent="0.2">
      <c r="B8" s="140" t="s">
        <v>72</v>
      </c>
      <c r="C8" s="141">
        <f>L7</f>
        <v>0.78</v>
      </c>
      <c r="D8" s="141">
        <f>O7</f>
        <v>0.77</v>
      </c>
      <c r="E8" s="141">
        <f>R7</f>
        <v>0.76500000000000001</v>
      </c>
      <c r="F8" s="141">
        <f>U7</f>
        <v>0.76</v>
      </c>
      <c r="G8" s="142">
        <f>X7</f>
        <v>0.75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234">
        <f t="shared" si="2"/>
        <v>35.5</v>
      </c>
      <c r="M8" s="242">
        <f>Variables!F15</f>
        <v>36</v>
      </c>
      <c r="N8" s="242">
        <f>Variables!G15</f>
        <v>38</v>
      </c>
      <c r="O8" s="234">
        <f t="shared" si="3"/>
        <v>36</v>
      </c>
      <c r="P8" s="242">
        <f>Variables!I15</f>
        <v>36.25</v>
      </c>
      <c r="Q8" s="242">
        <f>Variables!J15</f>
        <v>38.5</v>
      </c>
      <c r="R8" s="234">
        <f t="shared" si="4"/>
        <v>36.25</v>
      </c>
      <c r="S8" s="242">
        <f>Variables!L15</f>
        <v>36.5</v>
      </c>
      <c r="T8" s="242">
        <f>Variables!M15</f>
        <v>39</v>
      </c>
      <c r="U8" s="234">
        <f t="shared" si="5"/>
        <v>36.5</v>
      </c>
      <c r="V8" s="242">
        <f>Variables!O15</f>
        <v>36.75</v>
      </c>
      <c r="W8" s="242">
        <f>Variables!P15</f>
        <v>39.5</v>
      </c>
      <c r="X8" s="234">
        <f t="shared" si="6"/>
        <v>36.75</v>
      </c>
    </row>
    <row r="9" spans="2:30" s="4" customFormat="1" ht="17" thickBot="1" x14ac:dyDescent="0.25">
      <c r="B9" s="266" t="s">
        <v>73</v>
      </c>
      <c r="C9" s="145">
        <f>+C5*C7*C8</f>
        <v>61635.6</v>
      </c>
      <c r="D9" s="145">
        <f>+D5*D7*D8</f>
        <v>60845.4</v>
      </c>
      <c r="E9" s="145">
        <f>+E5*E7*E8</f>
        <v>60450.3</v>
      </c>
      <c r="F9" s="145">
        <f>+F5*F7*F8</f>
        <v>60055.199999999997</v>
      </c>
      <c r="G9" s="146">
        <f>+G5*G7*G8</f>
        <v>59265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234">
        <f t="shared" si="2"/>
        <v>0.22500000000000001</v>
      </c>
      <c r="M9" s="243">
        <f>Variables!F24</f>
        <v>0.22</v>
      </c>
      <c r="N9" s="243">
        <f>Variables!G24</f>
        <v>0.28000000000000003</v>
      </c>
      <c r="O9" s="234">
        <f t="shared" si="3"/>
        <v>0.22</v>
      </c>
      <c r="P9" s="243">
        <f>Variables!I24</f>
        <v>0.215</v>
      </c>
      <c r="Q9" s="243">
        <f>Variables!J24</f>
        <v>0.28499999999999998</v>
      </c>
      <c r="R9" s="234">
        <f t="shared" si="4"/>
        <v>0.215</v>
      </c>
      <c r="S9" s="243">
        <f>Variables!L24</f>
        <v>0.21249999999999999</v>
      </c>
      <c r="T9" s="243">
        <f>Variables!M24</f>
        <v>0.28999999999999998</v>
      </c>
      <c r="U9" s="234">
        <f t="shared" si="5"/>
        <v>0.21249999999999999</v>
      </c>
      <c r="V9" s="243">
        <f>Variables!O24</f>
        <v>0.21</v>
      </c>
      <c r="W9" s="243">
        <f>Variables!P24</f>
        <v>0.3</v>
      </c>
      <c r="X9" s="234">
        <f t="shared" si="6"/>
        <v>0.21</v>
      </c>
    </row>
    <row r="10" spans="2:30" s="4" customFormat="1" ht="34" x14ac:dyDescent="0.15">
      <c r="B10" s="265" t="s">
        <v>74</v>
      </c>
      <c r="C10" s="145">
        <f>+C5*C6*C7*C8</f>
        <v>172579.68</v>
      </c>
      <c r="D10" s="145">
        <f>+D5*D6*D7*D8</f>
        <v>170062.89299999998</v>
      </c>
      <c r="E10" s="145">
        <f>+E5*E6*E7*E8</f>
        <v>168656.337</v>
      </c>
      <c r="F10" s="145">
        <f>+F5*F6*F7*F8</f>
        <v>166953.45599999998</v>
      </c>
      <c r="G10" s="146">
        <f>+G5*G6*G7*G8</f>
        <v>164164.04999999999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234">
        <f>MAX(J10:K10)</f>
        <v>0.04</v>
      </c>
      <c r="M10" s="243">
        <f>Variables!F26</f>
        <v>0.04</v>
      </c>
      <c r="N10" s="243">
        <f>Variables!G26</f>
        <v>0.02</v>
      </c>
      <c r="O10" s="234">
        <f>MAX(M10:N10)</f>
        <v>0.04</v>
      </c>
      <c r="P10" s="243">
        <f>Variables!I26</f>
        <v>0.04</v>
      </c>
      <c r="Q10" s="243">
        <f>Variables!J26</f>
        <v>0.02</v>
      </c>
      <c r="R10" s="234">
        <f>MAX(P10:Q10)</f>
        <v>0.04</v>
      </c>
      <c r="S10" s="243">
        <f>Variables!L26</f>
        <v>0.04</v>
      </c>
      <c r="T10" s="243">
        <f>Variables!M26</f>
        <v>0.02</v>
      </c>
      <c r="U10" s="234">
        <f>MAX(S10:T10)</f>
        <v>0.04</v>
      </c>
      <c r="V10" s="243">
        <f>Variables!O26</f>
        <v>0.04</v>
      </c>
      <c r="W10" s="243">
        <f>Variables!P26</f>
        <v>0.02</v>
      </c>
      <c r="X10" s="234">
        <f>MAX(V10:W10)</f>
        <v>0.04</v>
      </c>
    </row>
    <row r="11" spans="2:30" s="4" customFormat="1" ht="18" thickBot="1" x14ac:dyDescent="0.25">
      <c r="B11" s="133" t="s">
        <v>75</v>
      </c>
      <c r="C11" s="148">
        <f>L8</f>
        <v>35.5</v>
      </c>
      <c r="D11" s="148">
        <f>O8</f>
        <v>36</v>
      </c>
      <c r="E11" s="148">
        <f>R8</f>
        <v>36.25</v>
      </c>
      <c r="F11" s="148">
        <f>U8</f>
        <v>36.5</v>
      </c>
      <c r="G11" s="149">
        <f>X8</f>
        <v>36.75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275">
        <f>MAX(J11:K11)</f>
        <v>0.04</v>
      </c>
      <c r="M11" s="244">
        <f>Variables!F29</f>
        <v>0.04</v>
      </c>
      <c r="N11" s="244">
        <f>Variables!G29</f>
        <v>0.01</v>
      </c>
      <c r="O11" s="275">
        <f>MAX(M11:N11)</f>
        <v>0.04</v>
      </c>
      <c r="P11" s="244">
        <f>Variables!I29</f>
        <v>0.04</v>
      </c>
      <c r="Q11" s="244">
        <f>Variables!J29</f>
        <v>0.01</v>
      </c>
      <c r="R11" s="275">
        <f>MAX(P11:Q11)</f>
        <v>0.04</v>
      </c>
      <c r="S11" s="244">
        <f>Variables!L29</f>
        <v>0.04</v>
      </c>
      <c r="T11" s="244">
        <f>Variables!M29</f>
        <v>0.01</v>
      </c>
      <c r="U11" s="275">
        <f>MAX(S11:T11)</f>
        <v>0.04</v>
      </c>
      <c r="V11" s="244">
        <f>Variables!O29</f>
        <v>0.04</v>
      </c>
      <c r="W11" s="244">
        <f>Variables!P29</f>
        <v>0.01</v>
      </c>
      <c r="X11" s="275">
        <f>MAX(V11:W11)</f>
        <v>0.04</v>
      </c>
    </row>
    <row r="12" spans="2:30" s="7" customFormat="1" ht="17" x14ac:dyDescent="0.2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70"/>
      <c r="N12" s="270"/>
      <c r="O12" s="269"/>
      <c r="P12" s="270"/>
      <c r="Q12" s="270"/>
      <c r="R12" s="269"/>
      <c r="S12" s="270"/>
      <c r="T12" s="270"/>
      <c r="U12" s="269"/>
      <c r="V12" s="270"/>
      <c r="W12" s="271"/>
      <c r="X12" s="99"/>
    </row>
    <row r="13" spans="2:30" s="4" customFormat="1" ht="16" x14ac:dyDescent="0.2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268"/>
      <c r="K13" s="268"/>
      <c r="L13" s="272"/>
      <c r="M13" s="273"/>
      <c r="N13" s="273"/>
      <c r="O13" s="272"/>
      <c r="P13" s="273"/>
      <c r="Q13" s="273"/>
      <c r="R13" s="272"/>
      <c r="S13" s="273"/>
      <c r="T13" s="273"/>
      <c r="U13" s="272"/>
      <c r="V13" s="273"/>
      <c r="W13" s="274"/>
      <c r="X13" s="87"/>
    </row>
    <row r="14" spans="2:30" s="4" customFormat="1" ht="16" x14ac:dyDescent="0.2">
      <c r="B14" s="136" t="s">
        <v>125</v>
      </c>
      <c r="C14" s="137">
        <f t="shared" ref="C14:G14" si="7">C24-C26</f>
        <v>4748098.4459999995</v>
      </c>
      <c r="D14" s="137">
        <f t="shared" si="7"/>
        <v>4775366.0354399998</v>
      </c>
      <c r="E14" s="137">
        <f t="shared" si="7"/>
        <v>4799326.8897562493</v>
      </c>
      <c r="F14" s="137">
        <f t="shared" si="7"/>
        <v>4798868.4008999998</v>
      </c>
      <c r="G14" s="138">
        <f t="shared" si="7"/>
        <v>4766092.7816249998</v>
      </c>
      <c r="H14" s="139"/>
      <c r="J14" s="268"/>
      <c r="K14" s="268"/>
      <c r="L14" s="272"/>
      <c r="M14" s="273"/>
      <c r="N14" s="273"/>
      <c r="O14" s="272"/>
      <c r="P14" s="273"/>
      <c r="Q14" s="273"/>
      <c r="R14" s="272"/>
      <c r="S14" s="273"/>
      <c r="T14" s="273"/>
      <c r="U14" s="272"/>
      <c r="V14" s="273"/>
      <c r="W14" s="274"/>
      <c r="X14" s="87"/>
    </row>
    <row r="15" spans="2:30" s="4" customFormat="1" ht="16" x14ac:dyDescent="0.2">
      <c r="B15" s="136" t="s">
        <v>126</v>
      </c>
      <c r="C15" s="297">
        <f>C14/C24</f>
        <v>0.77499999999999991</v>
      </c>
      <c r="D15" s="297">
        <f>D14/D24</f>
        <v>0.78</v>
      </c>
      <c r="E15" s="297">
        <f>E14/E24</f>
        <v>0.78499999999999992</v>
      </c>
      <c r="F15" s="297">
        <f>F14/F24</f>
        <v>0.78750000000000009</v>
      </c>
      <c r="G15" s="298">
        <f>G14/G24</f>
        <v>0.79</v>
      </c>
      <c r="H15" s="151"/>
      <c r="J15" s="268"/>
      <c r="K15" s="268"/>
      <c r="L15" s="272"/>
      <c r="M15" s="273"/>
      <c r="N15" s="273"/>
      <c r="O15" s="272"/>
      <c r="P15" s="273"/>
      <c r="Q15" s="273"/>
      <c r="R15" s="272"/>
      <c r="S15" s="273"/>
      <c r="T15" s="273"/>
      <c r="U15" s="272"/>
      <c r="V15" s="273"/>
      <c r="W15" s="274"/>
      <c r="X15" s="87"/>
    </row>
    <row r="16" spans="2:30" s="4" customFormat="1" ht="16" x14ac:dyDescent="0.2">
      <c r="B16" s="133" t="s">
        <v>76</v>
      </c>
      <c r="C16" s="152">
        <f>L9</f>
        <v>0.22500000000000001</v>
      </c>
      <c r="D16" s="152">
        <f>O9</f>
        <v>0.22</v>
      </c>
      <c r="E16" s="152">
        <f>R9</f>
        <v>0.215</v>
      </c>
      <c r="F16" s="152">
        <f>U9</f>
        <v>0.21249999999999999</v>
      </c>
      <c r="G16" s="153">
        <f>X9</f>
        <v>0.21</v>
      </c>
      <c r="H16" s="154"/>
    </row>
    <row r="17" spans="2:24" s="4" customFormat="1" ht="34" x14ac:dyDescent="0.15">
      <c r="B17" s="140" t="s">
        <v>77</v>
      </c>
      <c r="C17" s="155">
        <f>L10</f>
        <v>0.04</v>
      </c>
      <c r="D17" s="155">
        <f>O10</f>
        <v>0.04</v>
      </c>
      <c r="E17" s="155">
        <f>R10</f>
        <v>0.04</v>
      </c>
      <c r="F17" s="155">
        <f>U10</f>
        <v>0.04</v>
      </c>
      <c r="G17" s="156">
        <f>X10</f>
        <v>0.04</v>
      </c>
      <c r="H17" s="157"/>
    </row>
    <row r="18" spans="2:24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8">D18</f>
        <v>0.25</v>
      </c>
      <c r="F18" s="159">
        <f t="shared" si="8"/>
        <v>0.25</v>
      </c>
      <c r="G18" s="160">
        <f t="shared" si="8"/>
        <v>0.25</v>
      </c>
      <c r="H18" s="161"/>
      <c r="J18" s="158"/>
      <c r="K18" s="158"/>
      <c r="L18" s="162"/>
      <c r="M18" s="158"/>
      <c r="N18" s="158"/>
      <c r="O18" s="162"/>
      <c r="P18" s="158"/>
      <c r="Q18" s="158"/>
      <c r="R18" s="162"/>
      <c r="S18" s="158"/>
      <c r="T18" s="158"/>
      <c r="U18" s="162"/>
      <c r="V18" s="158"/>
      <c r="W18" s="158"/>
      <c r="X18" s="63"/>
    </row>
    <row r="19" spans="2:24" s="4" customFormat="1" ht="18" thickBot="1" x14ac:dyDescent="0.25">
      <c r="B19" s="163" t="s">
        <v>79</v>
      </c>
      <c r="C19" s="164">
        <f>L11</f>
        <v>0.04</v>
      </c>
      <c r="D19" s="164">
        <f>O11</f>
        <v>0.04</v>
      </c>
      <c r="E19" s="164">
        <f>R11</f>
        <v>0.04</v>
      </c>
      <c r="F19" s="164">
        <f>U11</f>
        <v>0.04</v>
      </c>
      <c r="G19" s="165">
        <f>X11</f>
        <v>0.04</v>
      </c>
      <c r="H19" s="154"/>
    </row>
    <row r="20" spans="2:24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24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24" s="4" customFormat="1" thickBot="1" x14ac:dyDescent="0.2">
      <c r="B22" s="10"/>
      <c r="C22" s="6"/>
    </row>
    <row r="23" spans="2:24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24" s="4" customFormat="1" ht="16" x14ac:dyDescent="0.15">
      <c r="B24" s="169" t="s">
        <v>84</v>
      </c>
      <c r="C24" s="170">
        <f>C5*C6*C7*C8*C11</f>
        <v>6126578.6399999997</v>
      </c>
      <c r="D24" s="170">
        <f>D5*D6*D7*D8*D11</f>
        <v>6122264.1479999991</v>
      </c>
      <c r="E24" s="170">
        <f>E5*E6*E7*E8*E11</f>
        <v>6113792.2162499996</v>
      </c>
      <c r="F24" s="170">
        <f>F5*F6*F7*F8*F11</f>
        <v>6093801.1439999994</v>
      </c>
      <c r="G24" s="171">
        <f>G5*G6*G7*G8*G11</f>
        <v>6033028.8374999994</v>
      </c>
      <c r="H24" s="12"/>
      <c r="I24" s="6"/>
      <c r="J24" s="6"/>
    </row>
    <row r="25" spans="2:24" s="4" customFormat="1" ht="16" x14ac:dyDescent="0.15">
      <c r="B25" s="172" t="s">
        <v>85</v>
      </c>
      <c r="C25" s="173">
        <f>C24-C26</f>
        <v>4748098.4459999995</v>
      </c>
      <c r="D25" s="173">
        <f t="shared" ref="D25:G25" si="9">D24-D26</f>
        <v>4775366.0354399998</v>
      </c>
      <c r="E25" s="173">
        <f t="shared" si="9"/>
        <v>4799326.8897562493</v>
      </c>
      <c r="F25" s="173">
        <f t="shared" si="9"/>
        <v>4798868.4008999998</v>
      </c>
      <c r="G25" s="174">
        <f t="shared" si="9"/>
        <v>4766092.7816249998</v>
      </c>
      <c r="H25" s="12"/>
      <c r="I25" s="6"/>
      <c r="J25" s="6"/>
    </row>
    <row r="26" spans="2:24" s="4" customFormat="1" ht="16" x14ac:dyDescent="0.15">
      <c r="B26" s="175" t="s">
        <v>0</v>
      </c>
      <c r="C26" s="173">
        <f>C16*C24</f>
        <v>1378480.1939999999</v>
      </c>
      <c r="D26" s="173">
        <f>D16*D24</f>
        <v>1346898.1125599998</v>
      </c>
      <c r="E26" s="173">
        <f>E16*E24</f>
        <v>1314465.3264937499</v>
      </c>
      <c r="F26" s="173">
        <f>F16*F24</f>
        <v>1294932.7430999998</v>
      </c>
      <c r="G26" s="174">
        <f>G16*G24</f>
        <v>1266936.0558749998</v>
      </c>
      <c r="H26" s="12"/>
      <c r="I26" s="6"/>
      <c r="J26" s="6"/>
    </row>
    <row r="27" spans="2:24" s="4" customFormat="1" ht="16" x14ac:dyDescent="0.15">
      <c r="B27" s="172" t="s">
        <v>133</v>
      </c>
      <c r="C27" s="173">
        <f>C17*C24</f>
        <v>245063.14559999999</v>
      </c>
      <c r="D27" s="173">
        <f>D17*D24</f>
        <v>244890.56591999996</v>
      </c>
      <c r="E27" s="173">
        <f>E17*E24</f>
        <v>244551.68865</v>
      </c>
      <c r="F27" s="173">
        <f>F17*F24</f>
        <v>243752.04575999998</v>
      </c>
      <c r="G27" s="174">
        <f>G17*G24</f>
        <v>241321.15349999999</v>
      </c>
      <c r="H27" s="6"/>
      <c r="I27" s="6"/>
      <c r="J27" s="6"/>
    </row>
    <row r="28" spans="2:24" s="4" customFormat="1" ht="16" x14ac:dyDescent="0.15">
      <c r="B28" s="175" t="s">
        <v>65</v>
      </c>
      <c r="C28" s="173">
        <f>C26-C27</f>
        <v>1133417.0484</v>
      </c>
      <c r="D28" s="173">
        <f t="shared" ref="D28:G28" si="10">D26-D27</f>
        <v>1102007.5466399998</v>
      </c>
      <c r="E28" s="173">
        <f t="shared" si="10"/>
        <v>1069913.63784375</v>
      </c>
      <c r="F28" s="173">
        <f t="shared" si="10"/>
        <v>1051180.69734</v>
      </c>
      <c r="G28" s="174">
        <f t="shared" si="10"/>
        <v>1025614.9023749998</v>
      </c>
      <c r="H28" s="12"/>
      <c r="I28" s="6"/>
      <c r="J28" s="6"/>
    </row>
    <row r="29" spans="2:24" s="4" customFormat="1" ht="16" x14ac:dyDescent="0.15">
      <c r="B29" s="172" t="s">
        <v>99</v>
      </c>
      <c r="C29" s="173">
        <v>500322</v>
      </c>
      <c r="D29" s="173">
        <f t="shared" ref="D29:G29" si="11">+C29</f>
        <v>500322</v>
      </c>
      <c r="E29" s="173">
        <f t="shared" si="11"/>
        <v>500322</v>
      </c>
      <c r="F29" s="173">
        <f t="shared" si="11"/>
        <v>500322</v>
      </c>
      <c r="G29" s="174">
        <f t="shared" si="11"/>
        <v>500322</v>
      </c>
      <c r="H29" s="6"/>
      <c r="I29" s="6"/>
      <c r="J29" s="6"/>
    </row>
    <row r="30" spans="2:24" s="4" customFormat="1" ht="16" x14ac:dyDescent="0.15">
      <c r="B30" s="175" t="s">
        <v>86</v>
      </c>
      <c r="C30" s="173">
        <f t="shared" ref="C30:G30" si="12">+C26-C29</f>
        <v>878158.1939999999</v>
      </c>
      <c r="D30" s="173">
        <f t="shared" si="12"/>
        <v>846576.1125599998</v>
      </c>
      <c r="E30" s="173">
        <f t="shared" si="12"/>
        <v>814143.32649374986</v>
      </c>
      <c r="F30" s="173">
        <f t="shared" si="12"/>
        <v>794610.74309999985</v>
      </c>
      <c r="G30" s="174">
        <f t="shared" si="12"/>
        <v>766614.05587499985</v>
      </c>
      <c r="H30" s="12"/>
      <c r="I30" s="6"/>
      <c r="J30" s="6"/>
    </row>
    <row r="31" spans="2:24" s="4" customFormat="1" ht="16" x14ac:dyDescent="0.15">
      <c r="B31" s="172" t="s">
        <v>134</v>
      </c>
      <c r="C31" s="173">
        <f>IF(C30&lt;=0,0,C$18*C30)</f>
        <v>219539.54849999998</v>
      </c>
      <c r="D31" s="173">
        <f t="shared" ref="D31:G31" si="13">IF(D30&lt;=0,0,D$18*D30)</f>
        <v>211644.02813999995</v>
      </c>
      <c r="E31" s="173">
        <f t="shared" si="13"/>
        <v>203535.83162343747</v>
      </c>
      <c r="F31" s="173">
        <f t="shared" si="13"/>
        <v>198652.68577499996</v>
      </c>
      <c r="G31" s="174">
        <f t="shared" si="13"/>
        <v>191653.51396874996</v>
      </c>
      <c r="H31" s="12"/>
      <c r="I31" s="6"/>
      <c r="J31" s="6"/>
    </row>
    <row r="32" spans="2:24" s="4" customFormat="1" ht="17" thickBot="1" x14ac:dyDescent="0.2">
      <c r="B32" s="176" t="s">
        <v>87</v>
      </c>
      <c r="C32" s="177">
        <f t="shared" ref="C32:G32" si="14">C30-C31</f>
        <v>658618.64549999987</v>
      </c>
      <c r="D32" s="177">
        <f t="shared" si="14"/>
        <v>634932.08441999985</v>
      </c>
      <c r="E32" s="177">
        <f t="shared" si="14"/>
        <v>610607.4948703124</v>
      </c>
      <c r="F32" s="177">
        <f t="shared" si="14"/>
        <v>595958.05732499994</v>
      </c>
      <c r="G32" s="178">
        <f t="shared" si="14"/>
        <v>574960.54190624994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15">+C32</f>
        <v>658618.64549999987</v>
      </c>
      <c r="D37" s="223">
        <f t="shared" si="15"/>
        <v>634932.08441999985</v>
      </c>
      <c r="E37" s="235">
        <f t="shared" si="15"/>
        <v>610607.4948703124</v>
      </c>
      <c r="F37" s="235">
        <f t="shared" si="15"/>
        <v>595958.05732499994</v>
      </c>
      <c r="G37" s="235">
        <f t="shared" si="15"/>
        <v>574960.54190624994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16">+C29</f>
        <v>500322</v>
      </c>
      <c r="D38" s="224">
        <f t="shared" si="16"/>
        <v>500322</v>
      </c>
      <c r="E38" s="111">
        <f t="shared" si="16"/>
        <v>500322</v>
      </c>
      <c r="F38" s="111">
        <f t="shared" si="16"/>
        <v>500322</v>
      </c>
      <c r="G38" s="111">
        <f t="shared" si="16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17">+C37+C38</f>
        <v>1158940.6454999999</v>
      </c>
      <c r="D39" s="224">
        <f t="shared" si="17"/>
        <v>1135254.0844199997</v>
      </c>
      <c r="E39" s="111">
        <f t="shared" si="17"/>
        <v>1110929.4948703125</v>
      </c>
      <c r="F39" s="111">
        <f t="shared" si="17"/>
        <v>1096280.0573249999</v>
      </c>
      <c r="G39" s="111">
        <f t="shared" si="17"/>
        <v>1075282.5419062499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245063.14559999999</v>
      </c>
      <c r="D40" s="224">
        <f>+C40*(1+D19)</f>
        <v>254865.671424</v>
      </c>
      <c r="E40" s="111">
        <f>+D40*(1+E19)</f>
        <v>265060.29828096001</v>
      </c>
      <c r="F40" s="111">
        <f>+E40*(1+F19)</f>
        <v>275662.71021219844</v>
      </c>
      <c r="G40" s="111">
        <f>+F40*(1+G19)</f>
        <v>286689.21862068638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913877.49989999994</v>
      </c>
      <c r="D41" s="295">
        <f t="shared" ref="D41:G41" si="18">D39-D40</f>
        <v>880388.41299599968</v>
      </c>
      <c r="E41" s="295">
        <f t="shared" si="18"/>
        <v>845869.19658935256</v>
      </c>
      <c r="F41" s="295">
        <f t="shared" si="18"/>
        <v>820617.34711280151</v>
      </c>
      <c r="G41" s="295">
        <f t="shared" si="18"/>
        <v>788593.32328556362</v>
      </c>
      <c r="H41" s="295">
        <f>G41*(1+C47)/(C46-C47)</f>
        <v>16087303.795025498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50642.14331837371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38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38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38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38" x14ac:dyDescent="0.15">
      <c r="B68" s="183" t="s">
        <v>0</v>
      </c>
      <c r="C68" s="185">
        <f>C26</f>
        <v>1378480.1939999999</v>
      </c>
      <c r="D68" s="185">
        <f>D26</f>
        <v>1346898.1125599998</v>
      </c>
      <c r="E68" s="185">
        <f>E26</f>
        <v>1314465.3264937499</v>
      </c>
      <c r="F68" s="185">
        <f>F26</f>
        <v>1294932.7430999998</v>
      </c>
      <c r="G68" s="185">
        <f>G26</f>
        <v>1266936.0558749998</v>
      </c>
      <c r="H68" s="185"/>
      <c r="I68" s="182"/>
      <c r="J68" s="182"/>
    </row>
    <row r="69" spans="1:38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19">D69</f>
        <v>500322</v>
      </c>
      <c r="F69" s="184">
        <f t="shared" si="19"/>
        <v>500322</v>
      </c>
      <c r="G69" s="184">
        <f t="shared" si="19"/>
        <v>500322</v>
      </c>
      <c r="H69" s="184"/>
      <c r="I69" s="182"/>
      <c r="J69" s="182"/>
    </row>
    <row r="70" spans="1:38" x14ac:dyDescent="0.15">
      <c r="B70" s="183" t="s">
        <v>2</v>
      </c>
      <c r="C70" s="185">
        <f>C68-C69</f>
        <v>878158.1939999999</v>
      </c>
      <c r="D70" s="185">
        <f t="shared" ref="D70:G70" si="20">D68-D69</f>
        <v>846576.1125599998</v>
      </c>
      <c r="E70" s="185">
        <f t="shared" si="20"/>
        <v>814143.32649374986</v>
      </c>
      <c r="F70" s="185">
        <f t="shared" si="20"/>
        <v>794610.74309999985</v>
      </c>
      <c r="G70" s="185">
        <f t="shared" si="20"/>
        <v>766614.05587499985</v>
      </c>
      <c r="H70" s="185"/>
      <c r="I70" s="182"/>
      <c r="J70" s="182"/>
    </row>
    <row r="71" spans="1:38" x14ac:dyDescent="0.15">
      <c r="B71" s="182" t="s">
        <v>3</v>
      </c>
      <c r="C71" s="184">
        <f>C70*0.25</f>
        <v>219539.54849999998</v>
      </c>
      <c r="D71" s="184">
        <f t="shared" ref="D71:G71" si="21">D70*0.25</f>
        <v>211644.02813999995</v>
      </c>
      <c r="E71" s="184">
        <f t="shared" si="21"/>
        <v>203535.83162343747</v>
      </c>
      <c r="F71" s="184">
        <f t="shared" si="21"/>
        <v>198652.68577499996</v>
      </c>
      <c r="G71" s="184">
        <f t="shared" si="21"/>
        <v>191653.51396874996</v>
      </c>
      <c r="H71" s="184"/>
      <c r="I71" s="182"/>
      <c r="J71" s="182"/>
    </row>
    <row r="72" spans="1:38" x14ac:dyDescent="0.15">
      <c r="B72" s="183" t="s">
        <v>4</v>
      </c>
      <c r="C72" s="185">
        <f>C70-C71</f>
        <v>658618.64549999987</v>
      </c>
      <c r="D72" s="185">
        <f t="shared" ref="D72:G72" si="22">D70-D71</f>
        <v>634932.08441999985</v>
      </c>
      <c r="E72" s="185">
        <f t="shared" si="22"/>
        <v>610607.4948703124</v>
      </c>
      <c r="F72" s="185">
        <f t="shared" si="22"/>
        <v>595958.05732499994</v>
      </c>
      <c r="G72" s="185">
        <f t="shared" si="22"/>
        <v>574960.54190624994</v>
      </c>
      <c r="H72" s="185"/>
      <c r="I72" s="182"/>
      <c r="J72" s="182"/>
    </row>
    <row r="73" spans="1:38" x14ac:dyDescent="0.15">
      <c r="B73" s="182" t="s">
        <v>1</v>
      </c>
      <c r="C73" s="184">
        <f>C69</f>
        <v>500322</v>
      </c>
      <c r="D73" s="184">
        <f t="shared" ref="D73:G73" si="23">D69</f>
        <v>500322</v>
      </c>
      <c r="E73" s="184">
        <f t="shared" si="23"/>
        <v>500322</v>
      </c>
      <c r="F73" s="184">
        <f t="shared" si="23"/>
        <v>500322</v>
      </c>
      <c r="G73" s="184">
        <f t="shared" si="23"/>
        <v>500322</v>
      </c>
      <c r="H73" s="184"/>
      <c r="I73" s="182"/>
      <c r="J73" s="182"/>
    </row>
    <row r="74" spans="1:38" x14ac:dyDescent="0.15">
      <c r="B74" s="183" t="s">
        <v>5</v>
      </c>
      <c r="C74" s="186">
        <f>C72+C73</f>
        <v>1158940.6454999999</v>
      </c>
      <c r="D74" s="186">
        <f t="shared" ref="D74:G74" si="24">D72+D73</f>
        <v>1135254.0844199997</v>
      </c>
      <c r="E74" s="186">
        <f t="shared" si="24"/>
        <v>1110929.4948703125</v>
      </c>
      <c r="F74" s="186">
        <f t="shared" si="24"/>
        <v>1096280.0573249999</v>
      </c>
      <c r="G74" s="186">
        <f t="shared" si="24"/>
        <v>1075282.5419062499</v>
      </c>
      <c r="H74" s="186"/>
      <c r="I74" s="182"/>
      <c r="J74" s="182"/>
    </row>
    <row r="75" spans="1:38" x14ac:dyDescent="0.15">
      <c r="B75" s="182" t="s">
        <v>7</v>
      </c>
      <c r="C75" s="187">
        <f>C40</f>
        <v>245063.14559999999</v>
      </c>
      <c r="D75" s="187">
        <f>D40</f>
        <v>254865.671424</v>
      </c>
      <c r="E75" s="187">
        <f>E40</f>
        <v>265060.29828096001</v>
      </c>
      <c r="F75" s="187">
        <f>F40</f>
        <v>275662.71021219844</v>
      </c>
      <c r="G75" s="187">
        <f>G40</f>
        <v>286689.21862068638</v>
      </c>
      <c r="H75" s="187"/>
      <c r="I75" s="182"/>
      <c r="J75" s="182"/>
    </row>
    <row r="76" spans="1:38" x14ac:dyDescent="0.15">
      <c r="B76" s="183" t="s">
        <v>6</v>
      </c>
      <c r="C76" s="186">
        <f>C74-C75</f>
        <v>913877.49989999994</v>
      </c>
      <c r="D76" s="186">
        <f t="shared" ref="D76:G76" si="25">D74-D75</f>
        <v>880388.41299599968</v>
      </c>
      <c r="E76" s="186">
        <f t="shared" si="25"/>
        <v>845869.19658935256</v>
      </c>
      <c r="F76" s="186">
        <f t="shared" si="25"/>
        <v>820617.34711280151</v>
      </c>
      <c r="G76" s="186">
        <f t="shared" si="25"/>
        <v>788593.32328556362</v>
      </c>
      <c r="H76" s="186"/>
      <c r="I76" s="182"/>
      <c r="J76" s="182"/>
    </row>
    <row r="77" spans="1:38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38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38" s="194" customFormat="1" x14ac:dyDescent="0.15">
      <c r="A79" s="193"/>
      <c r="B79" s="183" t="s">
        <v>10</v>
      </c>
      <c r="C79" s="191">
        <f>C76</f>
        <v>913877.49989999994</v>
      </c>
      <c r="D79" s="191">
        <f>D76</f>
        <v>880388.41299599968</v>
      </c>
      <c r="E79" s="191">
        <f>E76</f>
        <v>845869.19658935256</v>
      </c>
      <c r="F79" s="191">
        <f>F76</f>
        <v>820617.34711280151</v>
      </c>
      <c r="G79" s="191">
        <f>G76</f>
        <v>788593.32328556362</v>
      </c>
      <c r="H79" s="191"/>
      <c r="I79" s="192">
        <f>G79*(1+C83)/(C114-C113)</f>
        <v>5571002.7919899393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</row>
    <row r="80" spans="1:38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3" x14ac:dyDescent="0.15">
      <c r="B81" s="182" t="s">
        <v>37</v>
      </c>
      <c r="C81" s="195">
        <f>C79</f>
        <v>913877.49989999994</v>
      </c>
      <c r="D81" s="195">
        <f t="shared" ref="D81:G81" si="26">D79</f>
        <v>880388.41299599968</v>
      </c>
      <c r="E81" s="195">
        <f t="shared" si="26"/>
        <v>845869.19658935256</v>
      </c>
      <c r="F81" s="195">
        <f t="shared" si="26"/>
        <v>820617.34711280151</v>
      </c>
      <c r="G81" s="195">
        <f t="shared" si="26"/>
        <v>788593.32328556362</v>
      </c>
      <c r="H81" s="195"/>
      <c r="I81" s="197"/>
      <c r="J81" s="197"/>
    </row>
    <row r="82" spans="2:13" x14ac:dyDescent="0.15">
      <c r="B82" s="182" t="s">
        <v>38</v>
      </c>
      <c r="C82" s="198"/>
      <c r="D82" s="197">
        <f>(D81/C81)-1</f>
        <v>-3.6645050247614996E-2</v>
      </c>
      <c r="E82" s="197">
        <f t="shared" ref="E82:G82" si="27">(E81/D81)-1</f>
        <v>-3.9209076240765972E-2</v>
      </c>
      <c r="F82" s="197">
        <f t="shared" si="27"/>
        <v>-2.985313755172736E-2</v>
      </c>
      <c r="G82" s="197">
        <f t="shared" si="27"/>
        <v>-3.9024307662894109E-2</v>
      </c>
      <c r="H82" s="197"/>
      <c r="I82" s="197"/>
      <c r="J82" s="197"/>
    </row>
    <row r="83" spans="2:13" x14ac:dyDescent="0.15">
      <c r="B83" s="183" t="s">
        <v>39</v>
      </c>
      <c r="C83" s="199">
        <f>AVERAGE(D82:G82)</f>
        <v>-3.6182892925750609E-2</v>
      </c>
      <c r="D83" s="195"/>
      <c r="E83" s="195"/>
      <c r="F83" s="195"/>
      <c r="G83" s="195"/>
      <c r="H83" s="195"/>
      <c r="I83" s="197"/>
      <c r="J83" s="197"/>
    </row>
    <row r="84" spans="2:13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3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3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</row>
    <row r="87" spans="2:13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</row>
    <row r="88" spans="2:13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</row>
    <row r="89" spans="2:13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</row>
    <row r="90" spans="2:13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</row>
    <row r="91" spans="2:13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</row>
    <row r="92" spans="2:13" x14ac:dyDescent="0.15">
      <c r="B92" s="183" t="s">
        <v>44</v>
      </c>
      <c r="C92" s="199">
        <v>0.25965169999999999</v>
      </c>
      <c r="D92" s="195"/>
      <c r="E92" s="195"/>
      <c r="F92" s="202">
        <f>K121</f>
        <v>0.5054038299097231</v>
      </c>
      <c r="G92" s="195" t="s">
        <v>55</v>
      </c>
      <c r="H92" s="195"/>
      <c r="I92" s="195"/>
      <c r="J92" s="195"/>
      <c r="K92" s="203"/>
      <c r="L92" s="200"/>
      <c r="M92" s="200"/>
    </row>
    <row r="93" spans="2:13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0.4945961700902769</v>
      </c>
      <c r="G93" s="195" t="s">
        <v>57</v>
      </c>
      <c r="H93" s="195"/>
      <c r="I93" s="195"/>
      <c r="J93" s="195"/>
      <c r="K93" s="200"/>
      <c r="L93" s="200"/>
      <c r="M93" s="200"/>
    </row>
    <row r="94" spans="2:13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</row>
    <row r="95" spans="2:13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</row>
    <row r="96" spans="2:13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</row>
    <row r="97" spans="2:13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</row>
    <row r="98" spans="2:13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</row>
    <row r="99" spans="2:13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</row>
    <row r="100" spans="2:13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</row>
    <row r="101" spans="2:13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</row>
    <row r="102" spans="2:13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</row>
    <row r="103" spans="2:13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</row>
    <row r="104" spans="2:13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</row>
    <row r="105" spans="2:13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</row>
    <row r="106" spans="2:13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</row>
    <row r="107" spans="2:13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</row>
    <row r="108" spans="2:13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</row>
    <row r="109" spans="2:13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</row>
    <row r="110" spans="2:13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</row>
    <row r="111" spans="2:13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</row>
    <row r="112" spans="2:13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</row>
    <row r="113" spans="2:12" x14ac:dyDescent="0.15">
      <c r="B113" s="182" t="s">
        <v>9</v>
      </c>
      <c r="C113" s="206">
        <f>C83</f>
        <v>-3.6182892925750609E-2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7368690.43647826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7437878.43647826</v>
      </c>
      <c r="D119" s="182"/>
      <c r="E119" s="183" t="s">
        <v>28</v>
      </c>
      <c r="F119" s="192">
        <f>F135-F126-F121</f>
        <v>4526217.4364782609</v>
      </c>
      <c r="G119" s="195">
        <f>C135-F135</f>
        <v>0</v>
      </c>
      <c r="H119" s="195"/>
      <c r="I119" s="182"/>
      <c r="J119" s="182"/>
      <c r="K119" s="209">
        <f>F119/F135</f>
        <v>0.4945961700902769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0.5054038299097231</v>
      </c>
      <c r="L121" s="180" t="s">
        <v>55</v>
      </c>
    </row>
    <row r="122" spans="2:12" x14ac:dyDescent="0.15">
      <c r="B122" s="182" t="s">
        <v>15</v>
      </c>
      <c r="C122" s="196">
        <f>C115</f>
        <v>7368690.43647826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9151339.4364782609</v>
      </c>
      <c r="D135" s="182"/>
      <c r="E135" s="183" t="s">
        <v>30</v>
      </c>
      <c r="F135" s="191">
        <f>C135</f>
        <v>9151339.4364782609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16687578.436478261</v>
      </c>
      <c r="D154" s="182"/>
      <c r="E154" s="183" t="s">
        <v>28</v>
      </c>
      <c r="F154" s="191">
        <f>F119+F141</f>
        <v>7456917.4364782609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18563039.436478261</v>
      </c>
      <c r="D160" s="183"/>
      <c r="E160" s="183" t="s">
        <v>36</v>
      </c>
      <c r="F160" s="191">
        <f>F150+F135</f>
        <v>18563039.436478261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5CFC-424F-1340-BD45-4AFFFFCFD114}">
  <dimension ref="A2:AL164"/>
  <sheetViews>
    <sheetView topLeftCell="B24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4" width="7.5" style="180" customWidth="1"/>
    <col min="15" max="15" width="9.83203125" style="180" bestFit="1" customWidth="1"/>
    <col min="16" max="17" width="7.5" style="180" customWidth="1"/>
    <col min="18" max="18" width="9.83203125" style="180" bestFit="1" customWidth="1"/>
    <col min="19" max="20" width="7.5" style="180" customWidth="1"/>
    <col min="21" max="21" width="9.83203125" style="180" bestFit="1" customWidth="1"/>
    <col min="22" max="23" width="7.5" style="180" customWidth="1"/>
    <col min="24" max="24" width="9.83203125" style="180" bestFit="1" customWidth="1"/>
    <col min="25" max="16384" width="11.5" style="180"/>
  </cols>
  <sheetData>
    <row r="2" spans="2:30" s="4" customFormat="1" ht="16" x14ac:dyDescent="0.2">
      <c r="B2" s="276" t="s">
        <v>129</v>
      </c>
      <c r="I2" s="276" t="s">
        <v>130</v>
      </c>
    </row>
    <row r="3" spans="2:30" s="5" customFormat="1" thickBot="1" x14ac:dyDescent="0.2"/>
    <row r="4" spans="2:30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40"/>
      <c r="M4" s="341" t="s">
        <v>81</v>
      </c>
      <c r="N4" s="342"/>
      <c r="O4" s="343"/>
      <c r="P4" s="344" t="s">
        <v>82</v>
      </c>
      <c r="Q4" s="345"/>
      <c r="R4" s="346"/>
      <c r="S4" s="347" t="s">
        <v>83</v>
      </c>
      <c r="T4" s="348"/>
      <c r="U4" s="349"/>
      <c r="V4" s="350" t="s">
        <v>108</v>
      </c>
      <c r="W4" s="351"/>
      <c r="X4" s="352"/>
      <c r="Z4" s="125"/>
      <c r="AA4" s="125"/>
      <c r="AB4" s="125"/>
      <c r="AC4" s="125"/>
      <c r="AD4" s="125"/>
    </row>
    <row r="5" spans="2:30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128</v>
      </c>
      <c r="M5" s="130" t="s">
        <v>119</v>
      </c>
      <c r="N5" s="131" t="s">
        <v>127</v>
      </c>
      <c r="O5" s="132" t="s">
        <v>128</v>
      </c>
      <c r="P5" s="130" t="s">
        <v>119</v>
      </c>
      <c r="Q5" s="131" t="s">
        <v>127</v>
      </c>
      <c r="R5" s="132" t="s">
        <v>128</v>
      </c>
      <c r="S5" s="130" t="s">
        <v>119</v>
      </c>
      <c r="T5" s="131" t="s">
        <v>127</v>
      </c>
      <c r="U5" s="132" t="s">
        <v>128</v>
      </c>
      <c r="V5" s="130" t="s">
        <v>119</v>
      </c>
      <c r="W5" s="131" t="s">
        <v>127</v>
      </c>
      <c r="X5" s="132" t="s">
        <v>128</v>
      </c>
    </row>
    <row r="6" spans="2:30" s="4" customFormat="1" ht="16" x14ac:dyDescent="0.2">
      <c r="B6" s="133" t="s">
        <v>70</v>
      </c>
      <c r="C6" s="134">
        <f>L6</f>
        <v>2.95</v>
      </c>
      <c r="D6" s="134">
        <f>O6</f>
        <v>2.9524999999999997</v>
      </c>
      <c r="E6" s="134">
        <f>R6</f>
        <v>2.9550000000000001</v>
      </c>
      <c r="F6" s="134">
        <f>U6</f>
        <v>2.9550000000000001</v>
      </c>
      <c r="G6" s="135">
        <f>X6</f>
        <v>2.96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234">
        <f>AVERAGE(J6:K6)</f>
        <v>2.95</v>
      </c>
      <c r="M6" s="242">
        <f>Variables!F9</f>
        <v>2.7949999999999999</v>
      </c>
      <c r="N6" s="242">
        <f>Variables!G9</f>
        <v>3.11</v>
      </c>
      <c r="O6" s="234">
        <f>AVERAGE(M6:N6)</f>
        <v>2.9524999999999997</v>
      </c>
      <c r="P6" s="242">
        <f>Variables!I9</f>
        <v>2.79</v>
      </c>
      <c r="Q6" s="242">
        <f>Variables!J9</f>
        <v>3.12</v>
      </c>
      <c r="R6" s="234">
        <f>AVERAGE(P6:Q6)</f>
        <v>2.9550000000000001</v>
      </c>
      <c r="S6" s="242">
        <f>Variables!L9</f>
        <v>2.78</v>
      </c>
      <c r="T6" s="242">
        <f>Variables!M9</f>
        <v>3.13</v>
      </c>
      <c r="U6" s="234">
        <f>AVERAGE(S6:T6)</f>
        <v>2.9550000000000001</v>
      </c>
      <c r="V6" s="242">
        <f>Variables!O9</f>
        <v>2.77</v>
      </c>
      <c r="W6" s="242">
        <f>Variables!P9</f>
        <v>3.15</v>
      </c>
      <c r="X6" s="234">
        <f>AVERAGE(V6:W6)</f>
        <v>2.96</v>
      </c>
    </row>
    <row r="7" spans="2:30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234">
        <f t="shared" ref="L7:L11" si="2">AVERAGE(J7:K7)</f>
        <v>0.79500000000000004</v>
      </c>
      <c r="M7" s="243">
        <f>Variables!F11</f>
        <v>0.77</v>
      </c>
      <c r="N7" s="243">
        <f>Variables!G11</f>
        <v>0.82</v>
      </c>
      <c r="O7" s="234">
        <f t="shared" ref="O7:O11" si="3">AVERAGE(M7:N7)</f>
        <v>0.79499999999999993</v>
      </c>
      <c r="P7" s="243">
        <f>Variables!I11</f>
        <v>0.76500000000000001</v>
      </c>
      <c r="Q7" s="243">
        <f>Variables!J11</f>
        <v>0.82499999999999996</v>
      </c>
      <c r="R7" s="234">
        <f t="shared" ref="R7:R11" si="4">AVERAGE(P7:Q7)</f>
        <v>0.79499999999999993</v>
      </c>
      <c r="S7" s="243">
        <f>Variables!L11</f>
        <v>0.76</v>
      </c>
      <c r="T7" s="243">
        <f>Variables!M11</f>
        <v>0.83</v>
      </c>
      <c r="U7" s="234">
        <f t="shared" ref="U7:U11" si="5">AVERAGE(S7:T7)</f>
        <v>0.79499999999999993</v>
      </c>
      <c r="V7" s="243">
        <f>Variables!O11</f>
        <v>0.75</v>
      </c>
      <c r="W7" s="243">
        <f>Variables!P11</f>
        <v>0.83499999999999996</v>
      </c>
      <c r="X7" s="234">
        <f t="shared" ref="X7:X11" si="6">AVERAGE(V7:W7)</f>
        <v>0.79249999999999998</v>
      </c>
    </row>
    <row r="8" spans="2:30" s="4" customFormat="1" ht="18" thickBot="1" x14ac:dyDescent="0.2">
      <c r="B8" s="140" t="s">
        <v>72</v>
      </c>
      <c r="C8" s="141">
        <f>L7</f>
        <v>0.79500000000000004</v>
      </c>
      <c r="D8" s="141">
        <f>O7</f>
        <v>0.79499999999999993</v>
      </c>
      <c r="E8" s="141">
        <f>R7</f>
        <v>0.79499999999999993</v>
      </c>
      <c r="F8" s="141">
        <f>U7</f>
        <v>0.79499999999999993</v>
      </c>
      <c r="G8" s="142">
        <f>X7</f>
        <v>0.79249999999999998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234">
        <f t="shared" si="2"/>
        <v>36.25</v>
      </c>
      <c r="M8" s="242">
        <f>Variables!F15</f>
        <v>36</v>
      </c>
      <c r="N8" s="242">
        <f>Variables!G15</f>
        <v>38</v>
      </c>
      <c r="O8" s="234">
        <f t="shared" si="3"/>
        <v>37</v>
      </c>
      <c r="P8" s="242">
        <f>Variables!I15</f>
        <v>36.25</v>
      </c>
      <c r="Q8" s="242">
        <f>Variables!J15</f>
        <v>38.5</v>
      </c>
      <c r="R8" s="234">
        <f t="shared" si="4"/>
        <v>37.375</v>
      </c>
      <c r="S8" s="242">
        <f>Variables!L15</f>
        <v>36.5</v>
      </c>
      <c r="T8" s="242">
        <f>Variables!M15</f>
        <v>39</v>
      </c>
      <c r="U8" s="234">
        <f t="shared" si="5"/>
        <v>37.75</v>
      </c>
      <c r="V8" s="242">
        <f>Variables!O15</f>
        <v>36.75</v>
      </c>
      <c r="W8" s="242">
        <f>Variables!P15</f>
        <v>39.5</v>
      </c>
      <c r="X8" s="234">
        <f t="shared" si="6"/>
        <v>38.125</v>
      </c>
    </row>
    <row r="9" spans="2:30" s="4" customFormat="1" ht="17" thickBot="1" x14ac:dyDescent="0.25">
      <c r="B9" s="266" t="s">
        <v>73</v>
      </c>
      <c r="C9" s="145">
        <f>+C5*C7*C8</f>
        <v>62820.9</v>
      </c>
      <c r="D9" s="145">
        <f>+D5*D7*D8</f>
        <v>62820.899999999994</v>
      </c>
      <c r="E9" s="145">
        <f>+E5*E7*E8</f>
        <v>62820.899999999994</v>
      </c>
      <c r="F9" s="145">
        <f>+F5*F7*F8</f>
        <v>62820.899999999994</v>
      </c>
      <c r="G9" s="146">
        <f>+G5*G7*G8</f>
        <v>62623.35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234">
        <f t="shared" si="2"/>
        <v>0.2475</v>
      </c>
      <c r="M9" s="243">
        <f>Variables!F24</f>
        <v>0.22</v>
      </c>
      <c r="N9" s="243">
        <f>Variables!G24</f>
        <v>0.28000000000000003</v>
      </c>
      <c r="O9" s="234">
        <f t="shared" si="3"/>
        <v>0.25</v>
      </c>
      <c r="P9" s="243">
        <f>Variables!I24</f>
        <v>0.215</v>
      </c>
      <c r="Q9" s="243">
        <f>Variables!J24</f>
        <v>0.28499999999999998</v>
      </c>
      <c r="R9" s="234">
        <f t="shared" si="4"/>
        <v>0.25</v>
      </c>
      <c r="S9" s="243">
        <f>Variables!L24</f>
        <v>0.21249999999999999</v>
      </c>
      <c r="T9" s="243">
        <f>Variables!M24</f>
        <v>0.28999999999999998</v>
      </c>
      <c r="U9" s="234">
        <f t="shared" si="5"/>
        <v>0.25124999999999997</v>
      </c>
      <c r="V9" s="243">
        <f>Variables!O24</f>
        <v>0.21</v>
      </c>
      <c r="W9" s="243">
        <f>Variables!P24</f>
        <v>0.3</v>
      </c>
      <c r="X9" s="234">
        <f t="shared" si="6"/>
        <v>0.255</v>
      </c>
    </row>
    <row r="10" spans="2:30" s="4" customFormat="1" ht="34" x14ac:dyDescent="0.15">
      <c r="B10" s="265" t="s">
        <v>74</v>
      </c>
      <c r="C10" s="145">
        <f>+C5*C6*C7*C8</f>
        <v>185321.65500000003</v>
      </c>
      <c r="D10" s="145">
        <f>+D5*D6*D7*D8</f>
        <v>185478.70724999995</v>
      </c>
      <c r="E10" s="145">
        <f>+E5*E6*E7*E8</f>
        <v>185635.75950000001</v>
      </c>
      <c r="F10" s="145">
        <f>+F5*F6*F7*F8</f>
        <v>185635.75950000001</v>
      </c>
      <c r="G10" s="146">
        <f>+G5*G6*G7*G8</f>
        <v>185365.11600000001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234">
        <f t="shared" si="2"/>
        <v>0.03</v>
      </c>
      <c r="M10" s="243">
        <f>Variables!F26</f>
        <v>0.04</v>
      </c>
      <c r="N10" s="243">
        <f>Variables!G26</f>
        <v>0.02</v>
      </c>
      <c r="O10" s="234">
        <f t="shared" si="3"/>
        <v>0.03</v>
      </c>
      <c r="P10" s="243">
        <f>Variables!I26</f>
        <v>0.04</v>
      </c>
      <c r="Q10" s="243">
        <f>Variables!J26</f>
        <v>0.02</v>
      </c>
      <c r="R10" s="234">
        <f t="shared" si="4"/>
        <v>0.03</v>
      </c>
      <c r="S10" s="243">
        <f>Variables!L26</f>
        <v>0.04</v>
      </c>
      <c r="T10" s="243">
        <f>Variables!M26</f>
        <v>0.02</v>
      </c>
      <c r="U10" s="234">
        <f t="shared" si="5"/>
        <v>0.03</v>
      </c>
      <c r="V10" s="243">
        <f>Variables!O26</f>
        <v>0.04</v>
      </c>
      <c r="W10" s="243">
        <f>Variables!P26</f>
        <v>0.02</v>
      </c>
      <c r="X10" s="234">
        <f t="shared" si="6"/>
        <v>0.03</v>
      </c>
    </row>
    <row r="11" spans="2:30" s="4" customFormat="1" ht="18" thickBot="1" x14ac:dyDescent="0.25">
      <c r="B11" s="133" t="s">
        <v>75</v>
      </c>
      <c r="C11" s="148">
        <f>L8</f>
        <v>36.25</v>
      </c>
      <c r="D11" s="148">
        <f>O8</f>
        <v>37</v>
      </c>
      <c r="E11" s="148">
        <f>R8</f>
        <v>37.375</v>
      </c>
      <c r="F11" s="148">
        <f>U8</f>
        <v>37.75</v>
      </c>
      <c r="G11" s="149">
        <f>X8</f>
        <v>38.125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275">
        <f t="shared" si="2"/>
        <v>2.5000000000000001E-2</v>
      </c>
      <c r="M11" s="244">
        <f>Variables!F29</f>
        <v>0.04</v>
      </c>
      <c r="N11" s="244">
        <f>Variables!G29</f>
        <v>0.01</v>
      </c>
      <c r="O11" s="275">
        <f t="shared" si="3"/>
        <v>2.5000000000000001E-2</v>
      </c>
      <c r="P11" s="244">
        <f>Variables!I29</f>
        <v>0.04</v>
      </c>
      <c r="Q11" s="244">
        <f>Variables!J29</f>
        <v>0.01</v>
      </c>
      <c r="R11" s="275">
        <f t="shared" si="4"/>
        <v>2.5000000000000001E-2</v>
      </c>
      <c r="S11" s="244">
        <f>Variables!L29</f>
        <v>0.04</v>
      </c>
      <c r="T11" s="244">
        <f>Variables!M29</f>
        <v>0.01</v>
      </c>
      <c r="U11" s="275">
        <f t="shared" si="5"/>
        <v>2.5000000000000001E-2</v>
      </c>
      <c r="V11" s="244">
        <f>Variables!O29</f>
        <v>0.04</v>
      </c>
      <c r="W11" s="244">
        <f>Variables!P29</f>
        <v>0.01</v>
      </c>
      <c r="X11" s="275">
        <f t="shared" si="6"/>
        <v>2.5000000000000001E-2</v>
      </c>
    </row>
    <row r="12" spans="2:30" s="7" customFormat="1" ht="17" x14ac:dyDescent="0.2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70"/>
      <c r="N12" s="270"/>
      <c r="O12" s="269"/>
      <c r="P12" s="270"/>
      <c r="Q12" s="270"/>
      <c r="R12" s="269"/>
      <c r="S12" s="270"/>
      <c r="T12" s="270"/>
      <c r="U12" s="269"/>
      <c r="V12" s="270"/>
      <c r="W12" s="271"/>
      <c r="X12" s="99"/>
    </row>
    <row r="13" spans="2:30" s="4" customFormat="1" ht="16" x14ac:dyDescent="0.2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268"/>
      <c r="K13" s="268"/>
      <c r="L13" s="272"/>
      <c r="M13" s="273"/>
      <c r="N13" s="273"/>
      <c r="O13" s="272"/>
      <c r="P13" s="273"/>
      <c r="Q13" s="273"/>
      <c r="R13" s="272"/>
      <c r="S13" s="273"/>
      <c r="T13" s="273"/>
      <c r="U13" s="272"/>
      <c r="V13" s="273"/>
      <c r="W13" s="274"/>
      <c r="X13" s="87"/>
    </row>
    <row r="14" spans="2:30" s="4" customFormat="1" ht="16" x14ac:dyDescent="0.2">
      <c r="B14" s="136" t="s">
        <v>125</v>
      </c>
      <c r="C14" s="137">
        <f t="shared" ref="C14:G14" si="7">C24-C26</f>
        <v>5055227.2702968763</v>
      </c>
      <c r="D14" s="137">
        <f t="shared" si="7"/>
        <v>5147034.1261874987</v>
      </c>
      <c r="E14" s="137">
        <f t="shared" si="7"/>
        <v>5203602.3834843757</v>
      </c>
      <c r="F14" s="137">
        <f t="shared" si="7"/>
        <v>5247052.7534423443</v>
      </c>
      <c r="G14" s="138">
        <f t="shared" si="7"/>
        <v>5264948.5603875006</v>
      </c>
      <c r="H14" s="139"/>
      <c r="J14" s="268"/>
      <c r="K14" s="268"/>
      <c r="L14" s="272"/>
      <c r="M14" s="273"/>
      <c r="N14" s="273"/>
      <c r="O14" s="272"/>
      <c r="P14" s="273"/>
      <c r="Q14" s="273"/>
      <c r="R14" s="272"/>
      <c r="S14" s="273"/>
      <c r="T14" s="273"/>
      <c r="U14" s="272"/>
      <c r="V14" s="273"/>
      <c r="W14" s="274"/>
      <c r="X14" s="87"/>
    </row>
    <row r="15" spans="2:30" s="4" customFormat="1" ht="16" x14ac:dyDescent="0.2">
      <c r="B15" s="136" t="s">
        <v>126</v>
      </c>
      <c r="C15" s="297">
        <f>C14/C24</f>
        <v>0.75250000000000006</v>
      </c>
      <c r="D15" s="297">
        <f>D14/D24</f>
        <v>0.75</v>
      </c>
      <c r="E15" s="297">
        <f>E14/E24</f>
        <v>0.75</v>
      </c>
      <c r="F15" s="297">
        <f>F14/F24</f>
        <v>0.74875000000000003</v>
      </c>
      <c r="G15" s="298">
        <f>G14/G24</f>
        <v>0.745</v>
      </c>
      <c r="H15" s="151"/>
      <c r="J15" s="268"/>
      <c r="K15" s="268"/>
      <c r="L15" s="272"/>
      <c r="M15" s="273"/>
      <c r="N15" s="273"/>
      <c r="O15" s="272"/>
      <c r="P15" s="273"/>
      <c r="Q15" s="273"/>
      <c r="R15" s="272"/>
      <c r="S15" s="273"/>
      <c r="T15" s="273"/>
      <c r="U15" s="272"/>
      <c r="V15" s="273"/>
      <c r="W15" s="274"/>
      <c r="X15" s="87"/>
    </row>
    <row r="16" spans="2:30" s="4" customFormat="1" ht="16" x14ac:dyDescent="0.2">
      <c r="B16" s="133" t="s">
        <v>76</v>
      </c>
      <c r="C16" s="152">
        <f>L9</f>
        <v>0.2475</v>
      </c>
      <c r="D16" s="152">
        <f>O9</f>
        <v>0.25</v>
      </c>
      <c r="E16" s="152">
        <f>R9</f>
        <v>0.25</v>
      </c>
      <c r="F16" s="152">
        <f>U9</f>
        <v>0.25124999999999997</v>
      </c>
      <c r="G16" s="153">
        <f>X9</f>
        <v>0.255</v>
      </c>
      <c r="H16" s="154"/>
    </row>
    <row r="17" spans="2:24" s="4" customFormat="1" ht="34" x14ac:dyDescent="0.15">
      <c r="B17" s="140" t="s">
        <v>77</v>
      </c>
      <c r="C17" s="155">
        <f>L10</f>
        <v>0.03</v>
      </c>
      <c r="D17" s="155">
        <f>O10</f>
        <v>0.03</v>
      </c>
      <c r="E17" s="155">
        <f>R10</f>
        <v>0.03</v>
      </c>
      <c r="F17" s="155">
        <f>U10</f>
        <v>0.03</v>
      </c>
      <c r="G17" s="156">
        <f>X10</f>
        <v>0.03</v>
      </c>
      <c r="H17" s="157"/>
    </row>
    <row r="18" spans="2:24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8">D18</f>
        <v>0.25</v>
      </c>
      <c r="F18" s="159">
        <f t="shared" si="8"/>
        <v>0.25</v>
      </c>
      <c r="G18" s="160">
        <f t="shared" si="8"/>
        <v>0.25</v>
      </c>
      <c r="H18" s="161"/>
      <c r="J18" s="158"/>
      <c r="K18" s="158"/>
      <c r="L18" s="162"/>
      <c r="M18" s="158"/>
      <c r="N18" s="158"/>
      <c r="O18" s="162"/>
      <c r="P18" s="158"/>
      <c r="Q18" s="158"/>
      <c r="R18" s="162"/>
      <c r="S18" s="158"/>
      <c r="T18" s="158"/>
      <c r="U18" s="162"/>
      <c r="V18" s="158"/>
      <c r="W18" s="158"/>
      <c r="X18" s="63"/>
    </row>
    <row r="19" spans="2:24" s="4" customFormat="1" ht="18" thickBot="1" x14ac:dyDescent="0.25">
      <c r="B19" s="163" t="s">
        <v>79</v>
      </c>
      <c r="C19" s="164">
        <f>L11</f>
        <v>2.5000000000000001E-2</v>
      </c>
      <c r="D19" s="164">
        <f>O11</f>
        <v>2.5000000000000001E-2</v>
      </c>
      <c r="E19" s="164">
        <f>R11</f>
        <v>2.5000000000000001E-2</v>
      </c>
      <c r="F19" s="164">
        <f>U11</f>
        <v>2.5000000000000001E-2</v>
      </c>
      <c r="G19" s="165">
        <f>X11</f>
        <v>2.5000000000000001E-2</v>
      </c>
      <c r="H19" s="154"/>
    </row>
    <row r="20" spans="2:24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24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24" s="4" customFormat="1" thickBot="1" x14ac:dyDescent="0.2">
      <c r="B22" s="10"/>
      <c r="C22" s="6"/>
    </row>
    <row r="23" spans="2:24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24" s="4" customFormat="1" ht="16" x14ac:dyDescent="0.15">
      <c r="B24" s="169" t="s">
        <v>84</v>
      </c>
      <c r="C24" s="170">
        <f>C5*C6*C7*C8*C11</f>
        <v>6717909.9937500013</v>
      </c>
      <c r="D24" s="170">
        <f>D5*D6*D7*D8*D11</f>
        <v>6862712.1682499982</v>
      </c>
      <c r="E24" s="170">
        <f>E5*E6*E7*E8*E11</f>
        <v>6938136.5113125006</v>
      </c>
      <c r="F24" s="170">
        <f>F5*F6*F7*F8*F11</f>
        <v>7007749.9211250003</v>
      </c>
      <c r="G24" s="171">
        <f>G5*G6*G7*G8*G11</f>
        <v>7067045.0475000003</v>
      </c>
      <c r="H24" s="12"/>
      <c r="I24" s="6"/>
      <c r="J24" s="6"/>
    </row>
    <row r="25" spans="2:24" s="4" customFormat="1" ht="16" x14ac:dyDescent="0.15">
      <c r="B25" s="172" t="s">
        <v>85</v>
      </c>
      <c r="C25" s="173">
        <f>C24-C26</f>
        <v>5055227.2702968763</v>
      </c>
      <c r="D25" s="173">
        <f t="shared" ref="D25:G25" si="9">D24-D26</f>
        <v>5147034.1261874987</v>
      </c>
      <c r="E25" s="173">
        <f t="shared" si="9"/>
        <v>5203602.3834843757</v>
      </c>
      <c r="F25" s="173">
        <f t="shared" si="9"/>
        <v>5247052.7534423443</v>
      </c>
      <c r="G25" s="174">
        <f t="shared" si="9"/>
        <v>5264948.5603875006</v>
      </c>
      <c r="H25" s="12"/>
      <c r="I25" s="6"/>
      <c r="J25" s="6"/>
    </row>
    <row r="26" spans="2:24" s="4" customFormat="1" ht="16" x14ac:dyDescent="0.15">
      <c r="B26" s="175" t="s">
        <v>0</v>
      </c>
      <c r="C26" s="173">
        <f>C16*C24</f>
        <v>1662682.7234531252</v>
      </c>
      <c r="D26" s="173">
        <f>D16*D24</f>
        <v>1715678.0420624996</v>
      </c>
      <c r="E26" s="173">
        <f>E16*E24</f>
        <v>1734534.1278281251</v>
      </c>
      <c r="F26" s="173">
        <f>F16*F24</f>
        <v>1760697.1676826561</v>
      </c>
      <c r="G26" s="174">
        <f>G16*G24</f>
        <v>1802096.4871125</v>
      </c>
      <c r="H26" s="12"/>
      <c r="I26" s="6"/>
      <c r="J26" s="6"/>
    </row>
    <row r="27" spans="2:24" s="4" customFormat="1" ht="16" x14ac:dyDescent="0.15">
      <c r="B27" s="172" t="s">
        <v>133</v>
      </c>
      <c r="C27" s="173">
        <f>C17*C24</f>
        <v>201537.29981250004</v>
      </c>
      <c r="D27" s="173">
        <f>D17*D24</f>
        <v>205881.36504749994</v>
      </c>
      <c r="E27" s="173">
        <f>E17*E24</f>
        <v>208144.095339375</v>
      </c>
      <c r="F27" s="173">
        <f>F17*F24</f>
        <v>210232.49763375</v>
      </c>
      <c r="G27" s="174">
        <f>G17*G24</f>
        <v>212011.351425</v>
      </c>
      <c r="H27" s="6"/>
      <c r="I27" s="6"/>
      <c r="J27" s="6"/>
    </row>
    <row r="28" spans="2:24" s="4" customFormat="1" ht="16" x14ac:dyDescent="0.15">
      <c r="B28" s="175" t="s">
        <v>65</v>
      </c>
      <c r="C28" s="173">
        <f>C26-C27</f>
        <v>1461145.4236406251</v>
      </c>
      <c r="D28" s="173">
        <f t="shared" ref="D28:G28" si="10">D26-D27</f>
        <v>1509796.6770149996</v>
      </c>
      <c r="E28" s="173">
        <f t="shared" si="10"/>
        <v>1526390.0324887501</v>
      </c>
      <c r="F28" s="173">
        <f t="shared" si="10"/>
        <v>1550464.670048906</v>
      </c>
      <c r="G28" s="174">
        <f t="shared" si="10"/>
        <v>1590085.1356875</v>
      </c>
      <c r="H28" s="12"/>
      <c r="I28" s="6"/>
      <c r="J28" s="6"/>
    </row>
    <row r="29" spans="2:24" s="4" customFormat="1" ht="16" x14ac:dyDescent="0.15">
      <c r="B29" s="172" t="s">
        <v>99</v>
      </c>
      <c r="C29" s="173">
        <v>500322</v>
      </c>
      <c r="D29" s="173">
        <f t="shared" ref="D29:G29" si="11">+C29</f>
        <v>500322</v>
      </c>
      <c r="E29" s="173">
        <f t="shared" si="11"/>
        <v>500322</v>
      </c>
      <c r="F29" s="173">
        <f t="shared" si="11"/>
        <v>500322</v>
      </c>
      <c r="G29" s="174">
        <f t="shared" si="11"/>
        <v>500322</v>
      </c>
      <c r="H29" s="6"/>
      <c r="I29" s="6"/>
      <c r="J29" s="6"/>
    </row>
    <row r="30" spans="2:24" s="4" customFormat="1" ht="16" x14ac:dyDescent="0.15">
      <c r="B30" s="175" t="s">
        <v>86</v>
      </c>
      <c r="C30" s="173">
        <f t="shared" ref="C30:G30" si="12">+C26-C29</f>
        <v>1162360.7234531252</v>
      </c>
      <c r="D30" s="173">
        <f t="shared" si="12"/>
        <v>1215356.0420624996</v>
      </c>
      <c r="E30" s="173">
        <f t="shared" si="12"/>
        <v>1234212.1278281251</v>
      </c>
      <c r="F30" s="173">
        <f t="shared" si="12"/>
        <v>1260375.1676826561</v>
      </c>
      <c r="G30" s="174">
        <f t="shared" si="12"/>
        <v>1301774.4871125</v>
      </c>
      <c r="H30" s="12"/>
      <c r="I30" s="6"/>
      <c r="J30" s="6"/>
    </row>
    <row r="31" spans="2:24" s="4" customFormat="1" ht="16" x14ac:dyDescent="0.15">
      <c r="B31" s="172" t="s">
        <v>134</v>
      </c>
      <c r="C31" s="173">
        <f>IF(C30&lt;=0,0,C$18*C30)</f>
        <v>290590.1808632813</v>
      </c>
      <c r="D31" s="173">
        <f t="shared" ref="D31:G31" si="13">IF(D30&lt;=0,0,D$18*D30)</f>
        <v>303839.01051562489</v>
      </c>
      <c r="E31" s="173">
        <f t="shared" si="13"/>
        <v>308553.03195703129</v>
      </c>
      <c r="F31" s="173">
        <f t="shared" si="13"/>
        <v>315093.79192066402</v>
      </c>
      <c r="G31" s="174">
        <f t="shared" si="13"/>
        <v>325443.621778125</v>
      </c>
      <c r="H31" s="12"/>
      <c r="I31" s="6"/>
      <c r="J31" s="6"/>
    </row>
    <row r="32" spans="2:24" s="4" customFormat="1" ht="17" thickBot="1" x14ac:dyDescent="0.2">
      <c r="B32" s="176" t="s">
        <v>87</v>
      </c>
      <c r="C32" s="177">
        <f t="shared" ref="C32:G32" si="14">C30-C31</f>
        <v>871770.54258984397</v>
      </c>
      <c r="D32" s="177">
        <f t="shared" si="14"/>
        <v>911517.03154687467</v>
      </c>
      <c r="E32" s="177">
        <f t="shared" si="14"/>
        <v>925659.09587109392</v>
      </c>
      <c r="F32" s="177">
        <f t="shared" si="14"/>
        <v>945281.37576199207</v>
      </c>
      <c r="G32" s="178">
        <f t="shared" si="14"/>
        <v>976330.86533437506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15">+C32</f>
        <v>871770.54258984397</v>
      </c>
      <c r="D37" s="223">
        <f t="shared" si="15"/>
        <v>911517.03154687467</v>
      </c>
      <c r="E37" s="235">
        <f t="shared" si="15"/>
        <v>925659.09587109392</v>
      </c>
      <c r="F37" s="235">
        <f t="shared" si="15"/>
        <v>945281.37576199207</v>
      </c>
      <c r="G37" s="235">
        <f t="shared" si="15"/>
        <v>976330.86533437506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16">+C29</f>
        <v>500322</v>
      </c>
      <c r="D38" s="224">
        <f t="shared" si="16"/>
        <v>500322</v>
      </c>
      <c r="E38" s="111">
        <f t="shared" si="16"/>
        <v>500322</v>
      </c>
      <c r="F38" s="111">
        <f t="shared" si="16"/>
        <v>500322</v>
      </c>
      <c r="G38" s="111">
        <f t="shared" si="16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17">+C37+C38</f>
        <v>1372092.542589844</v>
      </c>
      <c r="D39" s="224">
        <f t="shared" si="17"/>
        <v>1411839.0315468747</v>
      </c>
      <c r="E39" s="111">
        <f t="shared" si="17"/>
        <v>1425981.0958710939</v>
      </c>
      <c r="F39" s="111">
        <f t="shared" si="17"/>
        <v>1445603.3757619921</v>
      </c>
      <c r="G39" s="111">
        <f t="shared" si="17"/>
        <v>1476652.8653343751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268716.39975000004</v>
      </c>
      <c r="D40" s="224">
        <f>+C40*(1+D19)</f>
        <v>275434.30974375003</v>
      </c>
      <c r="E40" s="111">
        <f>+D40*(1+E19)</f>
        <v>282320.16748734377</v>
      </c>
      <c r="F40" s="111">
        <f>+E40*(1+F19)</f>
        <v>289378.17167452734</v>
      </c>
      <c r="G40" s="111">
        <f>+F40*(1+G19)</f>
        <v>296612.62596639048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1103376.1428398439</v>
      </c>
      <c r="D41" s="295">
        <f t="shared" ref="D41:G41" si="18">D39-D40</f>
        <v>1136404.7218031245</v>
      </c>
      <c r="E41" s="295">
        <f t="shared" si="18"/>
        <v>1143660.9283837501</v>
      </c>
      <c r="F41" s="295">
        <f t="shared" si="18"/>
        <v>1156225.2040874646</v>
      </c>
      <c r="G41" s="295">
        <f t="shared" si="18"/>
        <v>1180040.2393679847</v>
      </c>
      <c r="H41" s="295">
        <f>G41*(1+C47)/(C46-C47)</f>
        <v>24072820.883106887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6923138.1845897548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38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38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38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38" x14ac:dyDescent="0.15">
      <c r="B68" s="183" t="s">
        <v>0</v>
      </c>
      <c r="C68" s="185">
        <f>C26</f>
        <v>1662682.7234531252</v>
      </c>
      <c r="D68" s="185">
        <f>D26</f>
        <v>1715678.0420624996</v>
      </c>
      <c r="E68" s="185">
        <f>E26</f>
        <v>1734534.1278281251</v>
      </c>
      <c r="F68" s="185">
        <f>F26</f>
        <v>1760697.1676826561</v>
      </c>
      <c r="G68" s="185">
        <f>G26</f>
        <v>1802096.4871125</v>
      </c>
      <c r="H68" s="185"/>
      <c r="I68" s="182"/>
      <c r="J68" s="182"/>
    </row>
    <row r="69" spans="1:38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19">D69</f>
        <v>500322</v>
      </c>
      <c r="F69" s="184">
        <f t="shared" si="19"/>
        <v>500322</v>
      </c>
      <c r="G69" s="184">
        <f t="shared" si="19"/>
        <v>500322</v>
      </c>
      <c r="H69" s="184"/>
      <c r="I69" s="182"/>
      <c r="J69" s="182"/>
    </row>
    <row r="70" spans="1:38" x14ac:dyDescent="0.15">
      <c r="B70" s="183" t="s">
        <v>2</v>
      </c>
      <c r="C70" s="185">
        <f>C68-C69</f>
        <v>1162360.7234531252</v>
      </c>
      <c r="D70" s="185">
        <f t="shared" ref="D70:G70" si="20">D68-D69</f>
        <v>1215356.0420624996</v>
      </c>
      <c r="E70" s="185">
        <f t="shared" si="20"/>
        <v>1234212.1278281251</v>
      </c>
      <c r="F70" s="185">
        <f t="shared" si="20"/>
        <v>1260375.1676826561</v>
      </c>
      <c r="G70" s="185">
        <f t="shared" si="20"/>
        <v>1301774.4871125</v>
      </c>
      <c r="H70" s="185"/>
      <c r="I70" s="182"/>
      <c r="J70" s="182"/>
    </row>
    <row r="71" spans="1:38" x14ac:dyDescent="0.15">
      <c r="B71" s="182" t="s">
        <v>3</v>
      </c>
      <c r="C71" s="184">
        <f>C70*0.25</f>
        <v>290590.1808632813</v>
      </c>
      <c r="D71" s="184">
        <f t="shared" ref="D71:G71" si="21">D70*0.25</f>
        <v>303839.01051562489</v>
      </c>
      <c r="E71" s="184">
        <f t="shared" si="21"/>
        <v>308553.03195703129</v>
      </c>
      <c r="F71" s="184">
        <f t="shared" si="21"/>
        <v>315093.79192066402</v>
      </c>
      <c r="G71" s="184">
        <f t="shared" si="21"/>
        <v>325443.621778125</v>
      </c>
      <c r="H71" s="184"/>
      <c r="I71" s="182"/>
      <c r="J71" s="182"/>
    </row>
    <row r="72" spans="1:38" x14ac:dyDescent="0.15">
      <c r="B72" s="183" t="s">
        <v>4</v>
      </c>
      <c r="C72" s="185">
        <f>C70-C71</f>
        <v>871770.54258984397</v>
      </c>
      <c r="D72" s="185">
        <f t="shared" ref="D72:G72" si="22">D70-D71</f>
        <v>911517.03154687467</v>
      </c>
      <c r="E72" s="185">
        <f t="shared" si="22"/>
        <v>925659.09587109392</v>
      </c>
      <c r="F72" s="185">
        <f t="shared" si="22"/>
        <v>945281.37576199207</v>
      </c>
      <c r="G72" s="185">
        <f t="shared" si="22"/>
        <v>976330.86533437506</v>
      </c>
      <c r="H72" s="185"/>
      <c r="I72" s="182"/>
      <c r="J72" s="182"/>
    </row>
    <row r="73" spans="1:38" x14ac:dyDescent="0.15">
      <c r="B73" s="182" t="s">
        <v>1</v>
      </c>
      <c r="C73" s="184">
        <f>C69</f>
        <v>500322</v>
      </c>
      <c r="D73" s="184">
        <f t="shared" ref="D73:G73" si="23">D69</f>
        <v>500322</v>
      </c>
      <c r="E73" s="184">
        <f t="shared" si="23"/>
        <v>500322</v>
      </c>
      <c r="F73" s="184">
        <f t="shared" si="23"/>
        <v>500322</v>
      </c>
      <c r="G73" s="184">
        <f t="shared" si="23"/>
        <v>500322</v>
      </c>
      <c r="H73" s="184"/>
      <c r="I73" s="182"/>
      <c r="J73" s="182"/>
    </row>
    <row r="74" spans="1:38" x14ac:dyDescent="0.15">
      <c r="B74" s="183" t="s">
        <v>5</v>
      </c>
      <c r="C74" s="186">
        <f>C72+C73</f>
        <v>1372092.542589844</v>
      </c>
      <c r="D74" s="186">
        <f t="shared" ref="D74:G74" si="24">D72+D73</f>
        <v>1411839.0315468747</v>
      </c>
      <c r="E74" s="186">
        <f t="shared" si="24"/>
        <v>1425981.0958710939</v>
      </c>
      <c r="F74" s="186">
        <f t="shared" si="24"/>
        <v>1445603.3757619921</v>
      </c>
      <c r="G74" s="186">
        <f t="shared" si="24"/>
        <v>1476652.8653343751</v>
      </c>
      <c r="H74" s="186"/>
      <c r="I74" s="182"/>
      <c r="J74" s="182"/>
    </row>
    <row r="75" spans="1:38" x14ac:dyDescent="0.15">
      <c r="B75" s="182" t="s">
        <v>7</v>
      </c>
      <c r="C75" s="187">
        <f>C40</f>
        <v>268716.39975000004</v>
      </c>
      <c r="D75" s="187">
        <f>D40</f>
        <v>275434.30974375003</v>
      </c>
      <c r="E75" s="187">
        <f>E40</f>
        <v>282320.16748734377</v>
      </c>
      <c r="F75" s="187">
        <f>F40</f>
        <v>289378.17167452734</v>
      </c>
      <c r="G75" s="187">
        <f>G40</f>
        <v>296612.62596639048</v>
      </c>
      <c r="H75" s="187"/>
      <c r="I75" s="182"/>
      <c r="J75" s="182"/>
    </row>
    <row r="76" spans="1:38" x14ac:dyDescent="0.15">
      <c r="B76" s="183" t="s">
        <v>6</v>
      </c>
      <c r="C76" s="186">
        <f>C74-C75</f>
        <v>1103376.1428398439</v>
      </c>
      <c r="D76" s="186">
        <f t="shared" ref="D76:G76" si="25">D74-D75</f>
        <v>1136404.7218031245</v>
      </c>
      <c r="E76" s="186">
        <f t="shared" si="25"/>
        <v>1143660.9283837501</v>
      </c>
      <c r="F76" s="186">
        <f t="shared" si="25"/>
        <v>1156225.2040874646</v>
      </c>
      <c r="G76" s="186">
        <f t="shared" si="25"/>
        <v>1180040.2393679847</v>
      </c>
      <c r="H76" s="186"/>
      <c r="I76" s="182"/>
      <c r="J76" s="182"/>
    </row>
    <row r="77" spans="1:38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38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38" s="194" customFormat="1" x14ac:dyDescent="0.15">
      <c r="A79" s="193"/>
      <c r="B79" s="183" t="s">
        <v>10</v>
      </c>
      <c r="C79" s="191">
        <f>C76</f>
        <v>1103376.1428398439</v>
      </c>
      <c r="D79" s="191">
        <f>D76</f>
        <v>1136404.7218031245</v>
      </c>
      <c r="E79" s="191">
        <f>E76</f>
        <v>1143660.9283837501</v>
      </c>
      <c r="F79" s="191">
        <f>F76</f>
        <v>1156225.2040874646</v>
      </c>
      <c r="G79" s="191">
        <f>G76</f>
        <v>1180040.2393679847</v>
      </c>
      <c r="H79" s="191"/>
      <c r="I79" s="192">
        <f>G79*(1+C83)/(C114-C113)</f>
        <v>14411323.119889935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</row>
    <row r="80" spans="1:38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3" x14ac:dyDescent="0.15">
      <c r="B81" s="182" t="s">
        <v>37</v>
      </c>
      <c r="C81" s="195">
        <f>C79</f>
        <v>1103376.1428398439</v>
      </c>
      <c r="D81" s="195">
        <f t="shared" ref="D81:G81" si="26">D79</f>
        <v>1136404.7218031245</v>
      </c>
      <c r="E81" s="195">
        <f t="shared" si="26"/>
        <v>1143660.9283837501</v>
      </c>
      <c r="F81" s="195">
        <f t="shared" si="26"/>
        <v>1156225.2040874646</v>
      </c>
      <c r="G81" s="195">
        <f t="shared" si="26"/>
        <v>1180040.2393679847</v>
      </c>
      <c r="H81" s="195"/>
      <c r="I81" s="197"/>
      <c r="J81" s="197"/>
    </row>
    <row r="82" spans="2:13" x14ac:dyDescent="0.15">
      <c r="B82" s="182" t="s">
        <v>38</v>
      </c>
      <c r="C82" s="198"/>
      <c r="D82" s="197">
        <f>(D81/C81)-1</f>
        <v>2.9934106494519996E-2</v>
      </c>
      <c r="E82" s="197">
        <f t="shared" ref="E82:G82" si="27">(E81/D81)-1</f>
        <v>6.3852309317338207E-3</v>
      </c>
      <c r="F82" s="197">
        <f t="shared" si="27"/>
        <v>1.0986014641132025E-2</v>
      </c>
      <c r="G82" s="197">
        <f t="shared" si="27"/>
        <v>2.0597228979553073E-2</v>
      </c>
      <c r="H82" s="197"/>
      <c r="I82" s="197"/>
      <c r="J82" s="197"/>
    </row>
    <row r="83" spans="2:13" x14ac:dyDescent="0.15">
      <c r="B83" s="183" t="s">
        <v>39</v>
      </c>
      <c r="C83" s="199">
        <f>AVERAGE(D82:G82)</f>
        <v>1.6975645261734729E-2</v>
      </c>
      <c r="D83" s="195"/>
      <c r="E83" s="195"/>
      <c r="F83" s="195"/>
      <c r="G83" s="195"/>
      <c r="H83" s="195"/>
      <c r="I83" s="197"/>
      <c r="J83" s="197"/>
    </row>
    <row r="84" spans="2:13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3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3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</row>
    <row r="87" spans="2:13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</row>
    <row r="88" spans="2:13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</row>
    <row r="89" spans="2:13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</row>
    <row r="90" spans="2:13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</row>
    <row r="91" spans="2:13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</row>
    <row r="92" spans="2:13" x14ac:dyDescent="0.15">
      <c r="B92" s="183" t="s">
        <v>44</v>
      </c>
      <c r="C92" s="199">
        <v>0.25965169999999999</v>
      </c>
      <c r="D92" s="195"/>
      <c r="E92" s="195"/>
      <c r="F92" s="202">
        <f>K121</f>
        <v>0.28251527559752559</v>
      </c>
      <c r="G92" s="195" t="s">
        <v>55</v>
      </c>
      <c r="H92" s="195"/>
      <c r="I92" s="195"/>
      <c r="J92" s="195"/>
      <c r="K92" s="203"/>
      <c r="L92" s="200"/>
      <c r="M92" s="200"/>
    </row>
    <row r="93" spans="2:13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0.71748472440247446</v>
      </c>
      <c r="G93" s="195" t="s">
        <v>57</v>
      </c>
      <c r="H93" s="195"/>
      <c r="I93" s="195"/>
      <c r="J93" s="195"/>
      <c r="K93" s="200"/>
      <c r="L93" s="200"/>
      <c r="M93" s="200"/>
    </row>
    <row r="94" spans="2:13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</row>
    <row r="95" spans="2:13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</row>
    <row r="96" spans="2:13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</row>
    <row r="97" spans="2:13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</row>
    <row r="98" spans="2:13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</row>
    <row r="99" spans="2:13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</row>
    <row r="100" spans="2:13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</row>
    <row r="101" spans="2:13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</row>
    <row r="102" spans="2:13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</row>
    <row r="103" spans="2:13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</row>
    <row r="104" spans="2:13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</row>
    <row r="105" spans="2:13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</row>
    <row r="106" spans="2:13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</row>
    <row r="107" spans="2:13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</row>
    <row r="108" spans="2:13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</row>
    <row r="109" spans="2:13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</row>
    <row r="110" spans="2:13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</row>
    <row r="111" spans="2:13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</row>
    <row r="112" spans="2:13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</row>
    <row r="113" spans="2:12" x14ac:dyDescent="0.15">
      <c r="B113" s="182" t="s">
        <v>9</v>
      </c>
      <c r="C113" s="206">
        <f>C83</f>
        <v>1.6975645261734729E-2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14588579.03437008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14657767.03437008</v>
      </c>
      <c r="D119" s="182"/>
      <c r="E119" s="183" t="s">
        <v>28</v>
      </c>
      <c r="F119" s="192">
        <f>F135-F126-F121</f>
        <v>11746106.03437008</v>
      </c>
      <c r="G119" s="195">
        <f>C135-F135</f>
        <v>0</v>
      </c>
      <c r="H119" s="195"/>
      <c r="I119" s="182"/>
      <c r="J119" s="182"/>
      <c r="K119" s="209">
        <f>F119/F135</f>
        <v>0.71748472440247446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0.28251527559752559</v>
      </c>
      <c r="L121" s="180" t="s">
        <v>55</v>
      </c>
    </row>
    <row r="122" spans="2:12" x14ac:dyDescent="0.15">
      <c r="B122" s="182" t="s">
        <v>15</v>
      </c>
      <c r="C122" s="196">
        <f>C115</f>
        <v>14588579.03437008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16371228.03437008</v>
      </c>
      <c r="D135" s="182"/>
      <c r="E135" s="183" t="s">
        <v>30</v>
      </c>
      <c r="F135" s="191">
        <f>C135</f>
        <v>16371228.03437008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23907467.03437008</v>
      </c>
      <c r="D154" s="182"/>
      <c r="E154" s="183" t="s">
        <v>28</v>
      </c>
      <c r="F154" s="191">
        <f>F119+F141</f>
        <v>14676806.03437008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25782928.03437008</v>
      </c>
      <c r="D160" s="183"/>
      <c r="E160" s="183" t="s">
        <v>36</v>
      </c>
      <c r="F160" s="191">
        <f>F150+F135</f>
        <v>25782928.03437008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4C2D-B3CA-EB47-9B62-1F2059858597}">
  <dimension ref="A2:AQ164"/>
  <sheetViews>
    <sheetView topLeftCell="B25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3" width="9.83203125" style="180" customWidth="1"/>
    <col min="14" max="15" width="7.5" style="180" customWidth="1"/>
    <col min="16" max="16" width="9.83203125" style="180" bestFit="1" customWidth="1"/>
    <col min="17" max="17" width="9.83203125" style="180" customWidth="1"/>
    <col min="18" max="19" width="7.5" style="180" customWidth="1"/>
    <col min="20" max="20" width="9.83203125" style="180" bestFit="1" customWidth="1"/>
    <col min="21" max="21" width="9.83203125" style="180" customWidth="1"/>
    <col min="22" max="23" width="7.5" style="180" customWidth="1"/>
    <col min="24" max="24" width="9.83203125" style="180" bestFit="1" customWidth="1"/>
    <col min="25" max="25" width="9.83203125" style="180" customWidth="1"/>
    <col min="26" max="27" width="7.5" style="180" customWidth="1"/>
    <col min="28" max="28" width="9.83203125" style="180" bestFit="1" customWidth="1"/>
    <col min="29" max="29" width="9.83203125" style="180" customWidth="1"/>
    <col min="30" max="16384" width="11.5" style="180"/>
  </cols>
  <sheetData>
    <row r="2" spans="2:35" s="4" customFormat="1" ht="16" x14ac:dyDescent="0.2">
      <c r="B2" s="276" t="s">
        <v>129</v>
      </c>
      <c r="I2" s="276" t="s">
        <v>130</v>
      </c>
    </row>
    <row r="3" spans="2:35" s="5" customFormat="1" thickBot="1" x14ac:dyDescent="0.2"/>
    <row r="4" spans="2:35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39"/>
      <c r="M4" s="340"/>
      <c r="N4" s="341" t="s">
        <v>81</v>
      </c>
      <c r="O4" s="342"/>
      <c r="P4" s="342"/>
      <c r="Q4" s="343"/>
      <c r="R4" s="344" t="s">
        <v>82</v>
      </c>
      <c r="S4" s="345"/>
      <c r="T4" s="345"/>
      <c r="U4" s="346"/>
      <c r="V4" s="347" t="s">
        <v>83</v>
      </c>
      <c r="W4" s="348"/>
      <c r="X4" s="348"/>
      <c r="Y4" s="349"/>
      <c r="Z4" s="350" t="s">
        <v>108</v>
      </c>
      <c r="AA4" s="351"/>
      <c r="AB4" s="351"/>
      <c r="AC4" s="352"/>
      <c r="AE4" s="125"/>
      <c r="AF4" s="125"/>
      <c r="AG4" s="125"/>
      <c r="AH4" s="125"/>
      <c r="AI4" s="125"/>
    </row>
    <row r="5" spans="2:35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140</v>
      </c>
      <c r="M5" s="130" t="s">
        <v>89</v>
      </c>
      <c r="N5" s="130" t="s">
        <v>119</v>
      </c>
      <c r="O5" s="131" t="s">
        <v>127</v>
      </c>
      <c r="P5" s="132" t="s">
        <v>140</v>
      </c>
      <c r="Q5" s="130" t="s">
        <v>89</v>
      </c>
      <c r="R5" s="130" t="s">
        <v>119</v>
      </c>
      <c r="S5" s="131" t="s">
        <v>127</v>
      </c>
      <c r="T5" s="132" t="s">
        <v>140</v>
      </c>
      <c r="U5" s="130" t="s">
        <v>89</v>
      </c>
      <c r="V5" s="130" t="s">
        <v>119</v>
      </c>
      <c r="W5" s="131" t="s">
        <v>127</v>
      </c>
      <c r="X5" s="132" t="s">
        <v>140</v>
      </c>
      <c r="Y5" s="130" t="s">
        <v>89</v>
      </c>
      <c r="Z5" s="130" t="s">
        <v>119</v>
      </c>
      <c r="AA5" s="131" t="s">
        <v>127</v>
      </c>
      <c r="AB5" s="132" t="s">
        <v>140</v>
      </c>
      <c r="AC5" s="132" t="s">
        <v>89</v>
      </c>
    </row>
    <row r="6" spans="2:35" s="4" customFormat="1" ht="16" x14ac:dyDescent="0.2">
      <c r="B6" s="133" t="s">
        <v>70</v>
      </c>
      <c r="C6" s="134">
        <f>M6</f>
        <v>3.1</v>
      </c>
      <c r="D6" s="134">
        <f>Q6</f>
        <v>3.0764265209229227</v>
      </c>
      <c r="E6" s="134">
        <f>U6</f>
        <v>3.0504819358584521</v>
      </c>
      <c r="F6" s="134">
        <f>Y6</f>
        <v>3.0199031530051146</v>
      </c>
      <c r="G6" s="134">
        <f>AC6</f>
        <v>2.9895181222534988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118">
        <f>(1/EXP((K$13-1)*(ABS(J6-K6)/J6)))</f>
        <v>1</v>
      </c>
      <c r="M6" s="304">
        <f>K6*L6+(1-L6)*J6</f>
        <v>3.1</v>
      </c>
      <c r="N6" s="242">
        <f>Variables!F9</f>
        <v>2.7949999999999999</v>
      </c>
      <c r="O6" s="242">
        <f>Variables!G9</f>
        <v>3.11</v>
      </c>
      <c r="P6" s="118">
        <f>(1/EXP((O$13-1)*(ABS(N6-O6)/N6)))</f>
        <v>0.89341752673943764</v>
      </c>
      <c r="Q6" s="304">
        <f>O6*P6+(1-P6)*N6</f>
        <v>3.0764265209229227</v>
      </c>
      <c r="R6" s="242">
        <f>Variables!I9</f>
        <v>2.79</v>
      </c>
      <c r="S6" s="242">
        <f>Variables!J9</f>
        <v>3.12</v>
      </c>
      <c r="T6" s="118">
        <f>(1/EXP((S$13-1)*(ABS(R6-S6)/R6)))</f>
        <v>0.78933919957106691</v>
      </c>
      <c r="U6" s="304">
        <f>S6*T6+(1-T6)*R6</f>
        <v>3.0504819358584521</v>
      </c>
      <c r="V6" s="242">
        <f>Variables!L9</f>
        <v>2.78</v>
      </c>
      <c r="W6" s="242">
        <f>Variables!M9</f>
        <v>3.13</v>
      </c>
      <c r="X6" s="118">
        <f>(1/EXP((W$13-1)*(ABS(V6-W6)/V6)))</f>
        <v>0.6854375800146133</v>
      </c>
      <c r="Y6" s="304">
        <f>W6*X6+(1-X6)*V6</f>
        <v>3.0199031530051146</v>
      </c>
      <c r="Z6" s="242">
        <f>Variables!O9</f>
        <v>2.77</v>
      </c>
      <c r="AA6" s="242">
        <f>Variables!P9</f>
        <v>3.15</v>
      </c>
      <c r="AB6" s="118">
        <f>(1/EXP((AA$13-1)*(ABS(Z6-AA6)/Z6)))</f>
        <v>0.57767926908815515</v>
      </c>
      <c r="AC6" s="304">
        <f>AA6*AB6+(1-AB6)*Z6</f>
        <v>2.9895181222534988</v>
      </c>
    </row>
    <row r="7" spans="2:35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118">
        <f t="shared" ref="L7:L11" si="2">(1/EXP((K$13-1)*(ABS(J7-K7)/J7)))</f>
        <v>1</v>
      </c>
      <c r="M7" s="304">
        <f t="shared" ref="M7:M11" si="3">K7*L7+(1-L7)*J7</f>
        <v>0.81</v>
      </c>
      <c r="N7" s="243">
        <f>Variables!F11</f>
        <v>0.77</v>
      </c>
      <c r="O7" s="243">
        <f>Variables!G11</f>
        <v>0.82</v>
      </c>
      <c r="P7" s="118">
        <f t="shared" ref="P7:P11" si="4">(1/EXP((O$13-1)*(ABS(N7-O7)/N7)))</f>
        <v>0.93712831388963114</v>
      </c>
      <c r="Q7" s="304">
        <f t="shared" ref="Q7:Q11" si="5">O7*P7+(1-P7)*N7</f>
        <v>0.81685641569448153</v>
      </c>
      <c r="R7" s="243">
        <f>Variables!I11</f>
        <v>0.76500000000000001</v>
      </c>
      <c r="S7" s="243">
        <f>Variables!J11</f>
        <v>0.82499999999999996</v>
      </c>
      <c r="T7" s="118">
        <f t="shared" ref="T7:T11" si="6">(1/EXP((S$13-1)*(ABS(R7-S7)/R7)))</f>
        <v>0.85482137919069778</v>
      </c>
      <c r="U7" s="304">
        <f t="shared" ref="U7:U11" si="7">S7*T7+(1-T7)*R7</f>
        <v>0.81628928275144186</v>
      </c>
      <c r="V7" s="243">
        <f>Variables!L11</f>
        <v>0.76</v>
      </c>
      <c r="W7" s="243">
        <f>Variables!M11</f>
        <v>0.83</v>
      </c>
      <c r="X7" s="118">
        <f t="shared" ref="X7:X11" si="8">(1/EXP((W$13-1)*(ABS(V7-W7)/V7)))</f>
        <v>0.75857334345677707</v>
      </c>
      <c r="Y7" s="304">
        <f t="shared" ref="Y7:Y11" si="9">W7*X7+(1-X7)*V7</f>
        <v>0.81310013404197434</v>
      </c>
      <c r="Z7" s="243">
        <f>Variables!O11</f>
        <v>0.75</v>
      </c>
      <c r="AA7" s="243">
        <f>Variables!P11</f>
        <v>0.83499999999999996</v>
      </c>
      <c r="AB7" s="118">
        <f t="shared" ref="AB7:AB11" si="10">(1/EXP((AA$13-1)*(ABS(Z7-AA7)/Z7)))</f>
        <v>0.63550626289562251</v>
      </c>
      <c r="AC7" s="304">
        <f t="shared" ref="AC7:AC11" si="11">AA7*AB7+(1-AB7)*Z7</f>
        <v>0.8040180323461279</v>
      </c>
    </row>
    <row r="8" spans="2:35" s="4" customFormat="1" ht="18" thickBot="1" x14ac:dyDescent="0.2">
      <c r="B8" s="140" t="s">
        <v>72</v>
      </c>
      <c r="C8" s="141">
        <f>M7</f>
        <v>0.81</v>
      </c>
      <c r="D8" s="141">
        <f>Q7</f>
        <v>0.81685641569448153</v>
      </c>
      <c r="E8" s="141">
        <f>U7</f>
        <v>0.81628928275144186</v>
      </c>
      <c r="F8" s="141">
        <f>Y7</f>
        <v>0.81310013404197434</v>
      </c>
      <c r="G8" s="142">
        <f>AC7</f>
        <v>0.8040180323461279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118">
        <f t="shared" si="2"/>
        <v>1</v>
      </c>
      <c r="M8" s="304">
        <f t="shared" si="3"/>
        <v>37</v>
      </c>
      <c r="N8" s="242">
        <f>Variables!F15</f>
        <v>36</v>
      </c>
      <c r="O8" s="242">
        <f>Variables!G15</f>
        <v>38</v>
      </c>
      <c r="P8" s="118">
        <f t="shared" si="4"/>
        <v>0.94595946890676541</v>
      </c>
      <c r="Q8" s="304">
        <f t="shared" si="5"/>
        <v>37.891918937813529</v>
      </c>
      <c r="R8" s="242">
        <f>Variables!I15</f>
        <v>36.25</v>
      </c>
      <c r="S8" s="242">
        <f>Variables!J15</f>
        <v>38.5</v>
      </c>
      <c r="T8" s="118">
        <f t="shared" si="6"/>
        <v>0.88325800379020802</v>
      </c>
      <c r="U8" s="304">
        <f t="shared" si="7"/>
        <v>38.237330508527968</v>
      </c>
      <c r="V8" s="242">
        <f>Variables!L15</f>
        <v>36.5</v>
      </c>
      <c r="W8" s="242">
        <f>Variables!M15</f>
        <v>39</v>
      </c>
      <c r="X8" s="118">
        <f t="shared" si="8"/>
        <v>0.81425682569989555</v>
      </c>
      <c r="Y8" s="304">
        <f t="shared" si="9"/>
        <v>38.535642064249735</v>
      </c>
      <c r="Z8" s="242">
        <f>Variables!O15</f>
        <v>36.75</v>
      </c>
      <c r="AA8" s="242">
        <f>Variables!P15</f>
        <v>39.5</v>
      </c>
      <c r="AB8" s="118">
        <f t="shared" si="10"/>
        <v>0.74132235010812342</v>
      </c>
      <c r="AC8" s="304">
        <f t="shared" si="11"/>
        <v>38.788636462797342</v>
      </c>
    </row>
    <row r="9" spans="2:35" s="4" customFormat="1" ht="17" thickBot="1" x14ac:dyDescent="0.25">
      <c r="B9" s="266" t="s">
        <v>73</v>
      </c>
      <c r="C9" s="145">
        <f>+C5*C7*C8</f>
        <v>64006.200000000004</v>
      </c>
      <c r="D9" s="145">
        <f>+D5*D7*D8</f>
        <v>64547.993968177929</v>
      </c>
      <c r="E9" s="145">
        <f>+E5*E7*E8</f>
        <v>64503.179123018934</v>
      </c>
      <c r="F9" s="145">
        <f>+F5*F7*F8</f>
        <v>64251.172591996816</v>
      </c>
      <c r="G9" s="146">
        <f>+G5*G7*G8</f>
        <v>63533.504915991027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118">
        <f t="shared" si="2"/>
        <v>1</v>
      </c>
      <c r="M9" s="304">
        <f t="shared" si="3"/>
        <v>0.27</v>
      </c>
      <c r="N9" s="243">
        <f>Variables!F24</f>
        <v>0.22</v>
      </c>
      <c r="O9" s="243">
        <f>Variables!G24</f>
        <v>0.28000000000000003</v>
      </c>
      <c r="P9" s="118">
        <f t="shared" si="4"/>
        <v>0.76130038669687372</v>
      </c>
      <c r="Q9" s="304">
        <f t="shared" si="5"/>
        <v>0.26567802320181244</v>
      </c>
      <c r="R9" s="243">
        <f>Variables!I24</f>
        <v>0.215</v>
      </c>
      <c r="S9" s="243">
        <f>Variables!J24</f>
        <v>0.28499999999999998</v>
      </c>
      <c r="T9" s="118">
        <f t="shared" si="6"/>
        <v>0.52143909957568846</v>
      </c>
      <c r="U9" s="304">
        <f t="shared" si="7"/>
        <v>0.25150073697029818</v>
      </c>
      <c r="V9" s="243">
        <f>Variables!L24</f>
        <v>0.21249999999999999</v>
      </c>
      <c r="W9" s="243">
        <f>Variables!M24</f>
        <v>0.28999999999999998</v>
      </c>
      <c r="X9" s="118">
        <f t="shared" si="8"/>
        <v>0.33483491922040509</v>
      </c>
      <c r="Y9" s="304">
        <f t="shared" si="9"/>
        <v>0.23844970623958139</v>
      </c>
      <c r="Z9" s="243">
        <f>Variables!O24</f>
        <v>0.21</v>
      </c>
      <c r="AA9" s="243">
        <f>Variables!P24</f>
        <v>0.3</v>
      </c>
      <c r="AB9" s="118">
        <f t="shared" si="10"/>
        <v>0.1800923121479524</v>
      </c>
      <c r="AC9" s="304">
        <f t="shared" si="11"/>
        <v>0.22620830809331571</v>
      </c>
    </row>
    <row r="10" spans="2:35" s="4" customFormat="1" ht="34" x14ac:dyDescent="0.15">
      <c r="B10" s="265" t="s">
        <v>74</v>
      </c>
      <c r="C10" s="145">
        <f>+C5*C6*C7*C8</f>
        <v>198419.22000000003</v>
      </c>
      <c r="D10" s="145">
        <f>+D5*D6*D7*D8</f>
        <v>198577.16051607544</v>
      </c>
      <c r="E10" s="145">
        <f>+E5*E6*E7*E8</f>
        <v>196765.78272021128</v>
      </c>
      <c r="F10" s="145">
        <f>+F5*F6*F7*F8</f>
        <v>194032.31869484697</v>
      </c>
      <c r="G10" s="146">
        <f>+G5*G6*G7*G8</f>
        <v>189934.56431663694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118">
        <f t="shared" si="2"/>
        <v>1</v>
      </c>
      <c r="M10" s="304">
        <f t="shared" si="3"/>
        <v>0.02</v>
      </c>
      <c r="N10" s="243">
        <f>Variables!F26</f>
        <v>0.04</v>
      </c>
      <c r="O10" s="243">
        <f>Variables!G26</f>
        <v>0.02</v>
      </c>
      <c r="P10" s="118">
        <f t="shared" si="4"/>
        <v>0.60653065971263342</v>
      </c>
      <c r="Q10" s="304">
        <f t="shared" si="5"/>
        <v>2.7869386805747333E-2</v>
      </c>
      <c r="R10" s="243">
        <f>Variables!I26</f>
        <v>0.04</v>
      </c>
      <c r="S10" s="243">
        <f>Variables!J26</f>
        <v>0.02</v>
      </c>
      <c r="T10" s="118">
        <f t="shared" si="6"/>
        <v>0.36787944117144233</v>
      </c>
      <c r="U10" s="304">
        <f t="shared" si="7"/>
        <v>3.264241117657115E-2</v>
      </c>
      <c r="V10" s="243">
        <f>Variables!L26</f>
        <v>0.04</v>
      </c>
      <c r="W10" s="243">
        <f>Variables!M26</f>
        <v>0.02</v>
      </c>
      <c r="X10" s="118">
        <f t="shared" si="8"/>
        <v>0.22313016014842985</v>
      </c>
      <c r="Y10" s="304">
        <f t="shared" si="9"/>
        <v>3.5537396797031405E-2</v>
      </c>
      <c r="Z10" s="243">
        <f>Variables!O26</f>
        <v>0.04</v>
      </c>
      <c r="AA10" s="243">
        <f>Variables!P26</f>
        <v>0.02</v>
      </c>
      <c r="AB10" s="118">
        <f t="shared" si="10"/>
        <v>0.1353352832366127</v>
      </c>
      <c r="AC10" s="304">
        <f t="shared" si="11"/>
        <v>3.7293294335267742E-2</v>
      </c>
    </row>
    <row r="11" spans="2:35" s="4" customFormat="1" ht="18" thickBot="1" x14ac:dyDescent="0.25">
      <c r="B11" s="133" t="s">
        <v>75</v>
      </c>
      <c r="C11" s="148">
        <f>M8</f>
        <v>37</v>
      </c>
      <c r="D11" s="148">
        <f>Q8</f>
        <v>37.891918937813529</v>
      </c>
      <c r="E11" s="148">
        <f>U8</f>
        <v>38.237330508527968</v>
      </c>
      <c r="F11" s="148">
        <f>Y8</f>
        <v>38.535642064249735</v>
      </c>
      <c r="G11" s="149">
        <f>AC8</f>
        <v>38.788636462797342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305">
        <f t="shared" si="2"/>
        <v>1</v>
      </c>
      <c r="M11" s="306">
        <f t="shared" si="3"/>
        <v>0.01</v>
      </c>
      <c r="N11" s="244">
        <f>Variables!F29</f>
        <v>0.04</v>
      </c>
      <c r="O11" s="244">
        <f>Variables!G29</f>
        <v>0.01</v>
      </c>
      <c r="P11" s="305">
        <f t="shared" si="4"/>
        <v>0.47236655274101469</v>
      </c>
      <c r="Q11" s="306">
        <f t="shared" si="5"/>
        <v>2.5829003417769558E-2</v>
      </c>
      <c r="R11" s="244">
        <f>Variables!I29</f>
        <v>0.04</v>
      </c>
      <c r="S11" s="244">
        <f>Variables!J29</f>
        <v>0.01</v>
      </c>
      <c r="T11" s="305">
        <f t="shared" si="6"/>
        <v>0.22313016014842985</v>
      </c>
      <c r="U11" s="306">
        <f t="shared" si="7"/>
        <v>3.3306095195547107E-2</v>
      </c>
      <c r="V11" s="244">
        <f>Variables!L29</f>
        <v>0.04</v>
      </c>
      <c r="W11" s="244">
        <f>Variables!M29</f>
        <v>0.01</v>
      </c>
      <c r="X11" s="305">
        <f t="shared" si="8"/>
        <v>0.10539922456186433</v>
      </c>
      <c r="Y11" s="306">
        <f t="shared" si="9"/>
        <v>3.6838023263144067E-2</v>
      </c>
      <c r="Z11" s="244">
        <f>Variables!O29</f>
        <v>0.04</v>
      </c>
      <c r="AA11" s="244">
        <f>Variables!P29</f>
        <v>0.01</v>
      </c>
      <c r="AB11" s="305">
        <f t="shared" si="10"/>
        <v>4.9787068367863944E-2</v>
      </c>
      <c r="AC11" s="306">
        <f t="shared" si="11"/>
        <v>3.8506387948964084E-2</v>
      </c>
    </row>
    <row r="12" spans="2:35" s="7" customFormat="1" ht="18" thickBot="1" x14ac:dyDescent="0.25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69"/>
      <c r="N12" s="270"/>
      <c r="O12" s="270"/>
      <c r="P12" s="269"/>
      <c r="Q12" s="269"/>
      <c r="R12" s="270"/>
      <c r="S12" s="270"/>
      <c r="T12" s="269"/>
      <c r="U12" s="269"/>
      <c r="V12" s="270"/>
      <c r="W12" s="270"/>
      <c r="X12" s="269"/>
      <c r="Y12" s="269"/>
      <c r="Z12" s="270"/>
      <c r="AA12" s="271"/>
      <c r="AB12" s="99"/>
      <c r="AC12" s="99"/>
    </row>
    <row r="13" spans="2:35" s="4" customFormat="1" ht="17" thickBot="1" x14ac:dyDescent="0.25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101" t="s">
        <v>68</v>
      </c>
      <c r="K13" s="103">
        <v>1</v>
      </c>
      <c r="L13" s="5"/>
      <c r="M13" s="5"/>
      <c r="N13" s="101" t="s">
        <v>68</v>
      </c>
      <c r="O13" s="102">
        <v>2</v>
      </c>
      <c r="P13" s="5"/>
      <c r="Q13" s="5"/>
      <c r="R13" s="101" t="s">
        <v>68</v>
      </c>
      <c r="S13" s="102">
        <v>3</v>
      </c>
      <c r="T13" s="5"/>
      <c r="U13" s="5"/>
      <c r="V13" s="101" t="s">
        <v>68</v>
      </c>
      <c r="W13" s="102">
        <v>4</v>
      </c>
      <c r="X13" s="5"/>
      <c r="Y13" s="5"/>
      <c r="Z13" s="101" t="s">
        <v>68</v>
      </c>
      <c r="AA13" s="102">
        <v>5</v>
      </c>
      <c r="AB13" s="87"/>
      <c r="AC13" s="87"/>
    </row>
    <row r="14" spans="2:35" s="4" customFormat="1" ht="16" x14ac:dyDescent="0.2">
      <c r="B14" s="136" t="s">
        <v>125</v>
      </c>
      <c r="C14" s="137">
        <f t="shared" ref="C14:G14" si="12">C24-C26</f>
        <v>5359303.1322000008</v>
      </c>
      <c r="D14" s="137">
        <f t="shared" si="12"/>
        <v>5525383.4418275561</v>
      </c>
      <c r="E14" s="137">
        <f t="shared" si="12"/>
        <v>5631557.4577656258</v>
      </c>
      <c r="F14" s="137">
        <f t="shared" si="12"/>
        <v>5694233.3808779363</v>
      </c>
      <c r="G14" s="138">
        <f t="shared" si="12"/>
        <v>5700757.6728640478</v>
      </c>
      <c r="H14" s="139"/>
      <c r="J14" s="268"/>
      <c r="K14" s="268"/>
      <c r="L14" s="272"/>
      <c r="M14" s="272"/>
      <c r="N14" s="273"/>
      <c r="O14" s="273"/>
      <c r="P14" s="272"/>
      <c r="Q14" s="272"/>
      <c r="R14" s="273"/>
      <c r="S14" s="273"/>
      <c r="T14" s="272"/>
      <c r="U14" s="272"/>
      <c r="V14" s="273"/>
      <c r="W14" s="273"/>
      <c r="X14" s="272"/>
      <c r="Y14" s="272"/>
      <c r="Z14" s="273"/>
      <c r="AA14" s="274"/>
      <c r="AB14" s="87"/>
      <c r="AC14" s="87"/>
    </row>
    <row r="15" spans="2:35" s="4" customFormat="1" ht="16" x14ac:dyDescent="0.2">
      <c r="B15" s="136" t="s">
        <v>126</v>
      </c>
      <c r="C15" s="297">
        <f>C14/C24</f>
        <v>0.73</v>
      </c>
      <c r="D15" s="297">
        <f>D14/D24</f>
        <v>0.73432197679818745</v>
      </c>
      <c r="E15" s="297">
        <f>E14/E24</f>
        <v>0.74849926302970182</v>
      </c>
      <c r="F15" s="297">
        <f>F14/F24</f>
        <v>0.76155029376041872</v>
      </c>
      <c r="G15" s="298">
        <f>G14/G24</f>
        <v>0.77379169190668418</v>
      </c>
      <c r="H15" s="151"/>
      <c r="J15" s="268"/>
      <c r="K15" s="268"/>
      <c r="L15" s="272"/>
      <c r="M15" s="272"/>
      <c r="N15" s="273"/>
      <c r="O15" s="273"/>
      <c r="P15" s="272"/>
      <c r="Q15" s="272"/>
      <c r="R15" s="273"/>
      <c r="S15" s="273"/>
      <c r="T15" s="272"/>
      <c r="U15" s="272"/>
      <c r="V15" s="273"/>
      <c r="W15" s="273"/>
      <c r="X15" s="272"/>
      <c r="Y15" s="272"/>
      <c r="Z15" s="273"/>
      <c r="AA15" s="274"/>
      <c r="AB15" s="87"/>
      <c r="AC15" s="87"/>
    </row>
    <row r="16" spans="2:35" s="4" customFormat="1" ht="16" x14ac:dyDescent="0.2">
      <c r="B16" s="133" t="s">
        <v>76</v>
      </c>
      <c r="C16" s="152">
        <f>M9</f>
        <v>0.27</v>
      </c>
      <c r="D16" s="152">
        <f>Q9</f>
        <v>0.26567802320181244</v>
      </c>
      <c r="E16" s="152">
        <f>U9</f>
        <v>0.25150073697029818</v>
      </c>
      <c r="F16" s="152">
        <f>Y9</f>
        <v>0.23844970623958139</v>
      </c>
      <c r="G16" s="153">
        <f>AC9</f>
        <v>0.22620830809331571</v>
      </c>
      <c r="H16" s="154"/>
    </row>
    <row r="17" spans="2:29" s="4" customFormat="1" ht="34" x14ac:dyDescent="0.15">
      <c r="B17" s="140" t="s">
        <v>77</v>
      </c>
      <c r="C17" s="155">
        <f>M10</f>
        <v>0.02</v>
      </c>
      <c r="D17" s="155">
        <f>Q10</f>
        <v>2.7869386805747333E-2</v>
      </c>
      <c r="E17" s="155">
        <f>U10</f>
        <v>3.264241117657115E-2</v>
      </c>
      <c r="F17" s="155">
        <f>Y10</f>
        <v>3.5537396797031405E-2</v>
      </c>
      <c r="G17" s="156">
        <f>AC10</f>
        <v>3.7293294335267742E-2</v>
      </c>
      <c r="H17" s="157"/>
    </row>
    <row r="18" spans="2:29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13">D18</f>
        <v>0.25</v>
      </c>
      <c r="F18" s="159">
        <f t="shared" si="13"/>
        <v>0.25</v>
      </c>
      <c r="G18" s="160">
        <f t="shared" si="13"/>
        <v>0.25</v>
      </c>
      <c r="H18" s="161"/>
      <c r="J18" s="158"/>
      <c r="K18" s="158"/>
      <c r="L18" s="162"/>
      <c r="M18" s="162"/>
      <c r="N18" s="158"/>
      <c r="O18" s="158"/>
      <c r="P18" s="162"/>
      <c r="Q18" s="162"/>
      <c r="R18" s="158"/>
      <c r="S18" s="158"/>
      <c r="T18" s="162"/>
      <c r="U18" s="162"/>
      <c r="V18" s="158"/>
      <c r="W18" s="158"/>
      <c r="X18" s="162"/>
      <c r="Y18" s="162"/>
      <c r="Z18" s="158"/>
      <c r="AA18" s="158"/>
      <c r="AB18" s="63"/>
      <c r="AC18" s="63"/>
    </row>
    <row r="19" spans="2:29" s="4" customFormat="1" ht="18" thickBot="1" x14ac:dyDescent="0.25">
      <c r="B19" s="163" t="s">
        <v>79</v>
      </c>
      <c r="C19" s="164">
        <f>M11</f>
        <v>0.01</v>
      </c>
      <c r="D19" s="164">
        <f>Q11</f>
        <v>2.5829003417769558E-2</v>
      </c>
      <c r="E19" s="164">
        <f>U11</f>
        <v>3.3306095195547107E-2</v>
      </c>
      <c r="F19" s="164">
        <f>Y11</f>
        <v>3.6838023263144067E-2</v>
      </c>
      <c r="G19" s="165">
        <f>AC11</f>
        <v>3.8506387948964084E-2</v>
      </c>
      <c r="H19" s="154"/>
    </row>
    <row r="20" spans="2:29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29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29" s="4" customFormat="1" thickBot="1" x14ac:dyDescent="0.2">
      <c r="B22" s="10"/>
      <c r="C22" s="6"/>
    </row>
    <row r="23" spans="2:29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29" s="4" customFormat="1" ht="16" x14ac:dyDescent="0.15">
      <c r="B24" s="169" t="s">
        <v>84</v>
      </c>
      <c r="C24" s="170">
        <f>C5*C6*C7*C8*C11</f>
        <v>7341511.1400000015</v>
      </c>
      <c r="D24" s="170">
        <f>D5*D6*D7*D8*D11</f>
        <v>7524469.6691763159</v>
      </c>
      <c r="E24" s="170">
        <f>E5*E6*E7*E8*E11</f>
        <v>7523798.2666419204</v>
      </c>
      <c r="F24" s="170">
        <f>F5*F6*F7*F8*F11</f>
        <v>7477159.982121055</v>
      </c>
      <c r="G24" s="171">
        <f>G5*G6*G7*G8*G11</f>
        <v>7367302.7669978309</v>
      </c>
      <c r="H24" s="12"/>
      <c r="I24" s="6"/>
      <c r="J24" s="6"/>
    </row>
    <row r="25" spans="2:29" s="4" customFormat="1" ht="16" x14ac:dyDescent="0.15">
      <c r="B25" s="172" t="s">
        <v>85</v>
      </c>
      <c r="C25" s="173">
        <f>C24-C26</f>
        <v>5359303.1322000008</v>
      </c>
      <c r="D25" s="173">
        <f t="shared" ref="D25:G25" si="14">D24-D26</f>
        <v>5525383.4418275561</v>
      </c>
      <c r="E25" s="173">
        <f t="shared" si="14"/>
        <v>5631557.4577656258</v>
      </c>
      <c r="F25" s="173">
        <f t="shared" si="14"/>
        <v>5694233.3808779363</v>
      </c>
      <c r="G25" s="174">
        <f t="shared" si="14"/>
        <v>5700757.6728640478</v>
      </c>
      <c r="H25" s="12"/>
      <c r="I25" s="6"/>
      <c r="J25" s="6"/>
    </row>
    <row r="26" spans="2:29" s="4" customFormat="1" ht="16" x14ac:dyDescent="0.15">
      <c r="B26" s="175" t="s">
        <v>0</v>
      </c>
      <c r="C26" s="173">
        <f>C16*C24</f>
        <v>1982208.0078000005</v>
      </c>
      <c r="D26" s="173">
        <f>D16*D24</f>
        <v>1999086.2273487593</v>
      </c>
      <c r="E26" s="173">
        <f>E16*E24</f>
        <v>1892240.8088762949</v>
      </c>
      <c r="F26" s="173">
        <f>F16*F24</f>
        <v>1782926.6012431192</v>
      </c>
      <c r="G26" s="174">
        <f>G16*G24</f>
        <v>1666545.0941337827</v>
      </c>
      <c r="H26" s="12"/>
      <c r="I26" s="6"/>
      <c r="J26" s="6"/>
    </row>
    <row r="27" spans="2:29" s="4" customFormat="1" ht="16" x14ac:dyDescent="0.15">
      <c r="B27" s="172" t="s">
        <v>133</v>
      </c>
      <c r="C27" s="173">
        <f>C17*C24</f>
        <v>146830.22280000005</v>
      </c>
      <c r="D27" s="173">
        <f>D17*D24</f>
        <v>209702.35571838843</v>
      </c>
      <c r="E27" s="173">
        <f>E17*E24</f>
        <v>245594.91662929888</v>
      </c>
      <c r="F27" s="173">
        <f>F17*F24</f>
        <v>265718.80119952018</v>
      </c>
      <c r="G27" s="174">
        <f>G17*G24</f>
        <v>274750.99054668256</v>
      </c>
      <c r="H27" s="6"/>
      <c r="I27" s="6"/>
      <c r="J27" s="6"/>
    </row>
    <row r="28" spans="2:29" s="4" customFormat="1" ht="16" x14ac:dyDescent="0.15">
      <c r="B28" s="175" t="s">
        <v>65</v>
      </c>
      <c r="C28" s="173">
        <f>C26-C27</f>
        <v>1835377.7850000004</v>
      </c>
      <c r="D28" s="173">
        <f t="shared" ref="D28:G28" si="15">D26-D27</f>
        <v>1789383.8716303708</v>
      </c>
      <c r="E28" s="173">
        <f t="shared" si="15"/>
        <v>1646645.8922469961</v>
      </c>
      <c r="F28" s="173">
        <f t="shared" si="15"/>
        <v>1517207.800043599</v>
      </c>
      <c r="G28" s="174">
        <f t="shared" si="15"/>
        <v>1391794.1035871</v>
      </c>
      <c r="H28" s="12"/>
      <c r="I28" s="6"/>
      <c r="J28" s="6"/>
    </row>
    <row r="29" spans="2:29" s="4" customFormat="1" ht="16" x14ac:dyDescent="0.15">
      <c r="B29" s="172" t="s">
        <v>99</v>
      </c>
      <c r="C29" s="173">
        <v>500322</v>
      </c>
      <c r="D29" s="173">
        <f t="shared" ref="D29:G29" si="16">+C29</f>
        <v>500322</v>
      </c>
      <c r="E29" s="173">
        <f t="shared" si="16"/>
        <v>500322</v>
      </c>
      <c r="F29" s="173">
        <f t="shared" si="16"/>
        <v>500322</v>
      </c>
      <c r="G29" s="174">
        <f t="shared" si="16"/>
        <v>500322</v>
      </c>
      <c r="H29" s="6"/>
      <c r="I29" s="6"/>
      <c r="J29" s="6"/>
    </row>
    <row r="30" spans="2:29" s="4" customFormat="1" ht="16" x14ac:dyDescent="0.15">
      <c r="B30" s="175" t="s">
        <v>86</v>
      </c>
      <c r="C30" s="173">
        <f t="shared" ref="C30:G30" si="17">+C26-C29</f>
        <v>1481886.0078000005</v>
      </c>
      <c r="D30" s="173">
        <f t="shared" si="17"/>
        <v>1498764.2273487593</v>
      </c>
      <c r="E30" s="173">
        <f t="shared" si="17"/>
        <v>1391918.8088762949</v>
      </c>
      <c r="F30" s="173">
        <f t="shared" si="17"/>
        <v>1282604.6012431192</v>
      </c>
      <c r="G30" s="174">
        <f t="shared" si="17"/>
        <v>1166223.0941337827</v>
      </c>
      <c r="H30" s="12"/>
      <c r="I30" s="6"/>
      <c r="J30" s="6"/>
    </row>
    <row r="31" spans="2:29" s="4" customFormat="1" ht="16" x14ac:dyDescent="0.15">
      <c r="B31" s="172" t="s">
        <v>134</v>
      </c>
      <c r="C31" s="173">
        <f>IF(C30&lt;=0,0,C$18*C30)</f>
        <v>370471.50195000012</v>
      </c>
      <c r="D31" s="173">
        <f t="shared" ref="D31:G31" si="18">IF(D30&lt;=0,0,D$18*D30)</f>
        <v>374691.05683718983</v>
      </c>
      <c r="E31" s="173">
        <f t="shared" si="18"/>
        <v>347979.70221907372</v>
      </c>
      <c r="F31" s="173">
        <f t="shared" si="18"/>
        <v>320651.15031077981</v>
      </c>
      <c r="G31" s="174">
        <f t="shared" si="18"/>
        <v>291555.77353344567</v>
      </c>
      <c r="H31" s="12"/>
      <c r="I31" s="6"/>
      <c r="J31" s="6"/>
    </row>
    <row r="32" spans="2:29" s="4" customFormat="1" ht="17" thickBot="1" x14ac:dyDescent="0.2">
      <c r="B32" s="176" t="s">
        <v>87</v>
      </c>
      <c r="C32" s="177">
        <f t="shared" ref="C32:G32" si="19">C30-C31</f>
        <v>1111414.5058500003</v>
      </c>
      <c r="D32" s="177">
        <f t="shared" si="19"/>
        <v>1124073.1705115694</v>
      </c>
      <c r="E32" s="177">
        <f t="shared" si="19"/>
        <v>1043939.1066572212</v>
      </c>
      <c r="F32" s="177">
        <f t="shared" si="19"/>
        <v>961953.45093233942</v>
      </c>
      <c r="G32" s="178">
        <f t="shared" si="19"/>
        <v>874667.320600337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20">+C32</f>
        <v>1111414.5058500003</v>
      </c>
      <c r="D37" s="223">
        <f t="shared" si="20"/>
        <v>1124073.1705115694</v>
      </c>
      <c r="E37" s="235">
        <f t="shared" si="20"/>
        <v>1043939.1066572212</v>
      </c>
      <c r="F37" s="235">
        <f t="shared" si="20"/>
        <v>961953.45093233942</v>
      </c>
      <c r="G37" s="235">
        <f t="shared" si="20"/>
        <v>874667.320600337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21">+C29</f>
        <v>500322</v>
      </c>
      <c r="D38" s="224">
        <f t="shared" si="21"/>
        <v>500322</v>
      </c>
      <c r="E38" s="111">
        <f t="shared" si="21"/>
        <v>500322</v>
      </c>
      <c r="F38" s="111">
        <f t="shared" si="21"/>
        <v>500322</v>
      </c>
      <c r="G38" s="111">
        <f t="shared" si="21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22">+C37+C38</f>
        <v>1611736.5058500003</v>
      </c>
      <c r="D39" s="224">
        <f t="shared" si="22"/>
        <v>1624395.1705115694</v>
      </c>
      <c r="E39" s="111">
        <f t="shared" si="22"/>
        <v>1544261.1066572212</v>
      </c>
      <c r="F39" s="111">
        <f t="shared" si="22"/>
        <v>1462275.4509323393</v>
      </c>
      <c r="G39" s="111">
        <f t="shared" si="22"/>
        <v>1374989.3206003369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293660.44560000009</v>
      </c>
      <c r="D40" s="224">
        <f>+C40*(1+D19)</f>
        <v>301245.40225306619</v>
      </c>
      <c r="E40" s="111">
        <f>+D40*(1+E19)</f>
        <v>311278.71029772767</v>
      </c>
      <c r="F40" s="111">
        <f>+E40*(1+F19)</f>
        <v>322745.60266899684</v>
      </c>
      <c r="G40" s="111">
        <f>+F40*(1+G19)</f>
        <v>335173.37005419144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1318076.0602500001</v>
      </c>
      <c r="D41" s="295">
        <f t="shared" ref="D41:G41" si="23">D39-D40</f>
        <v>1323149.7682585032</v>
      </c>
      <c r="E41" s="295">
        <f t="shared" si="23"/>
        <v>1232982.3963594935</v>
      </c>
      <c r="F41" s="295">
        <f t="shared" si="23"/>
        <v>1139529.8482633424</v>
      </c>
      <c r="G41" s="295">
        <f t="shared" si="23"/>
        <v>1039815.9505461454</v>
      </c>
      <c r="H41" s="295">
        <f>G41*(1+C47)/(C46-C47)</f>
        <v>21212245.391141366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5207550.0154464804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43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43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43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43" x14ac:dyDescent="0.15">
      <c r="B68" s="183" t="s">
        <v>0</v>
      </c>
      <c r="C68" s="185">
        <f>C26</f>
        <v>1982208.0078000005</v>
      </c>
      <c r="D68" s="185">
        <f>D26</f>
        <v>1999086.2273487593</v>
      </c>
      <c r="E68" s="185">
        <f>E26</f>
        <v>1892240.8088762949</v>
      </c>
      <c r="F68" s="185">
        <f>F26</f>
        <v>1782926.6012431192</v>
      </c>
      <c r="G68" s="185">
        <f>G26</f>
        <v>1666545.0941337827</v>
      </c>
      <c r="H68" s="185"/>
      <c r="I68" s="182"/>
      <c r="J68" s="182"/>
    </row>
    <row r="69" spans="1:43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24">D69</f>
        <v>500322</v>
      </c>
      <c r="F69" s="184">
        <f t="shared" si="24"/>
        <v>500322</v>
      </c>
      <c r="G69" s="184">
        <f t="shared" si="24"/>
        <v>500322</v>
      </c>
      <c r="H69" s="184"/>
      <c r="I69" s="182"/>
      <c r="J69" s="182"/>
    </row>
    <row r="70" spans="1:43" x14ac:dyDescent="0.15">
      <c r="B70" s="183" t="s">
        <v>2</v>
      </c>
      <c r="C70" s="185">
        <f>C68-C69</f>
        <v>1481886.0078000005</v>
      </c>
      <c r="D70" s="185">
        <f t="shared" ref="D70:G70" si="25">D68-D69</f>
        <v>1498764.2273487593</v>
      </c>
      <c r="E70" s="185">
        <f t="shared" si="25"/>
        <v>1391918.8088762949</v>
      </c>
      <c r="F70" s="185">
        <f t="shared" si="25"/>
        <v>1282604.6012431192</v>
      </c>
      <c r="G70" s="185">
        <f t="shared" si="25"/>
        <v>1166223.0941337827</v>
      </c>
      <c r="H70" s="185"/>
      <c r="I70" s="182"/>
      <c r="J70" s="182"/>
    </row>
    <row r="71" spans="1:43" x14ac:dyDescent="0.15">
      <c r="B71" s="182" t="s">
        <v>3</v>
      </c>
      <c r="C71" s="184">
        <f>C70*0.25</f>
        <v>370471.50195000012</v>
      </c>
      <c r="D71" s="184">
        <f t="shared" ref="D71:G71" si="26">D70*0.25</f>
        <v>374691.05683718983</v>
      </c>
      <c r="E71" s="184">
        <f t="shared" si="26"/>
        <v>347979.70221907372</v>
      </c>
      <c r="F71" s="184">
        <f t="shared" si="26"/>
        <v>320651.15031077981</v>
      </c>
      <c r="G71" s="184">
        <f t="shared" si="26"/>
        <v>291555.77353344567</v>
      </c>
      <c r="H71" s="184"/>
      <c r="I71" s="182"/>
      <c r="J71" s="182"/>
    </row>
    <row r="72" spans="1:43" x14ac:dyDescent="0.15">
      <c r="B72" s="183" t="s">
        <v>4</v>
      </c>
      <c r="C72" s="185">
        <f>C70-C71</f>
        <v>1111414.5058500003</v>
      </c>
      <c r="D72" s="185">
        <f t="shared" ref="D72:G72" si="27">D70-D71</f>
        <v>1124073.1705115694</v>
      </c>
      <c r="E72" s="185">
        <f t="shared" si="27"/>
        <v>1043939.1066572212</v>
      </c>
      <c r="F72" s="185">
        <f t="shared" si="27"/>
        <v>961953.45093233942</v>
      </c>
      <c r="G72" s="185">
        <f t="shared" si="27"/>
        <v>874667.320600337</v>
      </c>
      <c r="H72" s="185"/>
      <c r="I72" s="182"/>
      <c r="J72" s="182"/>
    </row>
    <row r="73" spans="1:43" x14ac:dyDescent="0.15">
      <c r="B73" s="182" t="s">
        <v>1</v>
      </c>
      <c r="C73" s="184">
        <f>C69</f>
        <v>500322</v>
      </c>
      <c r="D73" s="184">
        <f t="shared" ref="D73:G73" si="28">D69</f>
        <v>500322</v>
      </c>
      <c r="E73" s="184">
        <f t="shared" si="28"/>
        <v>500322</v>
      </c>
      <c r="F73" s="184">
        <f t="shared" si="28"/>
        <v>500322</v>
      </c>
      <c r="G73" s="184">
        <f t="shared" si="28"/>
        <v>500322</v>
      </c>
      <c r="H73" s="184"/>
      <c r="I73" s="182"/>
      <c r="J73" s="182"/>
    </row>
    <row r="74" spans="1:43" x14ac:dyDescent="0.15">
      <c r="B74" s="183" t="s">
        <v>5</v>
      </c>
      <c r="C74" s="186">
        <f>C72+C73</f>
        <v>1611736.5058500003</v>
      </c>
      <c r="D74" s="186">
        <f t="shared" ref="D74:G74" si="29">D72+D73</f>
        <v>1624395.1705115694</v>
      </c>
      <c r="E74" s="186">
        <f t="shared" si="29"/>
        <v>1544261.1066572212</v>
      </c>
      <c r="F74" s="186">
        <f t="shared" si="29"/>
        <v>1462275.4509323393</v>
      </c>
      <c r="G74" s="186">
        <f t="shared" si="29"/>
        <v>1374989.3206003369</v>
      </c>
      <c r="H74" s="186"/>
      <c r="I74" s="182"/>
      <c r="J74" s="182"/>
    </row>
    <row r="75" spans="1:43" x14ac:dyDescent="0.15">
      <c r="B75" s="182" t="s">
        <v>7</v>
      </c>
      <c r="C75" s="187">
        <f>C40</f>
        <v>293660.44560000009</v>
      </c>
      <c r="D75" s="187">
        <f>D40</f>
        <v>301245.40225306619</v>
      </c>
      <c r="E75" s="187">
        <f>E40</f>
        <v>311278.71029772767</v>
      </c>
      <c r="F75" s="187">
        <f>F40</f>
        <v>322745.60266899684</v>
      </c>
      <c r="G75" s="187">
        <f>G40</f>
        <v>335173.37005419144</v>
      </c>
      <c r="H75" s="187"/>
      <c r="I75" s="182"/>
      <c r="J75" s="182"/>
    </row>
    <row r="76" spans="1:43" x14ac:dyDescent="0.15">
      <c r="B76" s="183" t="s">
        <v>6</v>
      </c>
      <c r="C76" s="186">
        <f>C74-C75</f>
        <v>1318076.0602500001</v>
      </c>
      <c r="D76" s="186">
        <f t="shared" ref="D76:G76" si="30">D74-D75</f>
        <v>1323149.7682585032</v>
      </c>
      <c r="E76" s="186">
        <f t="shared" si="30"/>
        <v>1232982.3963594935</v>
      </c>
      <c r="F76" s="186">
        <f t="shared" si="30"/>
        <v>1139529.8482633424</v>
      </c>
      <c r="G76" s="186">
        <f t="shared" si="30"/>
        <v>1039815.9505461454</v>
      </c>
      <c r="H76" s="186"/>
      <c r="I76" s="182"/>
      <c r="J76" s="182"/>
    </row>
    <row r="77" spans="1:43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43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43" s="194" customFormat="1" x14ac:dyDescent="0.15">
      <c r="A79" s="193"/>
      <c r="B79" s="183" t="s">
        <v>10</v>
      </c>
      <c r="C79" s="191">
        <f>C76</f>
        <v>1318076.0602500001</v>
      </c>
      <c r="D79" s="191">
        <f>D76</f>
        <v>1323149.7682585032</v>
      </c>
      <c r="E79" s="191">
        <f>E76</f>
        <v>1232982.3963594935</v>
      </c>
      <c r="F79" s="191">
        <f>F76</f>
        <v>1139529.8482633424</v>
      </c>
      <c r="G79" s="191">
        <f>G76</f>
        <v>1039815.9505461454</v>
      </c>
      <c r="H79" s="191"/>
      <c r="I79" s="192">
        <f>G79*(1+C83)/(C114-C113)</f>
        <v>6240336.062300846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</row>
    <row r="80" spans="1:43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4" x14ac:dyDescent="0.15">
      <c r="B81" s="182" t="s">
        <v>37</v>
      </c>
      <c r="C81" s="195">
        <f>C79</f>
        <v>1318076.0602500001</v>
      </c>
      <c r="D81" s="195">
        <f t="shared" ref="D81:G81" si="31">D79</f>
        <v>1323149.7682585032</v>
      </c>
      <c r="E81" s="195">
        <f t="shared" si="31"/>
        <v>1232982.3963594935</v>
      </c>
      <c r="F81" s="195">
        <f t="shared" si="31"/>
        <v>1139529.8482633424</v>
      </c>
      <c r="G81" s="195">
        <f t="shared" si="31"/>
        <v>1039815.9505461454</v>
      </c>
      <c r="H81" s="195"/>
      <c r="I81" s="197"/>
      <c r="J81" s="197"/>
    </row>
    <row r="82" spans="2:14" x14ac:dyDescent="0.15">
      <c r="B82" s="182" t="s">
        <v>38</v>
      </c>
      <c r="C82" s="198"/>
      <c r="D82" s="197">
        <f>(D81/C81)-1</f>
        <v>3.849328700758603E-3</v>
      </c>
      <c r="E82" s="197">
        <f t="shared" ref="E82:G82" si="32">(E81/D81)-1</f>
        <v>-6.8146005888423122E-2</v>
      </c>
      <c r="F82" s="197">
        <f t="shared" si="32"/>
        <v>-7.5793902956018955E-2</v>
      </c>
      <c r="G82" s="197">
        <f t="shared" si="32"/>
        <v>-8.7504419361337682E-2</v>
      </c>
      <c r="H82" s="197"/>
      <c r="I82" s="197"/>
      <c r="J82" s="197"/>
    </row>
    <row r="83" spans="2:14" x14ac:dyDescent="0.15">
      <c r="B83" s="183" t="s">
        <v>39</v>
      </c>
      <c r="C83" s="199">
        <f>AVERAGE(D82:G82)</f>
        <v>-5.6898749876255289E-2</v>
      </c>
      <c r="D83" s="195"/>
      <c r="E83" s="195"/>
      <c r="F83" s="195"/>
      <c r="G83" s="195"/>
      <c r="H83" s="195"/>
      <c r="I83" s="197"/>
      <c r="J83" s="197"/>
    </row>
    <row r="84" spans="2:14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4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4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  <c r="N86" s="200"/>
    </row>
    <row r="87" spans="2:14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  <c r="N87" s="200"/>
    </row>
    <row r="88" spans="2:14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  <c r="N88" s="200"/>
    </row>
    <row r="89" spans="2:14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  <c r="N89" s="200"/>
    </row>
    <row r="90" spans="2:14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  <c r="N90" s="200"/>
    </row>
    <row r="91" spans="2:14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  <c r="N91" s="200"/>
    </row>
    <row r="92" spans="2:14" x14ac:dyDescent="0.15">
      <c r="B92" s="183" t="s">
        <v>44</v>
      </c>
      <c r="C92" s="199">
        <v>0.25965169999999999</v>
      </c>
      <c r="D92" s="195"/>
      <c r="E92" s="195"/>
      <c r="F92" s="202">
        <f>K121</f>
        <v>0.41498158976489857</v>
      </c>
      <c r="G92" s="195" t="s">
        <v>55</v>
      </c>
      <c r="H92" s="195"/>
      <c r="I92" s="195"/>
      <c r="J92" s="195"/>
      <c r="K92" s="203"/>
      <c r="L92" s="200"/>
      <c r="M92" s="200"/>
      <c r="N92" s="200"/>
    </row>
    <row r="93" spans="2:14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0.58501841023510148</v>
      </c>
      <c r="G93" s="195" t="s">
        <v>57</v>
      </c>
      <c r="H93" s="195"/>
      <c r="I93" s="195"/>
      <c r="J93" s="195"/>
      <c r="K93" s="200"/>
      <c r="L93" s="200"/>
      <c r="M93" s="200"/>
      <c r="N93" s="200"/>
    </row>
    <row r="94" spans="2:14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  <c r="N94" s="200"/>
    </row>
    <row r="95" spans="2:14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  <c r="N95" s="200"/>
    </row>
    <row r="96" spans="2:14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  <c r="N96" s="200"/>
    </row>
    <row r="97" spans="2:14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  <c r="N97" s="200"/>
    </row>
    <row r="98" spans="2:14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  <c r="N98" s="200"/>
    </row>
    <row r="99" spans="2:14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  <c r="N99" s="200"/>
    </row>
    <row r="100" spans="2:14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  <c r="N100" s="200"/>
    </row>
    <row r="101" spans="2:14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  <c r="N101" s="200"/>
    </row>
    <row r="102" spans="2:14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  <c r="N102" s="200"/>
    </row>
    <row r="103" spans="2:14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  <c r="N103" s="200"/>
    </row>
    <row r="104" spans="2:14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  <c r="N104" s="200"/>
    </row>
    <row r="105" spans="2:14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  <c r="N105" s="200"/>
    </row>
    <row r="106" spans="2:14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  <c r="N106" s="200"/>
    </row>
    <row r="107" spans="2:14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  <c r="N107" s="200"/>
    </row>
    <row r="108" spans="2:14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  <c r="N108" s="200"/>
    </row>
    <row r="109" spans="2:14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  <c r="N109" s="200"/>
    </row>
    <row r="110" spans="2:14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  <c r="N110" s="200"/>
    </row>
    <row r="111" spans="2:14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  <c r="N111" s="200"/>
    </row>
    <row r="112" spans="2:14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  <c r="N112" s="200"/>
    </row>
    <row r="113" spans="2:12" x14ac:dyDescent="0.15">
      <c r="B113" s="182" t="s">
        <v>9</v>
      </c>
      <c r="C113" s="206">
        <f>C83</f>
        <v>-5.6898749876255289E-2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9362717.7200520672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9431905.7200520672</v>
      </c>
      <c r="D119" s="182"/>
      <c r="E119" s="183" t="s">
        <v>28</v>
      </c>
      <c r="F119" s="192">
        <f>F135-F126-F121</f>
        <v>6520244.7200520672</v>
      </c>
      <c r="G119" s="195">
        <f>C135-F135</f>
        <v>0</v>
      </c>
      <c r="H119" s="195"/>
      <c r="I119" s="182"/>
      <c r="J119" s="182"/>
      <c r="K119" s="209">
        <f>F119/F135</f>
        <v>0.58501841023510148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0.41498158976489857</v>
      </c>
      <c r="L121" s="180" t="s">
        <v>55</v>
      </c>
    </row>
    <row r="122" spans="2:12" x14ac:dyDescent="0.15">
      <c r="B122" s="182" t="s">
        <v>15</v>
      </c>
      <c r="C122" s="196">
        <f>C115</f>
        <v>9362717.7200520672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11145366.720052067</v>
      </c>
      <c r="D135" s="182"/>
      <c r="E135" s="183" t="s">
        <v>30</v>
      </c>
      <c r="F135" s="191">
        <f>C135</f>
        <v>11145366.720052067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18681605.720052067</v>
      </c>
      <c r="D154" s="182"/>
      <c r="E154" s="183" t="s">
        <v>28</v>
      </c>
      <c r="F154" s="191">
        <f>F119+F141</f>
        <v>9450944.7200520672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20557066.720052067</v>
      </c>
      <c r="D160" s="183"/>
      <c r="E160" s="183" t="s">
        <v>36</v>
      </c>
      <c r="F160" s="191">
        <f>F150+F135</f>
        <v>20557066.720052067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B5D-DCCC-5243-8416-1A0C46F54362}">
  <dimension ref="A2:AY164"/>
  <sheetViews>
    <sheetView topLeftCell="A26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3" width="9.83203125" style="180" customWidth="1"/>
    <col min="14" max="15" width="7.5" style="180" customWidth="1"/>
    <col min="16" max="16" width="9.83203125" style="180" bestFit="1" customWidth="1"/>
    <col min="17" max="19" width="9.83203125" style="180" customWidth="1"/>
    <col min="20" max="21" width="7.5" style="180" customWidth="1"/>
    <col min="22" max="22" width="9.83203125" style="180" bestFit="1" customWidth="1"/>
    <col min="23" max="25" width="9.83203125" style="180" customWidth="1"/>
    <col min="26" max="27" width="7.5" style="180" customWidth="1"/>
    <col min="28" max="28" width="9.83203125" style="180" bestFit="1" customWidth="1"/>
    <col min="29" max="31" width="9.83203125" style="180" customWidth="1"/>
    <col min="32" max="33" width="7.5" style="180" customWidth="1"/>
    <col min="34" max="34" width="9.83203125" style="180" bestFit="1" customWidth="1"/>
    <col min="35" max="37" width="9.83203125" style="180" customWidth="1"/>
    <col min="38" max="16384" width="11.5" style="180"/>
  </cols>
  <sheetData>
    <row r="2" spans="2:43" s="4" customFormat="1" ht="16" x14ac:dyDescent="0.2">
      <c r="B2" s="276" t="s">
        <v>129</v>
      </c>
      <c r="I2" s="276" t="s">
        <v>130</v>
      </c>
    </row>
    <row r="3" spans="2:43" s="5" customFormat="1" thickBot="1" x14ac:dyDescent="0.2"/>
    <row r="4" spans="2:43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39"/>
      <c r="M4" s="340"/>
      <c r="N4" s="341" t="s">
        <v>81</v>
      </c>
      <c r="O4" s="342"/>
      <c r="P4" s="342"/>
      <c r="Q4" s="342"/>
      <c r="R4" s="342"/>
      <c r="S4" s="343"/>
      <c r="T4" s="344" t="s">
        <v>82</v>
      </c>
      <c r="U4" s="345"/>
      <c r="V4" s="345"/>
      <c r="W4" s="345"/>
      <c r="X4" s="345"/>
      <c r="Y4" s="346"/>
      <c r="Z4" s="347" t="s">
        <v>83</v>
      </c>
      <c r="AA4" s="348"/>
      <c r="AB4" s="348"/>
      <c r="AC4" s="348"/>
      <c r="AD4" s="348"/>
      <c r="AE4" s="349"/>
      <c r="AF4" s="350" t="s">
        <v>108</v>
      </c>
      <c r="AG4" s="351"/>
      <c r="AH4" s="351"/>
      <c r="AI4" s="351"/>
      <c r="AJ4" s="351"/>
      <c r="AK4" s="352"/>
      <c r="AM4" s="125"/>
      <c r="AN4" s="125"/>
      <c r="AO4" s="125"/>
      <c r="AP4" s="125"/>
      <c r="AQ4" s="125"/>
    </row>
    <row r="5" spans="2:43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140</v>
      </c>
      <c r="M5" s="130" t="s">
        <v>89</v>
      </c>
      <c r="N5" s="130" t="s">
        <v>119</v>
      </c>
      <c r="O5" s="131" t="s">
        <v>127</v>
      </c>
      <c r="P5" s="132" t="s">
        <v>140</v>
      </c>
      <c r="Q5" s="130" t="s">
        <v>150</v>
      </c>
      <c r="R5" s="130" t="s">
        <v>90</v>
      </c>
      <c r="S5" s="130" t="s">
        <v>89</v>
      </c>
      <c r="T5" s="130" t="s">
        <v>119</v>
      </c>
      <c r="U5" s="131" t="s">
        <v>127</v>
      </c>
      <c r="V5" s="132" t="s">
        <v>140</v>
      </c>
      <c r="W5" s="130" t="s">
        <v>150</v>
      </c>
      <c r="X5" s="130" t="s">
        <v>90</v>
      </c>
      <c r="Y5" s="130" t="s">
        <v>89</v>
      </c>
      <c r="Z5" s="130" t="s">
        <v>119</v>
      </c>
      <c r="AA5" s="131" t="s">
        <v>127</v>
      </c>
      <c r="AB5" s="132" t="s">
        <v>140</v>
      </c>
      <c r="AC5" s="130" t="s">
        <v>150</v>
      </c>
      <c r="AD5" s="130" t="s">
        <v>90</v>
      </c>
      <c r="AE5" s="130" t="s">
        <v>89</v>
      </c>
      <c r="AF5" s="130" t="s">
        <v>119</v>
      </c>
      <c r="AG5" s="131" t="s">
        <v>127</v>
      </c>
      <c r="AH5" s="132" t="s">
        <v>140</v>
      </c>
      <c r="AI5" s="130" t="s">
        <v>150</v>
      </c>
      <c r="AJ5" s="130" t="s">
        <v>90</v>
      </c>
      <c r="AK5" s="132" t="s">
        <v>89</v>
      </c>
    </row>
    <row r="6" spans="2:43" s="4" customFormat="1" ht="16" x14ac:dyDescent="0.2">
      <c r="B6" s="133" t="s">
        <v>70</v>
      </c>
      <c r="C6" s="134">
        <f>M6</f>
        <v>3.1</v>
      </c>
      <c r="D6" s="134">
        <f>S6</f>
        <v>3.0810291970802917</v>
      </c>
      <c r="E6" s="134">
        <f>Y6</f>
        <v>2.9550000000000001</v>
      </c>
      <c r="F6" s="134">
        <f>AE6</f>
        <v>2.8966666666666665</v>
      </c>
      <c r="G6" s="134">
        <f>AK6</f>
        <v>2.8650000000000002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118">
        <v>1</v>
      </c>
      <c r="M6" s="304">
        <f>K6*L6+(1-L6)*J6</f>
        <v>3.1</v>
      </c>
      <c r="N6" s="242">
        <f>Variables!F9</f>
        <v>2.7949999999999999</v>
      </c>
      <c r="O6" s="242">
        <f>Variables!G9</f>
        <v>3.11</v>
      </c>
      <c r="P6" s="30">
        <f>1/(O$13-1)</f>
        <v>1</v>
      </c>
      <c r="Q6" s="30">
        <f>1/(ABS(N6-O6)/O6+1)</f>
        <v>0.90802919708029195</v>
      </c>
      <c r="R6" s="30">
        <f>MIN(P6:Q6)</f>
        <v>0.90802919708029195</v>
      </c>
      <c r="S6" s="304">
        <f>O6*R6+(1-R6)*N6</f>
        <v>3.0810291970802917</v>
      </c>
      <c r="T6" s="242">
        <f>Variables!I9</f>
        <v>2.79</v>
      </c>
      <c r="U6" s="242">
        <f>Variables!J9</f>
        <v>3.12</v>
      </c>
      <c r="V6" s="30">
        <f>1/(U$13-1)</f>
        <v>0.5</v>
      </c>
      <c r="W6" s="30">
        <f>1/(ABS(T6-U6)/U6+1)</f>
        <v>0.90434782608695652</v>
      </c>
      <c r="X6" s="30">
        <f>MIN(V6:W6)</f>
        <v>0.5</v>
      </c>
      <c r="Y6" s="304">
        <f>U6*X6+(1-X6)*T6</f>
        <v>2.9550000000000001</v>
      </c>
      <c r="Z6" s="242">
        <f>Variables!L9</f>
        <v>2.78</v>
      </c>
      <c r="AA6" s="242">
        <f>Variables!M9</f>
        <v>3.13</v>
      </c>
      <c r="AB6" s="30">
        <f>1/(AA$13-1)</f>
        <v>0.33333333333333331</v>
      </c>
      <c r="AC6" s="30">
        <f>1/(ABS(Z6-AA6)/AA6+1)</f>
        <v>0.89942528735632188</v>
      </c>
      <c r="AD6" s="30">
        <f>MIN(AB6:AC6)</f>
        <v>0.33333333333333331</v>
      </c>
      <c r="AE6" s="304">
        <f>AA6*AD6+(1-AD6)*Z6</f>
        <v>2.8966666666666665</v>
      </c>
      <c r="AF6" s="242">
        <f>Variables!O9</f>
        <v>2.77</v>
      </c>
      <c r="AG6" s="242">
        <f>Variables!P9</f>
        <v>3.15</v>
      </c>
      <c r="AH6" s="30">
        <f>1/(AG$13-1)</f>
        <v>0.25</v>
      </c>
      <c r="AI6" s="30">
        <f>1/(ABS(AF6-AG6)/AG6+1)</f>
        <v>0.8923512747875354</v>
      </c>
      <c r="AJ6" s="30">
        <f>MIN(AH6:AI6)</f>
        <v>0.25</v>
      </c>
      <c r="AK6" s="304">
        <f>AG6*AJ6+(1-AJ6)*AF6</f>
        <v>2.8650000000000002</v>
      </c>
    </row>
    <row r="7" spans="2:43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118">
        <v>1</v>
      </c>
      <c r="M7" s="304">
        <f t="shared" ref="M7:M11" si="2">K7*L7+(1-L7)*J7</f>
        <v>0.81</v>
      </c>
      <c r="N7" s="243">
        <f>Variables!F11</f>
        <v>0.77</v>
      </c>
      <c r="O7" s="243">
        <f>Variables!G11</f>
        <v>0.82</v>
      </c>
      <c r="P7" s="30">
        <f t="shared" ref="P7:P11" si="3">1/(O$13-1)</f>
        <v>1</v>
      </c>
      <c r="Q7" s="30">
        <f t="shared" ref="Q7:Q11" si="4">1/(ABS(N7-O7)/O7+1)</f>
        <v>0.94252873563218409</v>
      </c>
      <c r="R7" s="30">
        <f t="shared" ref="R7:R11" si="5">MIN(P7:Q7)</f>
        <v>0.94252873563218409</v>
      </c>
      <c r="S7" s="304">
        <f t="shared" ref="S7:S11" si="6">O7*R7+(1-R7)*N7</f>
        <v>0.81712643678160923</v>
      </c>
      <c r="T7" s="243">
        <f>Variables!I11</f>
        <v>0.76500000000000001</v>
      </c>
      <c r="U7" s="243">
        <f>Variables!J11</f>
        <v>0.82499999999999996</v>
      </c>
      <c r="V7" s="30">
        <f t="shared" ref="V7:V11" si="7">1/(U$13-1)</f>
        <v>0.5</v>
      </c>
      <c r="W7" s="30">
        <f t="shared" ref="W7:W11" si="8">1/(ABS(T7-U7)/U7+1)</f>
        <v>0.93220338983050843</v>
      </c>
      <c r="X7" s="30">
        <f t="shared" ref="X7:X11" si="9">MIN(V7:W7)</f>
        <v>0.5</v>
      </c>
      <c r="Y7" s="304">
        <f t="shared" ref="Y7:Y11" si="10">U7*X7+(1-X7)*T7</f>
        <v>0.79499999999999993</v>
      </c>
      <c r="Z7" s="243">
        <f>Variables!L11</f>
        <v>0.76</v>
      </c>
      <c r="AA7" s="243">
        <f>Variables!M11</f>
        <v>0.83</v>
      </c>
      <c r="AB7" s="30">
        <f t="shared" ref="AB7:AB11" si="11">1/(AA$13-1)</f>
        <v>0.33333333333333331</v>
      </c>
      <c r="AC7" s="30">
        <f t="shared" ref="AC7:AC11" si="12">1/(ABS(Z7-AA7)/AA7+1)</f>
        <v>0.92222222222222228</v>
      </c>
      <c r="AD7" s="30">
        <f t="shared" ref="AD7:AD11" si="13">MIN(AB7:AC7)</f>
        <v>0.33333333333333331</v>
      </c>
      <c r="AE7" s="304">
        <f t="shared" ref="AE7:AE11" si="14">AA7*AD7+(1-AD7)*Z7</f>
        <v>0.78333333333333333</v>
      </c>
      <c r="AF7" s="243">
        <f>Variables!O11</f>
        <v>0.75</v>
      </c>
      <c r="AG7" s="243">
        <f>Variables!P11</f>
        <v>0.83499999999999996</v>
      </c>
      <c r="AH7" s="30">
        <f t="shared" ref="AH7:AH11" si="15">1/(AG$13-1)</f>
        <v>0.25</v>
      </c>
      <c r="AI7" s="30">
        <f t="shared" ref="AI7:AI11" si="16">1/(ABS(AF7-AG7)/AG7+1)</f>
        <v>0.90760869565217395</v>
      </c>
      <c r="AJ7" s="30">
        <f t="shared" ref="AJ7:AJ11" si="17">MIN(AH7:AI7)</f>
        <v>0.25</v>
      </c>
      <c r="AK7" s="304">
        <f t="shared" ref="AK7:AK11" si="18">AG7*AJ7+(1-AJ7)*AF7</f>
        <v>0.77124999999999999</v>
      </c>
    </row>
    <row r="8" spans="2:43" s="4" customFormat="1" ht="18" thickBot="1" x14ac:dyDescent="0.2">
      <c r="B8" s="140" t="s">
        <v>72</v>
      </c>
      <c r="C8" s="141">
        <f>M7</f>
        <v>0.81</v>
      </c>
      <c r="D8" s="141">
        <f>S7</f>
        <v>0.81712643678160923</v>
      </c>
      <c r="E8" s="141">
        <f>Y7</f>
        <v>0.79499999999999993</v>
      </c>
      <c r="F8" s="141">
        <f>AE7</f>
        <v>0.78333333333333333</v>
      </c>
      <c r="G8" s="142">
        <f>AK7</f>
        <v>0.77124999999999999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118">
        <v>1</v>
      </c>
      <c r="M8" s="304">
        <f t="shared" si="2"/>
        <v>37</v>
      </c>
      <c r="N8" s="242">
        <f>Variables!F15</f>
        <v>36</v>
      </c>
      <c r="O8" s="242">
        <f>Variables!G15</f>
        <v>38</v>
      </c>
      <c r="P8" s="30">
        <f t="shared" si="3"/>
        <v>1</v>
      </c>
      <c r="Q8" s="30">
        <f t="shared" si="4"/>
        <v>0.95000000000000007</v>
      </c>
      <c r="R8" s="30">
        <f t="shared" si="5"/>
        <v>0.95000000000000007</v>
      </c>
      <c r="S8" s="304">
        <f t="shared" si="6"/>
        <v>37.9</v>
      </c>
      <c r="T8" s="242">
        <f>Variables!I15</f>
        <v>36.25</v>
      </c>
      <c r="U8" s="242">
        <f>Variables!J15</f>
        <v>38.5</v>
      </c>
      <c r="V8" s="30">
        <f t="shared" si="7"/>
        <v>0.5</v>
      </c>
      <c r="W8" s="30">
        <f t="shared" si="8"/>
        <v>0.94478527607361962</v>
      </c>
      <c r="X8" s="30">
        <f t="shared" si="9"/>
        <v>0.5</v>
      </c>
      <c r="Y8" s="304">
        <f t="shared" si="10"/>
        <v>37.375</v>
      </c>
      <c r="Z8" s="242">
        <f>Variables!L15</f>
        <v>36.5</v>
      </c>
      <c r="AA8" s="242">
        <f>Variables!M15</f>
        <v>39</v>
      </c>
      <c r="AB8" s="30">
        <f t="shared" si="11"/>
        <v>0.33333333333333331</v>
      </c>
      <c r="AC8" s="30">
        <f t="shared" si="12"/>
        <v>0.93975903614457834</v>
      </c>
      <c r="AD8" s="30">
        <f t="shared" si="13"/>
        <v>0.33333333333333331</v>
      </c>
      <c r="AE8" s="304">
        <f t="shared" si="14"/>
        <v>37.333333333333336</v>
      </c>
      <c r="AF8" s="242">
        <f>Variables!O15</f>
        <v>36.75</v>
      </c>
      <c r="AG8" s="242">
        <f>Variables!P15</f>
        <v>39.5</v>
      </c>
      <c r="AH8" s="30">
        <f t="shared" si="15"/>
        <v>0.25</v>
      </c>
      <c r="AI8" s="30">
        <f t="shared" si="16"/>
        <v>0.93491124260355041</v>
      </c>
      <c r="AJ8" s="30">
        <f t="shared" si="17"/>
        <v>0.25</v>
      </c>
      <c r="AK8" s="304">
        <f t="shared" si="18"/>
        <v>37.4375</v>
      </c>
    </row>
    <row r="9" spans="2:43" s="4" customFormat="1" ht="17" thickBot="1" x14ac:dyDescent="0.25">
      <c r="B9" s="266" t="s">
        <v>73</v>
      </c>
      <c r="C9" s="145">
        <f>+C5*C7*C8</f>
        <v>64006.200000000004</v>
      </c>
      <c r="D9" s="145">
        <f>+D5*D7*D8</f>
        <v>64569.331034482762</v>
      </c>
      <c r="E9" s="145">
        <f>+E5*E7*E8</f>
        <v>62820.899999999994</v>
      </c>
      <c r="F9" s="145">
        <f>+F5*F7*F8</f>
        <v>61899</v>
      </c>
      <c r="G9" s="146">
        <f>+G5*G7*G8</f>
        <v>60944.175000000003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118">
        <v>1</v>
      </c>
      <c r="M9" s="304">
        <f t="shared" si="2"/>
        <v>0.27</v>
      </c>
      <c r="N9" s="243">
        <f>Variables!F24</f>
        <v>0.22</v>
      </c>
      <c r="O9" s="243">
        <f>Variables!G24</f>
        <v>0.28000000000000003</v>
      </c>
      <c r="P9" s="30">
        <f t="shared" si="3"/>
        <v>1</v>
      </c>
      <c r="Q9" s="30">
        <f t="shared" si="4"/>
        <v>0.82352941176470584</v>
      </c>
      <c r="R9" s="30">
        <f t="shared" si="5"/>
        <v>0.82352941176470584</v>
      </c>
      <c r="S9" s="304">
        <f t="shared" si="6"/>
        <v>0.26941176470588235</v>
      </c>
      <c r="T9" s="243">
        <f>Variables!I24</f>
        <v>0.215</v>
      </c>
      <c r="U9" s="243">
        <f>Variables!J24</f>
        <v>0.28499999999999998</v>
      </c>
      <c r="V9" s="30">
        <f t="shared" si="7"/>
        <v>0.5</v>
      </c>
      <c r="W9" s="30">
        <f t="shared" si="8"/>
        <v>0.80281690140845074</v>
      </c>
      <c r="X9" s="30">
        <f t="shared" si="9"/>
        <v>0.5</v>
      </c>
      <c r="Y9" s="304">
        <f t="shared" si="10"/>
        <v>0.25</v>
      </c>
      <c r="Z9" s="243">
        <f>Variables!L24</f>
        <v>0.21249999999999999</v>
      </c>
      <c r="AA9" s="243">
        <f>Variables!M24</f>
        <v>0.28999999999999998</v>
      </c>
      <c r="AB9" s="30">
        <f t="shared" si="11"/>
        <v>0.33333333333333331</v>
      </c>
      <c r="AC9" s="30">
        <f t="shared" si="12"/>
        <v>0.7891156462585035</v>
      </c>
      <c r="AD9" s="30">
        <f t="shared" si="13"/>
        <v>0.33333333333333331</v>
      </c>
      <c r="AE9" s="304">
        <f t="shared" si="14"/>
        <v>0.23833333333333334</v>
      </c>
      <c r="AF9" s="243">
        <f>Variables!O24</f>
        <v>0.21</v>
      </c>
      <c r="AG9" s="243">
        <f>Variables!P24</f>
        <v>0.3</v>
      </c>
      <c r="AH9" s="30">
        <f t="shared" si="15"/>
        <v>0.25</v>
      </c>
      <c r="AI9" s="30">
        <f t="shared" si="16"/>
        <v>0.76923076923076916</v>
      </c>
      <c r="AJ9" s="30">
        <f t="shared" si="17"/>
        <v>0.25</v>
      </c>
      <c r="AK9" s="304">
        <f t="shared" si="18"/>
        <v>0.23249999999999998</v>
      </c>
    </row>
    <row r="10" spans="2:43" s="4" customFormat="1" ht="34" x14ac:dyDescent="0.15">
      <c r="B10" s="265" t="s">
        <v>74</v>
      </c>
      <c r="C10" s="145">
        <f>+C5*C6*C7*C8</f>
        <v>198419.22000000003</v>
      </c>
      <c r="D10" s="145">
        <f>+D5*D6*D7*D8</f>
        <v>198939.994153184</v>
      </c>
      <c r="E10" s="145">
        <f>+E5*E6*E7*E8</f>
        <v>185635.75950000001</v>
      </c>
      <c r="F10" s="145">
        <f>+F5*F6*F7*F8</f>
        <v>179300.77</v>
      </c>
      <c r="G10" s="146">
        <f>+G5*G6*G7*G8</f>
        <v>174605.06137500002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118">
        <v>1</v>
      </c>
      <c r="M10" s="304">
        <f t="shared" si="2"/>
        <v>0.02</v>
      </c>
      <c r="N10" s="243">
        <f>Variables!F26</f>
        <v>0.04</v>
      </c>
      <c r="O10" s="243">
        <f>Variables!G26</f>
        <v>0.02</v>
      </c>
      <c r="P10" s="30">
        <f t="shared" si="3"/>
        <v>1</v>
      </c>
      <c r="Q10" s="30">
        <f t="shared" si="4"/>
        <v>0.5</v>
      </c>
      <c r="R10" s="30">
        <f t="shared" si="5"/>
        <v>0.5</v>
      </c>
      <c r="S10" s="304">
        <f t="shared" si="6"/>
        <v>0.03</v>
      </c>
      <c r="T10" s="243">
        <f>Variables!I26</f>
        <v>0.04</v>
      </c>
      <c r="U10" s="243">
        <f>Variables!J26</f>
        <v>0.02</v>
      </c>
      <c r="V10" s="30">
        <f t="shared" si="7"/>
        <v>0.5</v>
      </c>
      <c r="W10" s="30">
        <f t="shared" si="8"/>
        <v>0.5</v>
      </c>
      <c r="X10" s="30">
        <f t="shared" si="9"/>
        <v>0.5</v>
      </c>
      <c r="Y10" s="304">
        <f t="shared" si="10"/>
        <v>0.03</v>
      </c>
      <c r="Z10" s="243">
        <f>Variables!L26</f>
        <v>0.04</v>
      </c>
      <c r="AA10" s="243">
        <f>Variables!M26</f>
        <v>0.02</v>
      </c>
      <c r="AB10" s="30">
        <f t="shared" si="11"/>
        <v>0.33333333333333331</v>
      </c>
      <c r="AC10" s="30">
        <f t="shared" si="12"/>
        <v>0.5</v>
      </c>
      <c r="AD10" s="30">
        <f t="shared" si="13"/>
        <v>0.33333333333333331</v>
      </c>
      <c r="AE10" s="304">
        <f t="shared" si="14"/>
        <v>3.333333333333334E-2</v>
      </c>
      <c r="AF10" s="243">
        <f>Variables!O26</f>
        <v>0.04</v>
      </c>
      <c r="AG10" s="243">
        <f>Variables!P26</f>
        <v>0.02</v>
      </c>
      <c r="AH10" s="30">
        <f t="shared" si="15"/>
        <v>0.25</v>
      </c>
      <c r="AI10" s="30">
        <f t="shared" si="16"/>
        <v>0.5</v>
      </c>
      <c r="AJ10" s="30">
        <f t="shared" si="17"/>
        <v>0.25</v>
      </c>
      <c r="AK10" s="304">
        <f t="shared" si="18"/>
        <v>3.4999999999999996E-2</v>
      </c>
    </row>
    <row r="11" spans="2:43" s="4" customFormat="1" ht="18" thickBot="1" x14ac:dyDescent="0.25">
      <c r="B11" s="133" t="s">
        <v>75</v>
      </c>
      <c r="C11" s="148">
        <f>M8</f>
        <v>37</v>
      </c>
      <c r="D11" s="148">
        <f>S8</f>
        <v>37.9</v>
      </c>
      <c r="E11" s="148">
        <f>Y8</f>
        <v>37.375</v>
      </c>
      <c r="F11" s="148">
        <f>AE8</f>
        <v>37.333333333333336</v>
      </c>
      <c r="G11" s="149">
        <f>AK8</f>
        <v>37.4375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305">
        <v>1</v>
      </c>
      <c r="M11" s="306">
        <f t="shared" si="2"/>
        <v>0.01</v>
      </c>
      <c r="N11" s="244">
        <f>Variables!F29</f>
        <v>0.04</v>
      </c>
      <c r="O11" s="244">
        <f>Variables!G29</f>
        <v>0.01</v>
      </c>
      <c r="P11" s="226">
        <f t="shared" si="3"/>
        <v>1</v>
      </c>
      <c r="Q11" s="226">
        <f t="shared" si="4"/>
        <v>0.25</v>
      </c>
      <c r="R11" s="226">
        <f t="shared" si="5"/>
        <v>0.25</v>
      </c>
      <c r="S11" s="306">
        <f t="shared" si="6"/>
        <v>3.2500000000000001E-2</v>
      </c>
      <c r="T11" s="244">
        <f>Variables!I29</f>
        <v>0.04</v>
      </c>
      <c r="U11" s="244">
        <f>Variables!J29</f>
        <v>0.01</v>
      </c>
      <c r="V11" s="226">
        <f t="shared" si="7"/>
        <v>0.5</v>
      </c>
      <c r="W11" s="226">
        <f t="shared" si="8"/>
        <v>0.25</v>
      </c>
      <c r="X11" s="226">
        <f t="shared" si="9"/>
        <v>0.25</v>
      </c>
      <c r="Y11" s="306">
        <f t="shared" si="10"/>
        <v>3.2500000000000001E-2</v>
      </c>
      <c r="Z11" s="244">
        <f>Variables!L29</f>
        <v>0.04</v>
      </c>
      <c r="AA11" s="244">
        <f>Variables!M29</f>
        <v>0.01</v>
      </c>
      <c r="AB11" s="226">
        <f t="shared" si="11"/>
        <v>0.33333333333333331</v>
      </c>
      <c r="AC11" s="226">
        <f t="shared" si="12"/>
        <v>0.25</v>
      </c>
      <c r="AD11" s="226">
        <f t="shared" si="13"/>
        <v>0.25</v>
      </c>
      <c r="AE11" s="306">
        <f t="shared" si="14"/>
        <v>3.2500000000000001E-2</v>
      </c>
      <c r="AF11" s="244">
        <f>Variables!O29</f>
        <v>0.04</v>
      </c>
      <c r="AG11" s="244">
        <f>Variables!P29</f>
        <v>0.01</v>
      </c>
      <c r="AH11" s="226">
        <f t="shared" si="15"/>
        <v>0.25</v>
      </c>
      <c r="AI11" s="226">
        <f t="shared" si="16"/>
        <v>0.25</v>
      </c>
      <c r="AJ11" s="226">
        <f t="shared" si="17"/>
        <v>0.25</v>
      </c>
      <c r="AK11" s="306">
        <f t="shared" si="18"/>
        <v>3.2500000000000001E-2</v>
      </c>
    </row>
    <row r="12" spans="2:43" s="7" customFormat="1" ht="18" thickBot="1" x14ac:dyDescent="0.25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69"/>
      <c r="N12" s="270"/>
      <c r="O12" s="270"/>
      <c r="P12" s="269"/>
      <c r="Q12" s="269"/>
      <c r="R12" s="269"/>
      <c r="S12" s="269"/>
      <c r="T12" s="270"/>
      <c r="U12" s="270"/>
      <c r="V12" s="269"/>
      <c r="W12" s="269"/>
      <c r="X12" s="269"/>
      <c r="Y12" s="269"/>
      <c r="Z12" s="270"/>
      <c r="AA12" s="270"/>
      <c r="AB12" s="269"/>
      <c r="AC12" s="269"/>
      <c r="AD12" s="269"/>
      <c r="AE12" s="269"/>
      <c r="AF12" s="270"/>
      <c r="AG12" s="271"/>
      <c r="AH12" s="99"/>
      <c r="AI12" s="99"/>
      <c r="AJ12" s="99"/>
      <c r="AK12" s="99"/>
    </row>
    <row r="13" spans="2:43" s="4" customFormat="1" ht="17" thickBot="1" x14ac:dyDescent="0.25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101" t="s">
        <v>68</v>
      </c>
      <c r="K13" s="103">
        <v>1</v>
      </c>
      <c r="L13" s="5"/>
      <c r="M13" s="5"/>
      <c r="N13" s="101" t="s">
        <v>68</v>
      </c>
      <c r="O13" s="102">
        <v>2</v>
      </c>
      <c r="P13" s="5"/>
      <c r="Q13" s="5"/>
      <c r="R13" s="5"/>
      <c r="S13" s="5"/>
      <c r="T13" s="101" t="s">
        <v>68</v>
      </c>
      <c r="U13" s="102">
        <v>3</v>
      </c>
      <c r="V13" s="5"/>
      <c r="W13" s="5"/>
      <c r="X13" s="5"/>
      <c r="Y13" s="5"/>
      <c r="Z13" s="101" t="s">
        <v>68</v>
      </c>
      <c r="AA13" s="102">
        <v>4</v>
      </c>
      <c r="AB13" s="5"/>
      <c r="AC13" s="5"/>
      <c r="AD13" s="5"/>
      <c r="AE13" s="5"/>
      <c r="AF13" s="101" t="s">
        <v>68</v>
      </c>
      <c r="AG13" s="102">
        <v>5</v>
      </c>
      <c r="AH13" s="87"/>
      <c r="AI13" s="87"/>
      <c r="AJ13" s="87"/>
      <c r="AK13" s="87"/>
    </row>
    <row r="14" spans="2:43" s="4" customFormat="1" ht="16" x14ac:dyDescent="0.2">
      <c r="B14" s="136" t="s">
        <v>125</v>
      </c>
      <c r="C14" s="137">
        <f t="shared" ref="C14:G14" si="19">C24-C26</f>
        <v>5359303.1322000008</v>
      </c>
      <c r="D14" s="137">
        <f t="shared" si="19"/>
        <v>5508508.0098704984</v>
      </c>
      <c r="E14" s="137">
        <f t="shared" si="19"/>
        <v>5203602.3834843757</v>
      </c>
      <c r="F14" s="137">
        <f t="shared" si="19"/>
        <v>5098517.0064888885</v>
      </c>
      <c r="G14" s="138">
        <f t="shared" si="19"/>
        <v>5016976.3361613872</v>
      </c>
      <c r="H14" s="139"/>
      <c r="J14" s="268"/>
      <c r="K14" s="268"/>
      <c r="L14" s="272"/>
      <c r="M14" s="272"/>
      <c r="N14" s="273"/>
      <c r="O14" s="273"/>
      <c r="P14" s="272"/>
      <c r="Q14" s="272"/>
      <c r="R14" s="272"/>
      <c r="S14" s="272"/>
      <c r="T14" s="273"/>
      <c r="U14" s="273"/>
      <c r="V14" s="272"/>
      <c r="W14" s="272"/>
      <c r="X14" s="272"/>
      <c r="Y14" s="272"/>
      <c r="Z14" s="273"/>
      <c r="AA14" s="273"/>
      <c r="AB14" s="272"/>
      <c r="AC14" s="272"/>
      <c r="AD14" s="272"/>
      <c r="AE14" s="272"/>
      <c r="AF14" s="273"/>
      <c r="AG14" s="274"/>
      <c r="AH14" s="87"/>
      <c r="AI14" s="87"/>
      <c r="AJ14" s="87"/>
      <c r="AK14" s="87"/>
    </row>
    <row r="15" spans="2:43" s="4" customFormat="1" ht="16" x14ac:dyDescent="0.2">
      <c r="B15" s="136" t="s">
        <v>126</v>
      </c>
      <c r="C15" s="297">
        <f>C14/C24</f>
        <v>0.73</v>
      </c>
      <c r="D15" s="297">
        <f>D14/D24</f>
        <v>0.73058823529411765</v>
      </c>
      <c r="E15" s="297">
        <f>E14/E24</f>
        <v>0.75</v>
      </c>
      <c r="F15" s="297">
        <f>F14/F24</f>
        <v>0.7616666666666666</v>
      </c>
      <c r="G15" s="298">
        <f>G14/G24</f>
        <v>0.76749999999999996</v>
      </c>
      <c r="H15" s="151"/>
      <c r="J15" s="268"/>
      <c r="K15" s="268"/>
      <c r="L15" s="272"/>
      <c r="M15" s="272"/>
      <c r="N15" s="273"/>
      <c r="O15" s="273"/>
      <c r="P15" s="272"/>
      <c r="Q15" s="272"/>
      <c r="R15" s="272"/>
      <c r="S15" s="272"/>
      <c r="T15" s="273"/>
      <c r="U15" s="273"/>
      <c r="V15" s="272"/>
      <c r="W15" s="272"/>
      <c r="X15" s="272"/>
      <c r="Y15" s="272"/>
      <c r="Z15" s="273"/>
      <c r="AA15" s="273"/>
      <c r="AB15" s="272"/>
      <c r="AC15" s="272"/>
      <c r="AD15" s="272"/>
      <c r="AE15" s="272"/>
      <c r="AF15" s="273"/>
      <c r="AG15" s="274"/>
      <c r="AH15" s="87"/>
      <c r="AI15" s="87"/>
      <c r="AJ15" s="87"/>
      <c r="AK15" s="87"/>
    </row>
    <row r="16" spans="2:43" s="4" customFormat="1" ht="16" x14ac:dyDescent="0.2">
      <c r="B16" s="133" t="s">
        <v>76</v>
      </c>
      <c r="C16" s="152">
        <f>M9</f>
        <v>0.27</v>
      </c>
      <c r="D16" s="152">
        <f>S9</f>
        <v>0.26941176470588235</v>
      </c>
      <c r="E16" s="152">
        <f>Y9</f>
        <v>0.25</v>
      </c>
      <c r="F16" s="152">
        <f>AE9</f>
        <v>0.23833333333333334</v>
      </c>
      <c r="G16" s="153">
        <f>AK9</f>
        <v>0.23249999999999998</v>
      </c>
      <c r="H16" s="154"/>
    </row>
    <row r="17" spans="2:37" s="4" customFormat="1" ht="34" x14ac:dyDescent="0.15">
      <c r="B17" s="140" t="s">
        <v>77</v>
      </c>
      <c r="C17" s="155">
        <f>M10</f>
        <v>0.02</v>
      </c>
      <c r="D17" s="155">
        <f>S10</f>
        <v>0.03</v>
      </c>
      <c r="E17" s="155">
        <f>Y10</f>
        <v>0.03</v>
      </c>
      <c r="F17" s="155">
        <f>AE10</f>
        <v>3.333333333333334E-2</v>
      </c>
      <c r="G17" s="156">
        <f>AK10</f>
        <v>3.4999999999999996E-2</v>
      </c>
      <c r="H17" s="157"/>
    </row>
    <row r="18" spans="2:37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20">D18</f>
        <v>0.25</v>
      </c>
      <c r="F18" s="159">
        <f t="shared" si="20"/>
        <v>0.25</v>
      </c>
      <c r="G18" s="160">
        <f t="shared" si="20"/>
        <v>0.25</v>
      </c>
      <c r="H18" s="161"/>
      <c r="J18" s="158"/>
      <c r="K18" s="158"/>
      <c r="L18" s="162"/>
      <c r="M18" s="162"/>
      <c r="N18" s="158"/>
      <c r="O18" s="158"/>
      <c r="P18" s="162"/>
      <c r="Q18" s="162"/>
      <c r="R18" s="162"/>
      <c r="S18" s="162"/>
      <c r="T18" s="158"/>
      <c r="U18" s="158"/>
      <c r="V18" s="162"/>
      <c r="W18" s="162"/>
      <c r="X18" s="162"/>
      <c r="Y18" s="162"/>
      <c r="Z18" s="158"/>
      <c r="AA18" s="158"/>
      <c r="AB18" s="162"/>
      <c r="AC18" s="162"/>
      <c r="AD18" s="162"/>
      <c r="AE18" s="162"/>
      <c r="AF18" s="158"/>
      <c r="AG18" s="158"/>
      <c r="AH18" s="63"/>
      <c r="AI18" s="63"/>
      <c r="AJ18" s="63"/>
      <c r="AK18" s="63"/>
    </row>
    <row r="19" spans="2:37" s="4" customFormat="1" ht="18" thickBot="1" x14ac:dyDescent="0.25">
      <c r="B19" s="163" t="s">
        <v>79</v>
      </c>
      <c r="C19" s="164">
        <f>M11</f>
        <v>0.01</v>
      </c>
      <c r="D19" s="164">
        <f>S11</f>
        <v>3.2500000000000001E-2</v>
      </c>
      <c r="E19" s="164">
        <f>Y11</f>
        <v>3.2500000000000001E-2</v>
      </c>
      <c r="F19" s="164">
        <f>AE11</f>
        <v>3.2500000000000001E-2</v>
      </c>
      <c r="G19" s="165">
        <f>AK11</f>
        <v>3.2500000000000001E-2</v>
      </c>
      <c r="H19" s="154"/>
    </row>
    <row r="20" spans="2:37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37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37" s="4" customFormat="1" thickBot="1" x14ac:dyDescent="0.2">
      <c r="B22" s="10"/>
      <c r="C22" s="6"/>
    </row>
    <row r="23" spans="2:37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37" s="4" customFormat="1" ht="16" x14ac:dyDescent="0.15">
      <c r="B24" s="169" t="s">
        <v>84</v>
      </c>
      <c r="C24" s="170">
        <f>C5*C6*C7*C8*C11</f>
        <v>7341511.1400000015</v>
      </c>
      <c r="D24" s="170">
        <f>D5*D6*D7*D8*D11</f>
        <v>7539825.7784056738</v>
      </c>
      <c r="E24" s="170">
        <f>E5*E6*E7*E8*E11</f>
        <v>6938136.5113125006</v>
      </c>
      <c r="F24" s="170">
        <f>F5*F6*F7*F8*F11</f>
        <v>6693895.4133333331</v>
      </c>
      <c r="G24" s="171">
        <f>G5*G6*G7*G8*G11</f>
        <v>6536776.9852265632</v>
      </c>
      <c r="H24" s="12"/>
      <c r="I24" s="6"/>
      <c r="J24" s="6"/>
    </row>
    <row r="25" spans="2:37" s="4" customFormat="1" ht="16" x14ac:dyDescent="0.15">
      <c r="B25" s="172" t="s">
        <v>85</v>
      </c>
      <c r="C25" s="173">
        <f>C24-C26</f>
        <v>5359303.1322000008</v>
      </c>
      <c r="D25" s="173">
        <f t="shared" ref="D25:G25" si="21">D24-D26</f>
        <v>5508508.0098704984</v>
      </c>
      <c r="E25" s="173">
        <f t="shared" si="21"/>
        <v>5203602.3834843757</v>
      </c>
      <c r="F25" s="173">
        <f t="shared" si="21"/>
        <v>5098517.0064888885</v>
      </c>
      <c r="G25" s="174">
        <f t="shared" si="21"/>
        <v>5016976.3361613872</v>
      </c>
      <c r="H25" s="12"/>
      <c r="I25" s="6"/>
      <c r="J25" s="6"/>
    </row>
    <row r="26" spans="2:37" s="4" customFormat="1" ht="16" x14ac:dyDescent="0.15">
      <c r="B26" s="175" t="s">
        <v>0</v>
      </c>
      <c r="C26" s="173">
        <f>C16*C24</f>
        <v>1982208.0078000005</v>
      </c>
      <c r="D26" s="173">
        <f>D16*D24</f>
        <v>2031317.7685351756</v>
      </c>
      <c r="E26" s="173">
        <f>E16*E24</f>
        <v>1734534.1278281251</v>
      </c>
      <c r="F26" s="173">
        <f>F16*F24</f>
        <v>1595378.4068444443</v>
      </c>
      <c r="G26" s="174">
        <f>G16*G24</f>
        <v>1519800.6490651758</v>
      </c>
      <c r="H26" s="12"/>
      <c r="I26" s="6"/>
      <c r="J26" s="6"/>
    </row>
    <row r="27" spans="2:37" s="4" customFormat="1" ht="16" x14ac:dyDescent="0.15">
      <c r="B27" s="172" t="s">
        <v>133</v>
      </c>
      <c r="C27" s="173">
        <f>C17*C24</f>
        <v>146830.22280000005</v>
      </c>
      <c r="D27" s="173">
        <f>D17*D24</f>
        <v>226194.77335217022</v>
      </c>
      <c r="E27" s="173">
        <f>E17*E24</f>
        <v>208144.095339375</v>
      </c>
      <c r="F27" s="173">
        <f>F17*F24</f>
        <v>223129.84711111116</v>
      </c>
      <c r="G27" s="174">
        <f>G17*G24</f>
        <v>228787.19448292968</v>
      </c>
      <c r="H27" s="6"/>
      <c r="I27" s="6"/>
      <c r="J27" s="6"/>
    </row>
    <row r="28" spans="2:37" s="4" customFormat="1" ht="16" x14ac:dyDescent="0.15">
      <c r="B28" s="175" t="s">
        <v>65</v>
      </c>
      <c r="C28" s="173">
        <f>C26-C27</f>
        <v>1835377.7850000004</v>
      </c>
      <c r="D28" s="173">
        <f t="shared" ref="D28:G28" si="22">D26-D27</f>
        <v>1805122.9951830055</v>
      </c>
      <c r="E28" s="173">
        <f t="shared" si="22"/>
        <v>1526390.0324887501</v>
      </c>
      <c r="F28" s="173">
        <f t="shared" si="22"/>
        <v>1372248.5597333331</v>
      </c>
      <c r="G28" s="174">
        <f t="shared" si="22"/>
        <v>1291013.454582246</v>
      </c>
      <c r="H28" s="12"/>
      <c r="I28" s="6"/>
      <c r="J28" s="6"/>
    </row>
    <row r="29" spans="2:37" s="4" customFormat="1" ht="16" x14ac:dyDescent="0.15">
      <c r="B29" s="172" t="s">
        <v>99</v>
      </c>
      <c r="C29" s="173">
        <v>500322</v>
      </c>
      <c r="D29" s="173">
        <f t="shared" ref="D29:G29" si="23">+C29</f>
        <v>500322</v>
      </c>
      <c r="E29" s="173">
        <f t="shared" si="23"/>
        <v>500322</v>
      </c>
      <c r="F29" s="173">
        <f t="shared" si="23"/>
        <v>500322</v>
      </c>
      <c r="G29" s="174">
        <f t="shared" si="23"/>
        <v>500322</v>
      </c>
      <c r="H29" s="6"/>
      <c r="I29" s="6"/>
      <c r="J29" s="6"/>
    </row>
    <row r="30" spans="2:37" s="4" customFormat="1" ht="16" x14ac:dyDescent="0.15">
      <c r="B30" s="175" t="s">
        <v>86</v>
      </c>
      <c r="C30" s="173">
        <f t="shared" ref="C30:G30" si="24">+C26-C29</f>
        <v>1481886.0078000005</v>
      </c>
      <c r="D30" s="173">
        <f t="shared" si="24"/>
        <v>1530995.7685351756</v>
      </c>
      <c r="E30" s="173">
        <f t="shared" si="24"/>
        <v>1234212.1278281251</v>
      </c>
      <c r="F30" s="173">
        <f t="shared" si="24"/>
        <v>1095056.4068444443</v>
      </c>
      <c r="G30" s="174">
        <f t="shared" si="24"/>
        <v>1019478.6490651758</v>
      </c>
      <c r="H30" s="12"/>
      <c r="I30" s="6"/>
      <c r="J30" s="6"/>
    </row>
    <row r="31" spans="2:37" s="4" customFormat="1" ht="16" x14ac:dyDescent="0.15">
      <c r="B31" s="172" t="s">
        <v>134</v>
      </c>
      <c r="C31" s="173">
        <f>IF(C30&lt;=0,0,C$18*C30)</f>
        <v>370471.50195000012</v>
      </c>
      <c r="D31" s="173">
        <f t="shared" ref="D31:G31" si="25">IF(D30&lt;=0,0,D$18*D30)</f>
        <v>382748.9421337939</v>
      </c>
      <c r="E31" s="173">
        <f t="shared" si="25"/>
        <v>308553.03195703129</v>
      </c>
      <c r="F31" s="173">
        <f t="shared" si="25"/>
        <v>273764.10171111109</v>
      </c>
      <c r="G31" s="174">
        <f t="shared" si="25"/>
        <v>254869.66226629395</v>
      </c>
      <c r="H31" s="12"/>
      <c r="I31" s="6"/>
      <c r="J31" s="6"/>
    </row>
    <row r="32" spans="2:37" s="4" customFormat="1" ht="17" thickBot="1" x14ac:dyDescent="0.2">
      <c r="B32" s="176" t="s">
        <v>87</v>
      </c>
      <c r="C32" s="177">
        <f t="shared" ref="C32:G32" si="26">C30-C31</f>
        <v>1111414.5058500003</v>
      </c>
      <c r="D32" s="177">
        <f t="shared" si="26"/>
        <v>1148246.8264013818</v>
      </c>
      <c r="E32" s="177">
        <f t="shared" si="26"/>
        <v>925659.09587109392</v>
      </c>
      <c r="F32" s="177">
        <f t="shared" si="26"/>
        <v>821292.3051333332</v>
      </c>
      <c r="G32" s="178">
        <f t="shared" si="26"/>
        <v>764608.98679888179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27">+C32</f>
        <v>1111414.5058500003</v>
      </c>
      <c r="D37" s="223">
        <f t="shared" si="27"/>
        <v>1148246.8264013818</v>
      </c>
      <c r="E37" s="235">
        <f t="shared" si="27"/>
        <v>925659.09587109392</v>
      </c>
      <c r="F37" s="235">
        <f t="shared" si="27"/>
        <v>821292.3051333332</v>
      </c>
      <c r="G37" s="235">
        <f t="shared" si="27"/>
        <v>764608.98679888179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28">+C29</f>
        <v>500322</v>
      </c>
      <c r="D38" s="224">
        <f t="shared" si="28"/>
        <v>500322</v>
      </c>
      <c r="E38" s="111">
        <f t="shared" si="28"/>
        <v>500322</v>
      </c>
      <c r="F38" s="111">
        <f t="shared" si="28"/>
        <v>500322</v>
      </c>
      <c r="G38" s="111">
        <f t="shared" si="28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29">+C37+C38</f>
        <v>1611736.5058500003</v>
      </c>
      <c r="D39" s="224">
        <f t="shared" si="29"/>
        <v>1648568.8264013818</v>
      </c>
      <c r="E39" s="111">
        <f t="shared" si="29"/>
        <v>1425981.0958710939</v>
      </c>
      <c r="F39" s="111">
        <f t="shared" si="29"/>
        <v>1321614.3051333332</v>
      </c>
      <c r="G39" s="111">
        <f t="shared" si="29"/>
        <v>1264930.9867988818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293660.44560000009</v>
      </c>
      <c r="D40" s="224">
        <f>+C40*(1+D19)</f>
        <v>303204.41008200007</v>
      </c>
      <c r="E40" s="111">
        <f>+D40*(1+E19)</f>
        <v>313058.55340966507</v>
      </c>
      <c r="F40" s="111">
        <f>+E40*(1+F19)</f>
        <v>323232.95639547915</v>
      </c>
      <c r="G40" s="111">
        <f>+F40*(1+G19)</f>
        <v>333738.02747833222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1318076.0602500001</v>
      </c>
      <c r="D41" s="295">
        <f t="shared" ref="D41:G41" si="30">D39-D40</f>
        <v>1345364.4163193817</v>
      </c>
      <c r="E41" s="295">
        <f t="shared" si="30"/>
        <v>1112922.5424614288</v>
      </c>
      <c r="F41" s="295">
        <f t="shared" si="30"/>
        <v>998381.34873785404</v>
      </c>
      <c r="G41" s="295">
        <f t="shared" si="30"/>
        <v>931192.95932054962</v>
      </c>
      <c r="H41" s="295">
        <f>G41*(1+C47)/(C46-C47)</f>
        <v>18996336.370139211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3363907.8325995617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51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51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51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51" x14ac:dyDescent="0.15">
      <c r="B68" s="183" t="s">
        <v>0</v>
      </c>
      <c r="C68" s="185">
        <f>C26</f>
        <v>1982208.0078000005</v>
      </c>
      <c r="D68" s="185">
        <f>D26</f>
        <v>2031317.7685351756</v>
      </c>
      <c r="E68" s="185">
        <f>E26</f>
        <v>1734534.1278281251</v>
      </c>
      <c r="F68" s="185">
        <f>F26</f>
        <v>1595378.4068444443</v>
      </c>
      <c r="G68" s="185">
        <f>G26</f>
        <v>1519800.6490651758</v>
      </c>
      <c r="H68" s="185"/>
      <c r="I68" s="182"/>
      <c r="J68" s="182"/>
    </row>
    <row r="69" spans="1:51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31">D69</f>
        <v>500322</v>
      </c>
      <c r="F69" s="184">
        <f t="shared" si="31"/>
        <v>500322</v>
      </c>
      <c r="G69" s="184">
        <f t="shared" si="31"/>
        <v>500322</v>
      </c>
      <c r="H69" s="184"/>
      <c r="I69" s="182"/>
      <c r="J69" s="182"/>
    </row>
    <row r="70" spans="1:51" x14ac:dyDescent="0.15">
      <c r="B70" s="183" t="s">
        <v>2</v>
      </c>
      <c r="C70" s="185">
        <f>C68-C69</f>
        <v>1481886.0078000005</v>
      </c>
      <c r="D70" s="185">
        <f t="shared" ref="D70:G70" si="32">D68-D69</f>
        <v>1530995.7685351756</v>
      </c>
      <c r="E70" s="185">
        <f t="shared" si="32"/>
        <v>1234212.1278281251</v>
      </c>
      <c r="F70" s="185">
        <f t="shared" si="32"/>
        <v>1095056.4068444443</v>
      </c>
      <c r="G70" s="185">
        <f t="shared" si="32"/>
        <v>1019478.6490651758</v>
      </c>
      <c r="H70" s="185"/>
      <c r="I70" s="182"/>
      <c r="J70" s="182"/>
    </row>
    <row r="71" spans="1:51" x14ac:dyDescent="0.15">
      <c r="B71" s="182" t="s">
        <v>3</v>
      </c>
      <c r="C71" s="184">
        <f>C70*0.25</f>
        <v>370471.50195000012</v>
      </c>
      <c r="D71" s="184">
        <f t="shared" ref="D71:G71" si="33">D70*0.25</f>
        <v>382748.9421337939</v>
      </c>
      <c r="E71" s="184">
        <f t="shared" si="33"/>
        <v>308553.03195703129</v>
      </c>
      <c r="F71" s="184">
        <f t="shared" si="33"/>
        <v>273764.10171111109</v>
      </c>
      <c r="G71" s="184">
        <f t="shared" si="33"/>
        <v>254869.66226629395</v>
      </c>
      <c r="H71" s="184"/>
      <c r="I71" s="182"/>
      <c r="J71" s="182"/>
    </row>
    <row r="72" spans="1:51" x14ac:dyDescent="0.15">
      <c r="B72" s="183" t="s">
        <v>4</v>
      </c>
      <c r="C72" s="185">
        <f>C70-C71</f>
        <v>1111414.5058500003</v>
      </c>
      <c r="D72" s="185">
        <f t="shared" ref="D72:G72" si="34">D70-D71</f>
        <v>1148246.8264013818</v>
      </c>
      <c r="E72" s="185">
        <f t="shared" si="34"/>
        <v>925659.09587109392</v>
      </c>
      <c r="F72" s="185">
        <f t="shared" si="34"/>
        <v>821292.3051333332</v>
      </c>
      <c r="G72" s="185">
        <f t="shared" si="34"/>
        <v>764608.98679888179</v>
      </c>
      <c r="H72" s="185"/>
      <c r="I72" s="182"/>
      <c r="J72" s="182"/>
    </row>
    <row r="73" spans="1:51" x14ac:dyDescent="0.15">
      <c r="B73" s="182" t="s">
        <v>1</v>
      </c>
      <c r="C73" s="184">
        <f>C69</f>
        <v>500322</v>
      </c>
      <c r="D73" s="184">
        <f t="shared" ref="D73:G73" si="35">D69</f>
        <v>500322</v>
      </c>
      <c r="E73" s="184">
        <f t="shared" si="35"/>
        <v>500322</v>
      </c>
      <c r="F73" s="184">
        <f t="shared" si="35"/>
        <v>500322</v>
      </c>
      <c r="G73" s="184">
        <f t="shared" si="35"/>
        <v>500322</v>
      </c>
      <c r="H73" s="184"/>
      <c r="I73" s="182"/>
      <c r="J73" s="182"/>
    </row>
    <row r="74" spans="1:51" x14ac:dyDescent="0.15">
      <c r="B74" s="183" t="s">
        <v>5</v>
      </c>
      <c r="C74" s="186">
        <f>C72+C73</f>
        <v>1611736.5058500003</v>
      </c>
      <c r="D74" s="186">
        <f t="shared" ref="D74:G74" si="36">D72+D73</f>
        <v>1648568.8264013818</v>
      </c>
      <c r="E74" s="186">
        <f t="shared" si="36"/>
        <v>1425981.0958710939</v>
      </c>
      <c r="F74" s="186">
        <f t="shared" si="36"/>
        <v>1321614.3051333332</v>
      </c>
      <c r="G74" s="186">
        <f t="shared" si="36"/>
        <v>1264930.9867988818</v>
      </c>
      <c r="H74" s="186"/>
      <c r="I74" s="182"/>
      <c r="J74" s="182"/>
    </row>
    <row r="75" spans="1:51" x14ac:dyDescent="0.15">
      <c r="B75" s="182" t="s">
        <v>7</v>
      </c>
      <c r="C75" s="187">
        <f>C40</f>
        <v>293660.44560000009</v>
      </c>
      <c r="D75" s="187">
        <f>D40</f>
        <v>303204.41008200007</v>
      </c>
      <c r="E75" s="187">
        <f>E40</f>
        <v>313058.55340966507</v>
      </c>
      <c r="F75" s="187">
        <f>F40</f>
        <v>323232.95639547915</v>
      </c>
      <c r="G75" s="187">
        <f>G40</f>
        <v>333738.02747833222</v>
      </c>
      <c r="H75" s="187"/>
      <c r="I75" s="182"/>
      <c r="J75" s="182"/>
    </row>
    <row r="76" spans="1:51" x14ac:dyDescent="0.15">
      <c r="B76" s="183" t="s">
        <v>6</v>
      </c>
      <c r="C76" s="186">
        <f>C74-C75</f>
        <v>1318076.0602500001</v>
      </c>
      <c r="D76" s="186">
        <f t="shared" ref="D76:G76" si="37">D74-D75</f>
        <v>1345364.4163193817</v>
      </c>
      <c r="E76" s="186">
        <f t="shared" si="37"/>
        <v>1112922.5424614288</v>
      </c>
      <c r="F76" s="186">
        <f t="shared" si="37"/>
        <v>998381.34873785404</v>
      </c>
      <c r="G76" s="186">
        <f t="shared" si="37"/>
        <v>931192.95932054962</v>
      </c>
      <c r="H76" s="186"/>
      <c r="I76" s="182"/>
      <c r="J76" s="182"/>
    </row>
    <row r="77" spans="1:51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51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51" s="194" customFormat="1" x14ac:dyDescent="0.15">
      <c r="A79" s="193"/>
      <c r="B79" s="183" t="s">
        <v>10</v>
      </c>
      <c r="C79" s="191">
        <f>C76</f>
        <v>1318076.0602500001</v>
      </c>
      <c r="D79" s="191">
        <f>D76</f>
        <v>1345364.4163193817</v>
      </c>
      <c r="E79" s="191">
        <f>E76</f>
        <v>1112922.5424614288</v>
      </c>
      <c r="F79" s="191">
        <f>F76</f>
        <v>998381.34873785404</v>
      </c>
      <c r="G79" s="191">
        <f>G76</f>
        <v>931192.95932054962</v>
      </c>
      <c r="H79" s="191"/>
      <c r="I79" s="192">
        <f>G79*(1+C83)/(C114-C113)</f>
        <v>4734904.8189364765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</row>
    <row r="80" spans="1:51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4" x14ac:dyDescent="0.15">
      <c r="B81" s="182" t="s">
        <v>37</v>
      </c>
      <c r="C81" s="195">
        <f>C79</f>
        <v>1318076.0602500001</v>
      </c>
      <c r="D81" s="195">
        <f t="shared" ref="D81:G81" si="38">D79</f>
        <v>1345364.4163193817</v>
      </c>
      <c r="E81" s="195">
        <f t="shared" si="38"/>
        <v>1112922.5424614288</v>
      </c>
      <c r="F81" s="195">
        <f t="shared" si="38"/>
        <v>998381.34873785404</v>
      </c>
      <c r="G81" s="195">
        <f t="shared" si="38"/>
        <v>931192.95932054962</v>
      </c>
      <c r="H81" s="195"/>
      <c r="I81" s="197"/>
      <c r="J81" s="197"/>
    </row>
    <row r="82" spans="2:14" x14ac:dyDescent="0.15">
      <c r="B82" s="182" t="s">
        <v>38</v>
      </c>
      <c r="C82" s="198"/>
      <c r="D82" s="197">
        <f>(D81/C81)-1</f>
        <v>2.0703172519654034E-2</v>
      </c>
      <c r="E82" s="197">
        <f t="shared" ref="E82:G82" si="39">(E81/D81)-1</f>
        <v>-0.17277242584865016</v>
      </c>
      <c r="F82" s="197">
        <f t="shared" si="39"/>
        <v>-0.10291928625171542</v>
      </c>
      <c r="G82" s="197">
        <f t="shared" si="39"/>
        <v>-6.7297320309762876E-2</v>
      </c>
      <c r="H82" s="197"/>
      <c r="I82" s="197"/>
      <c r="J82" s="197"/>
    </row>
    <row r="83" spans="2:14" x14ac:dyDescent="0.15">
      <c r="B83" s="183" t="s">
        <v>39</v>
      </c>
      <c r="C83" s="199">
        <f>AVERAGE(D82:G82)</f>
        <v>-8.0571464972618606E-2</v>
      </c>
      <c r="D83" s="195"/>
      <c r="E83" s="195"/>
      <c r="F83" s="195"/>
      <c r="G83" s="195"/>
      <c r="H83" s="195"/>
      <c r="I83" s="197"/>
      <c r="J83" s="197"/>
    </row>
    <row r="84" spans="2:14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4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4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  <c r="N86" s="200"/>
    </row>
    <row r="87" spans="2:14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  <c r="N87" s="200"/>
    </row>
    <row r="88" spans="2:14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  <c r="N88" s="200"/>
    </row>
    <row r="89" spans="2:14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  <c r="N89" s="200"/>
    </row>
    <row r="90" spans="2:14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  <c r="N90" s="200"/>
    </row>
    <row r="91" spans="2:14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  <c r="N91" s="200"/>
    </row>
    <row r="92" spans="2:14" x14ac:dyDescent="0.15">
      <c r="B92" s="183" t="s">
        <v>44</v>
      </c>
      <c r="C92" s="199">
        <v>0.25965169999999999</v>
      </c>
      <c r="D92" s="195"/>
      <c r="E92" s="195"/>
      <c r="F92" s="202">
        <f>K121</f>
        <v>0.46912789373611108</v>
      </c>
      <c r="G92" s="195" t="s">
        <v>55</v>
      </c>
      <c r="H92" s="195"/>
      <c r="I92" s="195"/>
      <c r="J92" s="195"/>
      <c r="K92" s="203"/>
      <c r="L92" s="200"/>
      <c r="M92" s="200"/>
      <c r="N92" s="200"/>
    </row>
    <row r="93" spans="2:14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0.53087210626388892</v>
      </c>
      <c r="G93" s="195" t="s">
        <v>57</v>
      </c>
      <c r="H93" s="195"/>
      <c r="I93" s="195"/>
      <c r="J93" s="195"/>
      <c r="K93" s="200"/>
      <c r="L93" s="200"/>
      <c r="M93" s="200"/>
      <c r="N93" s="200"/>
    </row>
    <row r="94" spans="2:14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  <c r="N94" s="200"/>
    </row>
    <row r="95" spans="2:14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  <c r="N95" s="200"/>
    </row>
    <row r="96" spans="2:14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  <c r="N96" s="200"/>
    </row>
    <row r="97" spans="2:14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  <c r="N97" s="200"/>
    </row>
    <row r="98" spans="2:14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  <c r="N98" s="200"/>
    </row>
    <row r="99" spans="2:14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  <c r="N99" s="200"/>
    </row>
    <row r="100" spans="2:14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  <c r="N100" s="200"/>
    </row>
    <row r="101" spans="2:14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  <c r="N101" s="200"/>
    </row>
    <row r="102" spans="2:14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  <c r="N102" s="200"/>
    </row>
    <row r="103" spans="2:14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  <c r="N103" s="200"/>
    </row>
    <row r="104" spans="2:14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  <c r="N104" s="200"/>
    </row>
    <row r="105" spans="2:14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  <c r="N105" s="200"/>
    </row>
    <row r="106" spans="2:14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  <c r="N106" s="200"/>
    </row>
    <row r="107" spans="2:14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  <c r="N107" s="200"/>
    </row>
    <row r="108" spans="2:14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  <c r="N108" s="200"/>
    </row>
    <row r="109" spans="2:14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  <c r="N109" s="200"/>
    </row>
    <row r="110" spans="2:14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  <c r="N110" s="200"/>
    </row>
    <row r="111" spans="2:14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  <c r="N111" s="200"/>
    </row>
    <row r="112" spans="2:14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  <c r="N112" s="200"/>
    </row>
    <row r="113" spans="2:12" x14ac:dyDescent="0.15">
      <c r="B113" s="182" t="s">
        <v>9</v>
      </c>
      <c r="C113" s="206">
        <f>C83</f>
        <v>-8.0571464972618606E-2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8076329.8877522498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8145517.8877522498</v>
      </c>
      <c r="D119" s="182"/>
      <c r="E119" s="183" t="s">
        <v>28</v>
      </c>
      <c r="F119" s="192">
        <f>F135-F126-F121</f>
        <v>5233856.8877522498</v>
      </c>
      <c r="G119" s="195">
        <f>C135-F135</f>
        <v>0</v>
      </c>
      <c r="H119" s="195"/>
      <c r="I119" s="182"/>
      <c r="J119" s="182"/>
      <c r="K119" s="209">
        <f>F119/F135</f>
        <v>0.53087210626388892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0.46912789373611108</v>
      </c>
      <c r="L121" s="180" t="s">
        <v>55</v>
      </c>
    </row>
    <row r="122" spans="2:12" x14ac:dyDescent="0.15">
      <c r="B122" s="182" t="s">
        <v>15</v>
      </c>
      <c r="C122" s="196">
        <f>C115</f>
        <v>8076329.8877522498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9858978.8877522498</v>
      </c>
      <c r="D135" s="182"/>
      <c r="E135" s="183" t="s">
        <v>30</v>
      </c>
      <c r="F135" s="191">
        <f>C135</f>
        <v>9858978.8877522498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17395217.88775225</v>
      </c>
      <c r="D154" s="182"/>
      <c r="E154" s="183" t="s">
        <v>28</v>
      </c>
      <c r="F154" s="191">
        <f>F119+F141</f>
        <v>8164556.8877522498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19270678.88775225</v>
      </c>
      <c r="D160" s="183"/>
      <c r="E160" s="183" t="s">
        <v>36</v>
      </c>
      <c r="F160" s="191">
        <f>F150+F135</f>
        <v>19270678.88775225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M4"/>
    <mergeCell ref="N4:S4"/>
    <mergeCell ref="T4:Y4"/>
    <mergeCell ref="Z4:AE4"/>
    <mergeCell ref="AF4:A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4394-4B66-2642-B365-48C57DEEC813}">
  <dimension ref="A2:AY164"/>
  <sheetViews>
    <sheetView topLeftCell="B22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3" width="9.83203125" style="180" customWidth="1"/>
    <col min="14" max="15" width="7.5" style="180" customWidth="1"/>
    <col min="16" max="16" width="9.83203125" style="180" bestFit="1" customWidth="1"/>
    <col min="17" max="19" width="9.83203125" style="180" customWidth="1"/>
    <col min="20" max="21" width="7.5" style="180" customWidth="1"/>
    <col min="22" max="22" width="9.83203125" style="180" bestFit="1" customWidth="1"/>
    <col min="23" max="25" width="9.83203125" style="180" customWidth="1"/>
    <col min="26" max="27" width="7.5" style="180" customWidth="1"/>
    <col min="28" max="28" width="9.83203125" style="180" bestFit="1" customWidth="1"/>
    <col min="29" max="31" width="9.83203125" style="180" customWidth="1"/>
    <col min="32" max="33" width="7.5" style="180" customWidth="1"/>
    <col min="34" max="34" width="9.83203125" style="180" bestFit="1" customWidth="1"/>
    <col min="35" max="37" width="9.83203125" style="180" customWidth="1"/>
    <col min="38" max="16384" width="11.5" style="180"/>
  </cols>
  <sheetData>
    <row r="2" spans="2:43" s="4" customFormat="1" ht="16" x14ac:dyDescent="0.2">
      <c r="B2" s="276" t="s">
        <v>129</v>
      </c>
      <c r="I2" s="276" t="s">
        <v>130</v>
      </c>
    </row>
    <row r="3" spans="2:43" s="5" customFormat="1" thickBot="1" x14ac:dyDescent="0.2"/>
    <row r="4" spans="2:43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39"/>
      <c r="M4" s="340"/>
      <c r="N4" s="341" t="s">
        <v>81</v>
      </c>
      <c r="O4" s="342"/>
      <c r="P4" s="342"/>
      <c r="Q4" s="342"/>
      <c r="R4" s="342"/>
      <c r="S4" s="343"/>
      <c r="T4" s="344" t="s">
        <v>82</v>
      </c>
      <c r="U4" s="345"/>
      <c r="V4" s="345"/>
      <c r="W4" s="345"/>
      <c r="X4" s="345"/>
      <c r="Y4" s="346"/>
      <c r="Z4" s="347" t="s">
        <v>83</v>
      </c>
      <c r="AA4" s="348"/>
      <c r="AB4" s="348"/>
      <c r="AC4" s="348"/>
      <c r="AD4" s="348"/>
      <c r="AE4" s="349"/>
      <c r="AF4" s="350" t="s">
        <v>108</v>
      </c>
      <c r="AG4" s="351"/>
      <c r="AH4" s="351"/>
      <c r="AI4" s="351"/>
      <c r="AJ4" s="351"/>
      <c r="AK4" s="352"/>
      <c r="AM4" s="125"/>
      <c r="AN4" s="125"/>
      <c r="AO4" s="125"/>
      <c r="AP4" s="125"/>
      <c r="AQ4" s="125"/>
    </row>
    <row r="5" spans="2:43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140</v>
      </c>
      <c r="M5" s="130" t="s">
        <v>89</v>
      </c>
      <c r="N5" s="130" t="s">
        <v>119</v>
      </c>
      <c r="O5" s="131" t="s">
        <v>127</v>
      </c>
      <c r="P5" s="132" t="s">
        <v>140</v>
      </c>
      <c r="Q5" s="130" t="s">
        <v>150</v>
      </c>
      <c r="R5" s="130" t="s">
        <v>151</v>
      </c>
      <c r="S5" s="130" t="s">
        <v>89</v>
      </c>
      <c r="T5" s="130" t="s">
        <v>119</v>
      </c>
      <c r="U5" s="131" t="s">
        <v>127</v>
      </c>
      <c r="V5" s="132" t="s">
        <v>140</v>
      </c>
      <c r="W5" s="130" t="s">
        <v>150</v>
      </c>
      <c r="X5" s="130" t="s">
        <v>151</v>
      </c>
      <c r="Y5" s="130" t="s">
        <v>89</v>
      </c>
      <c r="Z5" s="130" t="s">
        <v>119</v>
      </c>
      <c r="AA5" s="131" t="s">
        <v>127</v>
      </c>
      <c r="AB5" s="132" t="s">
        <v>140</v>
      </c>
      <c r="AC5" s="130" t="s">
        <v>150</v>
      </c>
      <c r="AD5" s="130" t="s">
        <v>151</v>
      </c>
      <c r="AE5" s="130" t="s">
        <v>89</v>
      </c>
      <c r="AF5" s="130" t="s">
        <v>119</v>
      </c>
      <c r="AG5" s="131" t="s">
        <v>127</v>
      </c>
      <c r="AH5" s="132" t="s">
        <v>140</v>
      </c>
      <c r="AI5" s="130" t="s">
        <v>150</v>
      </c>
      <c r="AJ5" s="130" t="s">
        <v>151</v>
      </c>
      <c r="AK5" s="132" t="s">
        <v>89</v>
      </c>
    </row>
    <row r="6" spans="2:43" s="4" customFormat="1" ht="16" x14ac:dyDescent="0.2">
      <c r="B6" s="133" t="s">
        <v>70</v>
      </c>
      <c r="C6" s="134">
        <f>M6</f>
        <v>3.1</v>
      </c>
      <c r="D6" s="134">
        <f>S6</f>
        <v>3.0810291970802917</v>
      </c>
      <c r="E6" s="134">
        <f>Y6</f>
        <v>2.9392173913043478</v>
      </c>
      <c r="F6" s="134">
        <f>AE6</f>
        <v>2.8849329501915708</v>
      </c>
      <c r="G6" s="134">
        <f>AK6</f>
        <v>2.854773371104816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118">
        <v>1</v>
      </c>
      <c r="M6" s="304">
        <f>K6*L6+(1-L6)*J6</f>
        <v>3.1</v>
      </c>
      <c r="N6" s="242">
        <f>Variables!F9</f>
        <v>2.7949999999999999</v>
      </c>
      <c r="O6" s="242">
        <f>Variables!G9</f>
        <v>3.11</v>
      </c>
      <c r="P6" s="30">
        <f>1/(O$13-1)</f>
        <v>1</v>
      </c>
      <c r="Q6" s="30">
        <f>1/(ABS(N6-O6)/O6+1)</f>
        <v>0.90802919708029195</v>
      </c>
      <c r="R6" s="30">
        <f>P6*Q6</f>
        <v>0.90802919708029195</v>
      </c>
      <c r="S6" s="304">
        <f>O6*R6+(1-R6)*N6</f>
        <v>3.0810291970802917</v>
      </c>
      <c r="T6" s="242">
        <f>Variables!I9</f>
        <v>2.79</v>
      </c>
      <c r="U6" s="242">
        <f>Variables!J9</f>
        <v>3.12</v>
      </c>
      <c r="V6" s="30">
        <f>1/(U$13-1)</f>
        <v>0.5</v>
      </c>
      <c r="W6" s="30">
        <f>1/(ABS(T6-U6)/U6+1)</f>
        <v>0.90434782608695652</v>
      </c>
      <c r="X6" s="30">
        <f>V6*W6</f>
        <v>0.45217391304347826</v>
      </c>
      <c r="Y6" s="304">
        <f>U6*X6+(1-X6)*T6</f>
        <v>2.9392173913043478</v>
      </c>
      <c r="Z6" s="242">
        <f>Variables!L9</f>
        <v>2.78</v>
      </c>
      <c r="AA6" s="242">
        <f>Variables!M9</f>
        <v>3.13</v>
      </c>
      <c r="AB6" s="30">
        <f>1/(AA$13-1)</f>
        <v>0.33333333333333331</v>
      </c>
      <c r="AC6" s="30">
        <f>1/(ABS(Z6-AA6)/AA6+1)</f>
        <v>0.89942528735632188</v>
      </c>
      <c r="AD6" s="30">
        <f>AB6*AC6</f>
        <v>0.29980842911877392</v>
      </c>
      <c r="AE6" s="304">
        <f>AA6*AD6+(1-AD6)*Z6</f>
        <v>2.8849329501915708</v>
      </c>
      <c r="AF6" s="242">
        <f>Variables!O9</f>
        <v>2.77</v>
      </c>
      <c r="AG6" s="242">
        <f>Variables!P9</f>
        <v>3.15</v>
      </c>
      <c r="AH6" s="30">
        <f>1/(AG$13-1)</f>
        <v>0.25</v>
      </c>
      <c r="AI6" s="30">
        <f>1/(ABS(AF6-AG6)/AG6+1)</f>
        <v>0.8923512747875354</v>
      </c>
      <c r="AJ6" s="30">
        <f>AH6*AI6</f>
        <v>0.22308781869688385</v>
      </c>
      <c r="AK6" s="304">
        <f>AG6*AJ6+(1-AJ6)*AF6</f>
        <v>2.854773371104816</v>
      </c>
    </row>
    <row r="7" spans="2:43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118">
        <v>1</v>
      </c>
      <c r="M7" s="304">
        <f t="shared" ref="M7:M11" si="2">K7*L7+(1-L7)*J7</f>
        <v>0.81</v>
      </c>
      <c r="N7" s="243">
        <f>Variables!F11</f>
        <v>0.77</v>
      </c>
      <c r="O7" s="243">
        <f>Variables!G11</f>
        <v>0.82</v>
      </c>
      <c r="P7" s="30">
        <f t="shared" ref="P7:P11" si="3">1/(O$13-1)</f>
        <v>1</v>
      </c>
      <c r="Q7" s="30">
        <f t="shared" ref="Q7:Q11" si="4">1/(ABS(N7-O7)/O7+1)</f>
        <v>0.94252873563218409</v>
      </c>
      <c r="R7" s="30">
        <f t="shared" ref="R7:R11" si="5">P7*Q7</f>
        <v>0.94252873563218409</v>
      </c>
      <c r="S7" s="304">
        <f t="shared" ref="S7:S11" si="6">O7*R7+(1-R7)*N7</f>
        <v>0.81712643678160923</v>
      </c>
      <c r="T7" s="243">
        <f>Variables!I11</f>
        <v>0.76500000000000001</v>
      </c>
      <c r="U7" s="243">
        <f>Variables!J11</f>
        <v>0.82499999999999996</v>
      </c>
      <c r="V7" s="30">
        <f t="shared" ref="V7:V11" si="7">1/(U$13-1)</f>
        <v>0.5</v>
      </c>
      <c r="W7" s="30">
        <f t="shared" ref="W7:W11" si="8">1/(ABS(T7-U7)/U7+1)</f>
        <v>0.93220338983050843</v>
      </c>
      <c r="X7" s="30">
        <f t="shared" ref="X7:X11" si="9">V7*W7</f>
        <v>0.46610169491525422</v>
      </c>
      <c r="Y7" s="304">
        <f t="shared" ref="Y7:Y11" si="10">U7*X7+(1-X7)*T7</f>
        <v>0.79296610169491522</v>
      </c>
      <c r="Z7" s="243">
        <f>Variables!L11</f>
        <v>0.76</v>
      </c>
      <c r="AA7" s="243">
        <f>Variables!M11</f>
        <v>0.83</v>
      </c>
      <c r="AB7" s="30">
        <f t="shared" ref="AB7:AB11" si="11">1/(AA$13-1)</f>
        <v>0.33333333333333331</v>
      </c>
      <c r="AC7" s="30">
        <f t="shared" ref="AC7:AC11" si="12">1/(ABS(Z7-AA7)/AA7+1)</f>
        <v>0.92222222222222228</v>
      </c>
      <c r="AD7" s="30">
        <f t="shared" ref="AD7:AD11" si="13">AB7*AC7</f>
        <v>0.30740740740740741</v>
      </c>
      <c r="AE7" s="304">
        <f t="shared" ref="AE7:AE11" si="14">AA7*AD7+(1-AD7)*Z7</f>
        <v>0.7815185185185185</v>
      </c>
      <c r="AF7" s="243">
        <f>Variables!O11</f>
        <v>0.75</v>
      </c>
      <c r="AG7" s="243">
        <f>Variables!P11</f>
        <v>0.83499999999999996</v>
      </c>
      <c r="AH7" s="30">
        <f t="shared" ref="AH7:AH11" si="15">1/(AG$13-1)</f>
        <v>0.25</v>
      </c>
      <c r="AI7" s="30">
        <f t="shared" ref="AI7:AI11" si="16">1/(ABS(AF7-AG7)/AG7+1)</f>
        <v>0.90760869565217395</v>
      </c>
      <c r="AJ7" s="30">
        <f t="shared" ref="AJ7:AJ11" si="17">AH7*AI7</f>
        <v>0.22690217391304349</v>
      </c>
      <c r="AK7" s="304">
        <f t="shared" ref="AK7:AK11" si="18">AG7*AJ7+(1-AJ7)*AF7</f>
        <v>0.76928668478260875</v>
      </c>
    </row>
    <row r="8" spans="2:43" s="4" customFormat="1" ht="18" thickBot="1" x14ac:dyDescent="0.2">
      <c r="B8" s="140" t="s">
        <v>72</v>
      </c>
      <c r="C8" s="141">
        <f>M7</f>
        <v>0.81</v>
      </c>
      <c r="D8" s="141">
        <f>S7</f>
        <v>0.81712643678160923</v>
      </c>
      <c r="E8" s="141">
        <f>Y7</f>
        <v>0.79296610169491522</v>
      </c>
      <c r="F8" s="141">
        <f>AE7</f>
        <v>0.7815185185185185</v>
      </c>
      <c r="G8" s="142">
        <f>AK7</f>
        <v>0.76928668478260875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118">
        <v>1</v>
      </c>
      <c r="M8" s="304">
        <f t="shared" si="2"/>
        <v>37</v>
      </c>
      <c r="N8" s="242">
        <f>Variables!F15</f>
        <v>36</v>
      </c>
      <c r="O8" s="242">
        <f>Variables!G15</f>
        <v>38</v>
      </c>
      <c r="P8" s="30">
        <f t="shared" si="3"/>
        <v>1</v>
      </c>
      <c r="Q8" s="30">
        <f t="shared" si="4"/>
        <v>0.95000000000000007</v>
      </c>
      <c r="R8" s="30">
        <f t="shared" si="5"/>
        <v>0.95000000000000007</v>
      </c>
      <c r="S8" s="304">
        <f t="shared" si="6"/>
        <v>37.9</v>
      </c>
      <c r="T8" s="242">
        <f>Variables!I15</f>
        <v>36.25</v>
      </c>
      <c r="U8" s="242">
        <f>Variables!J15</f>
        <v>38.5</v>
      </c>
      <c r="V8" s="30">
        <f t="shared" si="7"/>
        <v>0.5</v>
      </c>
      <c r="W8" s="30">
        <f t="shared" si="8"/>
        <v>0.94478527607361962</v>
      </c>
      <c r="X8" s="30">
        <f t="shared" si="9"/>
        <v>0.47239263803680981</v>
      </c>
      <c r="Y8" s="304">
        <f t="shared" si="10"/>
        <v>37.312883435582819</v>
      </c>
      <c r="Z8" s="242">
        <f>Variables!L15</f>
        <v>36.5</v>
      </c>
      <c r="AA8" s="242">
        <f>Variables!M15</f>
        <v>39</v>
      </c>
      <c r="AB8" s="30">
        <f t="shared" si="11"/>
        <v>0.33333333333333331</v>
      </c>
      <c r="AC8" s="30">
        <f t="shared" si="12"/>
        <v>0.93975903614457834</v>
      </c>
      <c r="AD8" s="30">
        <f t="shared" si="13"/>
        <v>0.31325301204819278</v>
      </c>
      <c r="AE8" s="304">
        <f t="shared" si="14"/>
        <v>37.283132530120483</v>
      </c>
      <c r="AF8" s="242">
        <f>Variables!O15</f>
        <v>36.75</v>
      </c>
      <c r="AG8" s="242">
        <f>Variables!P15</f>
        <v>39.5</v>
      </c>
      <c r="AH8" s="30">
        <f t="shared" si="15"/>
        <v>0.25</v>
      </c>
      <c r="AI8" s="30">
        <f t="shared" si="16"/>
        <v>0.93491124260355041</v>
      </c>
      <c r="AJ8" s="30">
        <f t="shared" si="17"/>
        <v>0.2337278106508876</v>
      </c>
      <c r="AK8" s="304">
        <f t="shared" si="18"/>
        <v>37.392751479289942</v>
      </c>
    </row>
    <row r="9" spans="2:43" s="4" customFormat="1" ht="17" thickBot="1" x14ac:dyDescent="0.25">
      <c r="B9" s="266" t="s">
        <v>73</v>
      </c>
      <c r="C9" s="145">
        <f>+C5*C7*C8</f>
        <v>64006.200000000004</v>
      </c>
      <c r="D9" s="145">
        <f>+D5*D7*D8</f>
        <v>64569.331034482762</v>
      </c>
      <c r="E9" s="145">
        <f>+E5*E7*E8</f>
        <v>62660.181355932204</v>
      </c>
      <c r="F9" s="145">
        <f>+F5*F7*F8</f>
        <v>61755.593333333331</v>
      </c>
      <c r="G9" s="146">
        <f>+G5*G7*G8</f>
        <v>60789.033831521745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118">
        <v>1</v>
      </c>
      <c r="M9" s="304">
        <f t="shared" si="2"/>
        <v>0.27</v>
      </c>
      <c r="N9" s="243">
        <f>Variables!F24</f>
        <v>0.22</v>
      </c>
      <c r="O9" s="243">
        <f>Variables!G24</f>
        <v>0.28000000000000003</v>
      </c>
      <c r="P9" s="30">
        <f t="shared" si="3"/>
        <v>1</v>
      </c>
      <c r="Q9" s="30">
        <f t="shared" si="4"/>
        <v>0.82352941176470584</v>
      </c>
      <c r="R9" s="30">
        <f t="shared" si="5"/>
        <v>0.82352941176470584</v>
      </c>
      <c r="S9" s="304">
        <f t="shared" si="6"/>
        <v>0.26941176470588235</v>
      </c>
      <c r="T9" s="243">
        <f>Variables!I24</f>
        <v>0.215</v>
      </c>
      <c r="U9" s="243">
        <f>Variables!J24</f>
        <v>0.28499999999999998</v>
      </c>
      <c r="V9" s="30">
        <f t="shared" si="7"/>
        <v>0.5</v>
      </c>
      <c r="W9" s="30">
        <f t="shared" si="8"/>
        <v>0.80281690140845074</v>
      </c>
      <c r="X9" s="30">
        <f t="shared" si="9"/>
        <v>0.40140845070422537</v>
      </c>
      <c r="Y9" s="304">
        <f t="shared" si="10"/>
        <v>0.24309859154929575</v>
      </c>
      <c r="Z9" s="243">
        <f>Variables!L24</f>
        <v>0.21249999999999999</v>
      </c>
      <c r="AA9" s="243">
        <f>Variables!M24</f>
        <v>0.28999999999999998</v>
      </c>
      <c r="AB9" s="30">
        <f t="shared" si="11"/>
        <v>0.33333333333333331</v>
      </c>
      <c r="AC9" s="30">
        <f t="shared" si="12"/>
        <v>0.7891156462585035</v>
      </c>
      <c r="AD9" s="30">
        <f t="shared" si="13"/>
        <v>0.2630385487528345</v>
      </c>
      <c r="AE9" s="304">
        <f t="shared" si="14"/>
        <v>0.23288548752834468</v>
      </c>
      <c r="AF9" s="243">
        <f>Variables!O24</f>
        <v>0.21</v>
      </c>
      <c r="AG9" s="243">
        <f>Variables!P24</f>
        <v>0.3</v>
      </c>
      <c r="AH9" s="30">
        <f t="shared" si="15"/>
        <v>0.25</v>
      </c>
      <c r="AI9" s="30">
        <f t="shared" si="16"/>
        <v>0.76923076923076916</v>
      </c>
      <c r="AJ9" s="30">
        <f t="shared" si="17"/>
        <v>0.19230769230769229</v>
      </c>
      <c r="AK9" s="304">
        <f t="shared" si="18"/>
        <v>0.22730769230769229</v>
      </c>
    </row>
    <row r="10" spans="2:43" s="4" customFormat="1" ht="34" x14ac:dyDescent="0.15">
      <c r="B10" s="265" t="s">
        <v>74</v>
      </c>
      <c r="C10" s="145">
        <f>+C5*C6*C7*C8</f>
        <v>198419.22000000003</v>
      </c>
      <c r="D10" s="145">
        <f>+D5*D6*D7*D8</f>
        <v>198939.994153184</v>
      </c>
      <c r="E10" s="145">
        <f>+E5*E6*E7*E8</f>
        <v>184171.89478364037</v>
      </c>
      <c r="F10" s="145">
        <f>+F5*F6*F7*F8</f>
        <v>178160.74606596422</v>
      </c>
      <c r="G10" s="146">
        <f>+G5*G6*G7*G8</f>
        <v>173538.91503741805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118">
        <v>1</v>
      </c>
      <c r="M10" s="304">
        <f t="shared" si="2"/>
        <v>0.02</v>
      </c>
      <c r="N10" s="243">
        <f>Variables!F26</f>
        <v>0.04</v>
      </c>
      <c r="O10" s="243">
        <f>Variables!G26</f>
        <v>0.02</v>
      </c>
      <c r="P10" s="30">
        <f t="shared" si="3"/>
        <v>1</v>
      </c>
      <c r="Q10" s="30">
        <f t="shared" si="4"/>
        <v>0.5</v>
      </c>
      <c r="R10" s="30">
        <f t="shared" si="5"/>
        <v>0.5</v>
      </c>
      <c r="S10" s="304">
        <f t="shared" si="6"/>
        <v>0.03</v>
      </c>
      <c r="T10" s="243">
        <f>Variables!I26</f>
        <v>0.04</v>
      </c>
      <c r="U10" s="243">
        <f>Variables!J26</f>
        <v>0.02</v>
      </c>
      <c r="V10" s="30">
        <f t="shared" si="7"/>
        <v>0.5</v>
      </c>
      <c r="W10" s="30">
        <f t="shared" si="8"/>
        <v>0.5</v>
      </c>
      <c r="X10" s="30">
        <f t="shared" si="9"/>
        <v>0.25</v>
      </c>
      <c r="Y10" s="304">
        <f t="shared" si="10"/>
        <v>3.4999999999999996E-2</v>
      </c>
      <c r="Z10" s="243">
        <f>Variables!L26</f>
        <v>0.04</v>
      </c>
      <c r="AA10" s="243">
        <f>Variables!M26</f>
        <v>0.02</v>
      </c>
      <c r="AB10" s="30">
        <f t="shared" si="11"/>
        <v>0.33333333333333331</v>
      </c>
      <c r="AC10" s="30">
        <f t="shared" si="12"/>
        <v>0.5</v>
      </c>
      <c r="AD10" s="30">
        <f t="shared" si="13"/>
        <v>0.16666666666666666</v>
      </c>
      <c r="AE10" s="304">
        <f t="shared" si="14"/>
        <v>3.6666666666666667E-2</v>
      </c>
      <c r="AF10" s="243">
        <f>Variables!O26</f>
        <v>0.04</v>
      </c>
      <c r="AG10" s="243">
        <f>Variables!P26</f>
        <v>0.02</v>
      </c>
      <c r="AH10" s="30">
        <f t="shared" si="15"/>
        <v>0.25</v>
      </c>
      <c r="AI10" s="30">
        <f t="shared" si="16"/>
        <v>0.5</v>
      </c>
      <c r="AJ10" s="30">
        <f t="shared" si="17"/>
        <v>0.125</v>
      </c>
      <c r="AK10" s="304">
        <f t="shared" si="18"/>
        <v>3.7500000000000006E-2</v>
      </c>
    </row>
    <row r="11" spans="2:43" s="4" customFormat="1" ht="18" thickBot="1" x14ac:dyDescent="0.25">
      <c r="B11" s="133" t="s">
        <v>75</v>
      </c>
      <c r="C11" s="148">
        <f>M8</f>
        <v>37</v>
      </c>
      <c r="D11" s="148">
        <f>S8</f>
        <v>37.9</v>
      </c>
      <c r="E11" s="148">
        <f>Y8</f>
        <v>37.312883435582819</v>
      </c>
      <c r="F11" s="148">
        <f>AE8</f>
        <v>37.283132530120483</v>
      </c>
      <c r="G11" s="149">
        <f>AK8</f>
        <v>37.392751479289942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305">
        <v>1</v>
      </c>
      <c r="M11" s="306">
        <f t="shared" si="2"/>
        <v>0.01</v>
      </c>
      <c r="N11" s="244">
        <f>Variables!F29</f>
        <v>0.04</v>
      </c>
      <c r="O11" s="244">
        <f>Variables!G29</f>
        <v>0.01</v>
      </c>
      <c r="P11" s="226">
        <f t="shared" si="3"/>
        <v>1</v>
      </c>
      <c r="Q11" s="226">
        <f t="shared" si="4"/>
        <v>0.25</v>
      </c>
      <c r="R11" s="226">
        <f t="shared" si="5"/>
        <v>0.25</v>
      </c>
      <c r="S11" s="306">
        <f t="shared" si="6"/>
        <v>3.2500000000000001E-2</v>
      </c>
      <c r="T11" s="244">
        <f>Variables!I29</f>
        <v>0.04</v>
      </c>
      <c r="U11" s="244">
        <f>Variables!J29</f>
        <v>0.01</v>
      </c>
      <c r="V11" s="226">
        <f t="shared" si="7"/>
        <v>0.5</v>
      </c>
      <c r="W11" s="226">
        <f t="shared" si="8"/>
        <v>0.25</v>
      </c>
      <c r="X11" s="226">
        <f t="shared" si="9"/>
        <v>0.125</v>
      </c>
      <c r="Y11" s="306">
        <f t="shared" si="10"/>
        <v>3.6250000000000004E-2</v>
      </c>
      <c r="Z11" s="244">
        <f>Variables!L29</f>
        <v>0.04</v>
      </c>
      <c r="AA11" s="244">
        <f>Variables!M29</f>
        <v>0.01</v>
      </c>
      <c r="AB11" s="226">
        <f t="shared" si="11"/>
        <v>0.33333333333333331</v>
      </c>
      <c r="AC11" s="226">
        <f t="shared" si="12"/>
        <v>0.25</v>
      </c>
      <c r="AD11" s="226">
        <f t="shared" si="13"/>
        <v>8.3333333333333329E-2</v>
      </c>
      <c r="AE11" s="306">
        <f t="shared" si="14"/>
        <v>3.7499999999999999E-2</v>
      </c>
      <c r="AF11" s="244">
        <f>Variables!O29</f>
        <v>0.04</v>
      </c>
      <c r="AG11" s="244">
        <f>Variables!P29</f>
        <v>0.01</v>
      </c>
      <c r="AH11" s="226">
        <f t="shared" si="15"/>
        <v>0.25</v>
      </c>
      <c r="AI11" s="226">
        <f t="shared" si="16"/>
        <v>0.25</v>
      </c>
      <c r="AJ11" s="226">
        <f t="shared" si="17"/>
        <v>6.25E-2</v>
      </c>
      <c r="AK11" s="306">
        <f t="shared" si="18"/>
        <v>3.8124999999999999E-2</v>
      </c>
    </row>
    <row r="12" spans="2:43" s="7" customFormat="1" ht="18" thickBot="1" x14ac:dyDescent="0.25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69"/>
      <c r="N12" s="270"/>
      <c r="O12" s="270"/>
      <c r="P12" s="269"/>
      <c r="Q12" s="269"/>
      <c r="R12" s="269"/>
      <c r="S12" s="269"/>
      <c r="T12" s="270"/>
      <c r="U12" s="270"/>
      <c r="V12" s="269"/>
      <c r="W12" s="269"/>
      <c r="X12" s="269"/>
      <c r="Y12" s="269"/>
      <c r="Z12" s="270"/>
      <c r="AA12" s="270"/>
      <c r="AB12" s="269"/>
      <c r="AC12" s="269"/>
      <c r="AD12" s="269"/>
      <c r="AE12" s="269"/>
      <c r="AF12" s="270"/>
      <c r="AG12" s="271"/>
      <c r="AH12" s="99"/>
      <c r="AI12" s="99"/>
      <c r="AJ12" s="99"/>
      <c r="AK12" s="99"/>
    </row>
    <row r="13" spans="2:43" s="4" customFormat="1" ht="17" thickBot="1" x14ac:dyDescent="0.25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101" t="s">
        <v>68</v>
      </c>
      <c r="K13" s="103">
        <v>1</v>
      </c>
      <c r="L13" s="5"/>
      <c r="M13" s="5"/>
      <c r="N13" s="101" t="s">
        <v>68</v>
      </c>
      <c r="O13" s="102">
        <v>2</v>
      </c>
      <c r="P13" s="5"/>
      <c r="Q13" s="5"/>
      <c r="R13" s="5"/>
      <c r="S13" s="5"/>
      <c r="T13" s="101" t="s">
        <v>68</v>
      </c>
      <c r="U13" s="102">
        <v>3</v>
      </c>
      <c r="V13" s="5"/>
      <c r="W13" s="5"/>
      <c r="X13" s="5"/>
      <c r="Y13" s="5"/>
      <c r="Z13" s="101" t="s">
        <v>68</v>
      </c>
      <c r="AA13" s="102">
        <v>4</v>
      </c>
      <c r="AB13" s="5"/>
      <c r="AC13" s="5"/>
      <c r="AD13" s="5"/>
      <c r="AE13" s="5"/>
      <c r="AF13" s="101" t="s">
        <v>68</v>
      </c>
      <c r="AG13" s="102">
        <v>5</v>
      </c>
      <c r="AH13" s="87"/>
      <c r="AI13" s="87"/>
      <c r="AJ13" s="87"/>
      <c r="AK13" s="87"/>
    </row>
    <row r="14" spans="2:43" s="4" customFormat="1" ht="16" x14ac:dyDescent="0.2">
      <c r="B14" s="136" t="s">
        <v>125</v>
      </c>
      <c r="C14" s="137">
        <f t="shared" ref="C14:G14" si="19">C24-C26</f>
        <v>5359303.1322000008</v>
      </c>
      <c r="D14" s="137">
        <f t="shared" si="19"/>
        <v>5508508.0098704984</v>
      </c>
      <c r="E14" s="137">
        <f t="shared" si="19"/>
        <v>5201414.7031316143</v>
      </c>
      <c r="F14" s="137">
        <f t="shared" si="19"/>
        <v>5095474.3090325724</v>
      </c>
      <c r="G14" s="138">
        <f t="shared" si="19"/>
        <v>5014075.7390989959</v>
      </c>
      <c r="H14" s="139"/>
      <c r="J14" s="268"/>
      <c r="K14" s="268"/>
      <c r="L14" s="272"/>
      <c r="M14" s="272"/>
      <c r="N14" s="273"/>
      <c r="O14" s="273"/>
      <c r="P14" s="272"/>
      <c r="Q14" s="272"/>
      <c r="R14" s="272"/>
      <c r="S14" s="272"/>
      <c r="T14" s="273"/>
      <c r="U14" s="273"/>
      <c r="V14" s="272"/>
      <c r="W14" s="272"/>
      <c r="X14" s="272"/>
      <c r="Y14" s="272"/>
      <c r="Z14" s="273"/>
      <c r="AA14" s="273"/>
      <c r="AB14" s="272"/>
      <c r="AC14" s="272"/>
      <c r="AD14" s="272"/>
      <c r="AE14" s="272"/>
      <c r="AF14" s="273"/>
      <c r="AG14" s="274"/>
      <c r="AH14" s="87"/>
      <c r="AI14" s="87"/>
      <c r="AJ14" s="87"/>
      <c r="AK14" s="87"/>
    </row>
    <row r="15" spans="2:43" s="4" customFormat="1" ht="16" x14ac:dyDescent="0.2">
      <c r="B15" s="136" t="s">
        <v>126</v>
      </c>
      <c r="C15" s="297">
        <f>C14/C24</f>
        <v>0.73</v>
      </c>
      <c r="D15" s="297">
        <f>D14/D24</f>
        <v>0.73058823529411765</v>
      </c>
      <c r="E15" s="297">
        <f>E14/E24</f>
        <v>0.7569014084507043</v>
      </c>
      <c r="F15" s="297">
        <f>F14/F24</f>
        <v>0.7671145124716553</v>
      </c>
      <c r="G15" s="298">
        <f>G14/G24</f>
        <v>0.77269230769230768</v>
      </c>
      <c r="H15" s="151"/>
      <c r="J15" s="268"/>
      <c r="K15" s="268"/>
      <c r="L15" s="272"/>
      <c r="M15" s="272"/>
      <c r="N15" s="273"/>
      <c r="O15" s="273"/>
      <c r="P15" s="272"/>
      <c r="Q15" s="272"/>
      <c r="R15" s="272"/>
      <c r="S15" s="272"/>
      <c r="T15" s="273"/>
      <c r="U15" s="273"/>
      <c r="V15" s="272"/>
      <c r="W15" s="272"/>
      <c r="X15" s="272"/>
      <c r="Y15" s="272"/>
      <c r="Z15" s="273"/>
      <c r="AA15" s="273"/>
      <c r="AB15" s="272"/>
      <c r="AC15" s="272"/>
      <c r="AD15" s="272"/>
      <c r="AE15" s="272"/>
      <c r="AF15" s="273"/>
      <c r="AG15" s="274"/>
      <c r="AH15" s="87"/>
      <c r="AI15" s="87"/>
      <c r="AJ15" s="87"/>
      <c r="AK15" s="87"/>
    </row>
    <row r="16" spans="2:43" s="4" customFormat="1" ht="16" x14ac:dyDescent="0.2">
      <c r="B16" s="133" t="s">
        <v>76</v>
      </c>
      <c r="C16" s="152">
        <f>M9</f>
        <v>0.27</v>
      </c>
      <c r="D16" s="152">
        <f>S9</f>
        <v>0.26941176470588235</v>
      </c>
      <c r="E16" s="152">
        <f>Y9</f>
        <v>0.24309859154929575</v>
      </c>
      <c r="F16" s="152">
        <f>AE9</f>
        <v>0.23288548752834468</v>
      </c>
      <c r="G16" s="153">
        <f>AK9</f>
        <v>0.22730769230769229</v>
      </c>
      <c r="H16" s="154"/>
    </row>
    <row r="17" spans="2:37" s="4" customFormat="1" ht="34" x14ac:dyDescent="0.15">
      <c r="B17" s="140" t="s">
        <v>77</v>
      </c>
      <c r="C17" s="155">
        <f>M10</f>
        <v>0.02</v>
      </c>
      <c r="D17" s="155">
        <f>S10</f>
        <v>0.03</v>
      </c>
      <c r="E17" s="155">
        <f>Y10</f>
        <v>3.4999999999999996E-2</v>
      </c>
      <c r="F17" s="155">
        <f>AE10</f>
        <v>3.6666666666666667E-2</v>
      </c>
      <c r="G17" s="156">
        <f>AK10</f>
        <v>3.7500000000000006E-2</v>
      </c>
      <c r="H17" s="157"/>
    </row>
    <row r="18" spans="2:37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20">D18</f>
        <v>0.25</v>
      </c>
      <c r="F18" s="159">
        <f t="shared" si="20"/>
        <v>0.25</v>
      </c>
      <c r="G18" s="160">
        <f t="shared" si="20"/>
        <v>0.25</v>
      </c>
      <c r="H18" s="161"/>
      <c r="J18" s="158"/>
      <c r="K18" s="158"/>
      <c r="L18" s="162"/>
      <c r="M18" s="162"/>
      <c r="N18" s="158"/>
      <c r="O18" s="158"/>
      <c r="P18" s="162"/>
      <c r="Q18" s="162"/>
      <c r="R18" s="162"/>
      <c r="S18" s="162"/>
      <c r="T18" s="158"/>
      <c r="U18" s="158"/>
      <c r="V18" s="162"/>
      <c r="W18" s="162"/>
      <c r="X18" s="162"/>
      <c r="Y18" s="162"/>
      <c r="Z18" s="158"/>
      <c r="AA18" s="158"/>
      <c r="AB18" s="162"/>
      <c r="AC18" s="162"/>
      <c r="AD18" s="162"/>
      <c r="AE18" s="162"/>
      <c r="AF18" s="158"/>
      <c r="AG18" s="158"/>
      <c r="AH18" s="63"/>
      <c r="AI18" s="63"/>
      <c r="AJ18" s="63"/>
      <c r="AK18" s="63"/>
    </row>
    <row r="19" spans="2:37" s="4" customFormat="1" ht="18" thickBot="1" x14ac:dyDescent="0.25">
      <c r="B19" s="163" t="s">
        <v>79</v>
      </c>
      <c r="C19" s="164">
        <f>M11</f>
        <v>0.01</v>
      </c>
      <c r="D19" s="164">
        <f>S11</f>
        <v>3.2500000000000001E-2</v>
      </c>
      <c r="E19" s="164">
        <f>Y11</f>
        <v>3.6250000000000004E-2</v>
      </c>
      <c r="F19" s="164">
        <f>AE11</f>
        <v>3.7499999999999999E-2</v>
      </c>
      <c r="G19" s="165">
        <f>AK11</f>
        <v>3.8124999999999999E-2</v>
      </c>
      <c r="H19" s="154"/>
    </row>
    <row r="20" spans="2:37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37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37" s="4" customFormat="1" thickBot="1" x14ac:dyDescent="0.2">
      <c r="B22" s="10"/>
      <c r="C22" s="6"/>
    </row>
    <row r="23" spans="2:37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37" s="4" customFormat="1" ht="16" x14ac:dyDescent="0.15">
      <c r="B24" s="169" t="s">
        <v>84</v>
      </c>
      <c r="C24" s="170">
        <f>C5*C6*C7*C8*C11</f>
        <v>7341511.1400000015</v>
      </c>
      <c r="D24" s="170">
        <f>D5*D6*D7*D8*D11</f>
        <v>7539825.7784056738</v>
      </c>
      <c r="E24" s="170">
        <f>E5*E6*E7*E8*E11</f>
        <v>6871984.442172396</v>
      </c>
      <c r="F24" s="170">
        <f>F5*F6*F7*F8*F11</f>
        <v>6642390.7072424851</v>
      </c>
      <c r="G24" s="171">
        <f>G5*G6*G7*G8*G11</f>
        <v>6489097.5219797855</v>
      </c>
      <c r="H24" s="12"/>
      <c r="I24" s="6"/>
      <c r="J24" s="6"/>
    </row>
    <row r="25" spans="2:37" s="4" customFormat="1" ht="16" x14ac:dyDescent="0.15">
      <c r="B25" s="172" t="s">
        <v>85</v>
      </c>
      <c r="C25" s="173">
        <f>C24-C26</f>
        <v>5359303.1322000008</v>
      </c>
      <c r="D25" s="173">
        <f t="shared" ref="D25:G25" si="21">D24-D26</f>
        <v>5508508.0098704984</v>
      </c>
      <c r="E25" s="173">
        <f t="shared" si="21"/>
        <v>5201414.7031316143</v>
      </c>
      <c r="F25" s="173">
        <f t="shared" si="21"/>
        <v>5095474.3090325724</v>
      </c>
      <c r="G25" s="174">
        <f t="shared" si="21"/>
        <v>5014075.7390989959</v>
      </c>
      <c r="H25" s="12"/>
      <c r="I25" s="6"/>
      <c r="J25" s="6"/>
    </row>
    <row r="26" spans="2:37" s="4" customFormat="1" ht="16" x14ac:dyDescent="0.15">
      <c r="B26" s="175" t="s">
        <v>0</v>
      </c>
      <c r="C26" s="173">
        <f>C16*C24</f>
        <v>1982208.0078000005</v>
      </c>
      <c r="D26" s="173">
        <f>D16*D24</f>
        <v>2031317.7685351756</v>
      </c>
      <c r="E26" s="173">
        <f>E16*E24</f>
        <v>1670569.7390407822</v>
      </c>
      <c r="F26" s="173">
        <f>F16*F24</f>
        <v>1546916.3982099122</v>
      </c>
      <c r="G26" s="174">
        <f>G16*G24</f>
        <v>1475021.7828807896</v>
      </c>
      <c r="H26" s="12"/>
      <c r="I26" s="6"/>
      <c r="J26" s="6"/>
    </row>
    <row r="27" spans="2:37" s="4" customFormat="1" ht="16" x14ac:dyDescent="0.15">
      <c r="B27" s="172" t="s">
        <v>133</v>
      </c>
      <c r="C27" s="173">
        <f>C17*C24</f>
        <v>146830.22280000005</v>
      </c>
      <c r="D27" s="173">
        <f>D17*D24</f>
        <v>226194.77335217022</v>
      </c>
      <c r="E27" s="173">
        <f>E17*E24</f>
        <v>240519.45547603382</v>
      </c>
      <c r="F27" s="173">
        <f>F17*F24</f>
        <v>243554.32593222446</v>
      </c>
      <c r="G27" s="174">
        <f>G17*G24</f>
        <v>243341.15707424199</v>
      </c>
      <c r="H27" s="6"/>
      <c r="I27" s="6"/>
      <c r="J27" s="6"/>
    </row>
    <row r="28" spans="2:37" s="4" customFormat="1" ht="16" x14ac:dyDescent="0.15">
      <c r="B28" s="175" t="s">
        <v>65</v>
      </c>
      <c r="C28" s="173">
        <f>C26-C27</f>
        <v>1835377.7850000004</v>
      </c>
      <c r="D28" s="173">
        <f t="shared" ref="D28:G28" si="22">D26-D27</f>
        <v>1805122.9951830055</v>
      </c>
      <c r="E28" s="173">
        <f t="shared" si="22"/>
        <v>1430050.2835647485</v>
      </c>
      <c r="F28" s="173">
        <f t="shared" si="22"/>
        <v>1303362.0722776877</v>
      </c>
      <c r="G28" s="174">
        <f t="shared" si="22"/>
        <v>1231680.6258065477</v>
      </c>
      <c r="H28" s="12"/>
      <c r="I28" s="6"/>
      <c r="J28" s="6"/>
    </row>
    <row r="29" spans="2:37" s="4" customFormat="1" ht="16" x14ac:dyDescent="0.15">
      <c r="B29" s="172" t="s">
        <v>99</v>
      </c>
      <c r="C29" s="173">
        <v>500322</v>
      </c>
      <c r="D29" s="173">
        <f t="shared" ref="D29:G29" si="23">+C29</f>
        <v>500322</v>
      </c>
      <c r="E29" s="173">
        <f t="shared" si="23"/>
        <v>500322</v>
      </c>
      <c r="F29" s="173">
        <f t="shared" si="23"/>
        <v>500322</v>
      </c>
      <c r="G29" s="174">
        <f t="shared" si="23"/>
        <v>500322</v>
      </c>
      <c r="H29" s="6"/>
      <c r="I29" s="6"/>
      <c r="J29" s="6"/>
    </row>
    <row r="30" spans="2:37" s="4" customFormat="1" ht="16" x14ac:dyDescent="0.15">
      <c r="B30" s="175" t="s">
        <v>86</v>
      </c>
      <c r="C30" s="173">
        <f t="shared" ref="C30:G30" si="24">+C26-C29</f>
        <v>1481886.0078000005</v>
      </c>
      <c r="D30" s="173">
        <f t="shared" si="24"/>
        <v>1530995.7685351756</v>
      </c>
      <c r="E30" s="173">
        <f t="shared" si="24"/>
        <v>1170247.7390407822</v>
      </c>
      <c r="F30" s="173">
        <f t="shared" si="24"/>
        <v>1046594.3982099122</v>
      </c>
      <c r="G30" s="174">
        <f t="shared" si="24"/>
        <v>974699.7828807896</v>
      </c>
      <c r="H30" s="12"/>
      <c r="I30" s="6"/>
      <c r="J30" s="6"/>
    </row>
    <row r="31" spans="2:37" s="4" customFormat="1" ht="16" x14ac:dyDescent="0.15">
      <c r="B31" s="172" t="s">
        <v>134</v>
      </c>
      <c r="C31" s="173">
        <f>IF(C30&lt;=0,0,C$18*C30)</f>
        <v>370471.50195000012</v>
      </c>
      <c r="D31" s="173">
        <f t="shared" ref="D31:G31" si="25">IF(D30&lt;=0,0,D$18*D30)</f>
        <v>382748.9421337939</v>
      </c>
      <c r="E31" s="173">
        <f t="shared" si="25"/>
        <v>292561.93476019555</v>
      </c>
      <c r="F31" s="173">
        <f t="shared" si="25"/>
        <v>261648.59955247806</v>
      </c>
      <c r="G31" s="174">
        <f t="shared" si="25"/>
        <v>243674.9457201974</v>
      </c>
      <c r="H31" s="12"/>
      <c r="I31" s="6"/>
      <c r="J31" s="6"/>
    </row>
    <row r="32" spans="2:37" s="4" customFormat="1" ht="17" thickBot="1" x14ac:dyDescent="0.2">
      <c r="B32" s="176" t="s">
        <v>87</v>
      </c>
      <c r="C32" s="177">
        <f t="shared" ref="C32:G32" si="26">C30-C31</f>
        <v>1111414.5058500003</v>
      </c>
      <c r="D32" s="177">
        <f t="shared" si="26"/>
        <v>1148246.8264013818</v>
      </c>
      <c r="E32" s="177">
        <f t="shared" si="26"/>
        <v>877685.80428058666</v>
      </c>
      <c r="F32" s="177">
        <f t="shared" si="26"/>
        <v>784945.79865743418</v>
      </c>
      <c r="G32" s="178">
        <f t="shared" si="26"/>
        <v>731024.8371605922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27">+C32</f>
        <v>1111414.5058500003</v>
      </c>
      <c r="D37" s="223">
        <f t="shared" si="27"/>
        <v>1148246.8264013818</v>
      </c>
      <c r="E37" s="235">
        <f t="shared" si="27"/>
        <v>877685.80428058666</v>
      </c>
      <c r="F37" s="235">
        <f t="shared" si="27"/>
        <v>784945.79865743418</v>
      </c>
      <c r="G37" s="235">
        <f t="shared" si="27"/>
        <v>731024.8371605922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28">+C29</f>
        <v>500322</v>
      </c>
      <c r="D38" s="224">
        <f t="shared" si="28"/>
        <v>500322</v>
      </c>
      <c r="E38" s="111">
        <f t="shared" si="28"/>
        <v>500322</v>
      </c>
      <c r="F38" s="111">
        <f t="shared" si="28"/>
        <v>500322</v>
      </c>
      <c r="G38" s="111">
        <f t="shared" si="28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29">+C37+C38</f>
        <v>1611736.5058500003</v>
      </c>
      <c r="D39" s="224">
        <f t="shared" si="29"/>
        <v>1648568.8264013818</v>
      </c>
      <c r="E39" s="111">
        <f t="shared" si="29"/>
        <v>1378007.8042805865</v>
      </c>
      <c r="F39" s="111">
        <f t="shared" si="29"/>
        <v>1285267.7986574341</v>
      </c>
      <c r="G39" s="111">
        <f t="shared" si="29"/>
        <v>1231346.8371605922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293660.44560000009</v>
      </c>
      <c r="D40" s="224">
        <f>+C40*(1+D19)</f>
        <v>303204.41008200007</v>
      </c>
      <c r="E40" s="111">
        <f>+D40*(1+E19)</f>
        <v>314195.56994747254</v>
      </c>
      <c r="F40" s="111">
        <f>+E40*(1+F19)</f>
        <v>325977.9038205028</v>
      </c>
      <c r="G40" s="111">
        <f>+F40*(1+G19)</f>
        <v>338405.81140365946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1318076.0602500001</v>
      </c>
      <c r="D41" s="295">
        <f t="shared" ref="D41:G41" si="30">D39-D40</f>
        <v>1345364.4163193817</v>
      </c>
      <c r="E41" s="295">
        <f t="shared" si="30"/>
        <v>1063812.234333114</v>
      </c>
      <c r="F41" s="295">
        <f t="shared" si="30"/>
        <v>959289.89483693126</v>
      </c>
      <c r="G41" s="295">
        <f t="shared" si="30"/>
        <v>892941.0257569328</v>
      </c>
      <c r="H41" s="295">
        <f>G41*(1+C47)/(C46-C47)</f>
        <v>18215996.925441429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2710352.1699831039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51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51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51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51" x14ac:dyDescent="0.15">
      <c r="B68" s="183" t="s">
        <v>0</v>
      </c>
      <c r="C68" s="185">
        <f>C26</f>
        <v>1982208.0078000005</v>
      </c>
      <c r="D68" s="185">
        <f>D26</f>
        <v>2031317.7685351756</v>
      </c>
      <c r="E68" s="185">
        <f>E26</f>
        <v>1670569.7390407822</v>
      </c>
      <c r="F68" s="185">
        <f>F26</f>
        <v>1546916.3982099122</v>
      </c>
      <c r="G68" s="185">
        <f>G26</f>
        <v>1475021.7828807896</v>
      </c>
      <c r="H68" s="185"/>
      <c r="I68" s="182"/>
      <c r="J68" s="182"/>
    </row>
    <row r="69" spans="1:51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31">D69</f>
        <v>500322</v>
      </c>
      <c r="F69" s="184">
        <f t="shared" si="31"/>
        <v>500322</v>
      </c>
      <c r="G69" s="184">
        <f t="shared" si="31"/>
        <v>500322</v>
      </c>
      <c r="H69" s="184"/>
      <c r="I69" s="182"/>
      <c r="J69" s="182"/>
    </row>
    <row r="70" spans="1:51" x14ac:dyDescent="0.15">
      <c r="B70" s="183" t="s">
        <v>2</v>
      </c>
      <c r="C70" s="185">
        <f>C68-C69</f>
        <v>1481886.0078000005</v>
      </c>
      <c r="D70" s="185">
        <f t="shared" ref="D70:G70" si="32">D68-D69</f>
        <v>1530995.7685351756</v>
      </c>
      <c r="E70" s="185">
        <f t="shared" si="32"/>
        <v>1170247.7390407822</v>
      </c>
      <c r="F70" s="185">
        <f t="shared" si="32"/>
        <v>1046594.3982099122</v>
      </c>
      <c r="G70" s="185">
        <f t="shared" si="32"/>
        <v>974699.7828807896</v>
      </c>
      <c r="H70" s="185"/>
      <c r="I70" s="182"/>
      <c r="J70" s="182"/>
    </row>
    <row r="71" spans="1:51" x14ac:dyDescent="0.15">
      <c r="B71" s="182" t="s">
        <v>3</v>
      </c>
      <c r="C71" s="184">
        <f>C70*0.25</f>
        <v>370471.50195000012</v>
      </c>
      <c r="D71" s="184">
        <f t="shared" ref="D71:G71" si="33">D70*0.25</f>
        <v>382748.9421337939</v>
      </c>
      <c r="E71" s="184">
        <f t="shared" si="33"/>
        <v>292561.93476019555</v>
      </c>
      <c r="F71" s="184">
        <f t="shared" si="33"/>
        <v>261648.59955247806</v>
      </c>
      <c r="G71" s="184">
        <f t="shared" si="33"/>
        <v>243674.9457201974</v>
      </c>
      <c r="H71" s="184"/>
      <c r="I71" s="182"/>
      <c r="J71" s="182"/>
    </row>
    <row r="72" spans="1:51" x14ac:dyDescent="0.15">
      <c r="B72" s="183" t="s">
        <v>4</v>
      </c>
      <c r="C72" s="185">
        <f>C70-C71</f>
        <v>1111414.5058500003</v>
      </c>
      <c r="D72" s="185">
        <f t="shared" ref="D72:G72" si="34">D70-D71</f>
        <v>1148246.8264013818</v>
      </c>
      <c r="E72" s="185">
        <f t="shared" si="34"/>
        <v>877685.80428058666</v>
      </c>
      <c r="F72" s="185">
        <f t="shared" si="34"/>
        <v>784945.79865743418</v>
      </c>
      <c r="G72" s="185">
        <f t="shared" si="34"/>
        <v>731024.8371605922</v>
      </c>
      <c r="H72" s="185"/>
      <c r="I72" s="182"/>
      <c r="J72" s="182"/>
    </row>
    <row r="73" spans="1:51" x14ac:dyDescent="0.15">
      <c r="B73" s="182" t="s">
        <v>1</v>
      </c>
      <c r="C73" s="184">
        <f>C69</f>
        <v>500322</v>
      </c>
      <c r="D73" s="184">
        <f t="shared" ref="D73:G73" si="35">D69</f>
        <v>500322</v>
      </c>
      <c r="E73" s="184">
        <f t="shared" si="35"/>
        <v>500322</v>
      </c>
      <c r="F73" s="184">
        <f t="shared" si="35"/>
        <v>500322</v>
      </c>
      <c r="G73" s="184">
        <f t="shared" si="35"/>
        <v>500322</v>
      </c>
      <c r="H73" s="184"/>
      <c r="I73" s="182"/>
      <c r="J73" s="182"/>
    </row>
    <row r="74" spans="1:51" x14ac:dyDescent="0.15">
      <c r="B74" s="183" t="s">
        <v>5</v>
      </c>
      <c r="C74" s="186">
        <f>C72+C73</f>
        <v>1611736.5058500003</v>
      </c>
      <c r="D74" s="186">
        <f t="shared" ref="D74:G74" si="36">D72+D73</f>
        <v>1648568.8264013818</v>
      </c>
      <c r="E74" s="186">
        <f t="shared" si="36"/>
        <v>1378007.8042805865</v>
      </c>
      <c r="F74" s="186">
        <f t="shared" si="36"/>
        <v>1285267.7986574341</v>
      </c>
      <c r="G74" s="186">
        <f t="shared" si="36"/>
        <v>1231346.8371605922</v>
      </c>
      <c r="H74" s="186"/>
      <c r="I74" s="182"/>
      <c r="J74" s="182"/>
    </row>
    <row r="75" spans="1:51" x14ac:dyDescent="0.15">
      <c r="B75" s="182" t="s">
        <v>7</v>
      </c>
      <c r="C75" s="187">
        <f>C40</f>
        <v>293660.44560000009</v>
      </c>
      <c r="D75" s="187">
        <f>D40</f>
        <v>303204.41008200007</v>
      </c>
      <c r="E75" s="187">
        <f>E40</f>
        <v>314195.56994747254</v>
      </c>
      <c r="F75" s="187">
        <f>F40</f>
        <v>325977.9038205028</v>
      </c>
      <c r="G75" s="187">
        <f>G40</f>
        <v>338405.81140365946</v>
      </c>
      <c r="H75" s="187"/>
      <c r="I75" s="182"/>
      <c r="J75" s="182"/>
    </row>
    <row r="76" spans="1:51" x14ac:dyDescent="0.15">
      <c r="B76" s="183" t="s">
        <v>6</v>
      </c>
      <c r="C76" s="186">
        <f>C74-C75</f>
        <v>1318076.0602500001</v>
      </c>
      <c r="D76" s="186">
        <f t="shared" ref="D76:G76" si="37">D74-D75</f>
        <v>1345364.4163193817</v>
      </c>
      <c r="E76" s="186">
        <f t="shared" si="37"/>
        <v>1063812.234333114</v>
      </c>
      <c r="F76" s="186">
        <f t="shared" si="37"/>
        <v>959289.89483693126</v>
      </c>
      <c r="G76" s="186">
        <f t="shared" si="37"/>
        <v>892941.0257569328</v>
      </c>
      <c r="H76" s="186"/>
      <c r="I76" s="182"/>
      <c r="J76" s="182"/>
    </row>
    <row r="77" spans="1:51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51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51" s="194" customFormat="1" x14ac:dyDescent="0.15">
      <c r="A79" s="193"/>
      <c r="B79" s="183" t="s">
        <v>10</v>
      </c>
      <c r="C79" s="191">
        <f>C76</f>
        <v>1318076.0602500001</v>
      </c>
      <c r="D79" s="191">
        <f>D76</f>
        <v>1345364.4163193817</v>
      </c>
      <c r="E79" s="191">
        <f>E76</f>
        <v>1063812.234333114</v>
      </c>
      <c r="F79" s="191">
        <f>F76</f>
        <v>959289.89483693126</v>
      </c>
      <c r="G79" s="191">
        <f>G76</f>
        <v>892941.0257569328</v>
      </c>
      <c r="H79" s="191"/>
      <c r="I79" s="192">
        <f>G79*(1+C83)/(C114-C113)</f>
        <v>4298488.3712394824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</row>
    <row r="80" spans="1:51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4" x14ac:dyDescent="0.15">
      <c r="B81" s="182" t="s">
        <v>37</v>
      </c>
      <c r="C81" s="195">
        <f>C79</f>
        <v>1318076.0602500001</v>
      </c>
      <c r="D81" s="195">
        <f t="shared" ref="D81:G81" si="38">D79</f>
        <v>1345364.4163193817</v>
      </c>
      <c r="E81" s="195">
        <f t="shared" si="38"/>
        <v>1063812.234333114</v>
      </c>
      <c r="F81" s="195">
        <f t="shared" si="38"/>
        <v>959289.89483693126</v>
      </c>
      <c r="G81" s="195">
        <f t="shared" si="38"/>
        <v>892941.0257569328</v>
      </c>
      <c r="H81" s="195"/>
      <c r="I81" s="197"/>
      <c r="J81" s="197"/>
    </row>
    <row r="82" spans="2:14" x14ac:dyDescent="0.15">
      <c r="B82" s="182" t="s">
        <v>38</v>
      </c>
      <c r="C82" s="198"/>
      <c r="D82" s="197">
        <f>(D81/C81)-1</f>
        <v>2.0703172519654034E-2</v>
      </c>
      <c r="E82" s="197">
        <f t="shared" ref="E82:G82" si="39">(E81/D81)-1</f>
        <v>-0.20927577582030299</v>
      </c>
      <c r="F82" s="197">
        <f t="shared" si="39"/>
        <v>-9.8252620267810786E-2</v>
      </c>
      <c r="G82" s="197">
        <f t="shared" si="39"/>
        <v>-6.916456582843189E-2</v>
      </c>
      <c r="H82" s="197"/>
      <c r="I82" s="197"/>
      <c r="J82" s="197"/>
    </row>
    <row r="83" spans="2:14" x14ac:dyDescent="0.15">
      <c r="B83" s="183" t="s">
        <v>39</v>
      </c>
      <c r="C83" s="199">
        <f>AVERAGE(D82:G82)</f>
        <v>-8.8997447349222908E-2</v>
      </c>
      <c r="D83" s="195"/>
      <c r="E83" s="195"/>
      <c r="F83" s="195"/>
      <c r="G83" s="195"/>
      <c r="H83" s="195"/>
      <c r="I83" s="197"/>
      <c r="J83" s="197"/>
    </row>
    <row r="84" spans="2:14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4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4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  <c r="N86" s="200"/>
    </row>
    <row r="87" spans="2:14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  <c r="N87" s="200"/>
    </row>
    <row r="88" spans="2:14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  <c r="N88" s="200"/>
    </row>
    <row r="89" spans="2:14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  <c r="N89" s="200"/>
    </row>
    <row r="90" spans="2:14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  <c r="N90" s="200"/>
    </row>
    <row r="91" spans="2:14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  <c r="N91" s="200"/>
    </row>
    <row r="92" spans="2:14" x14ac:dyDescent="0.15">
      <c r="B92" s="183" t="s">
        <v>44</v>
      </c>
      <c r="C92" s="199">
        <v>0.25965169999999999</v>
      </c>
      <c r="D92" s="195"/>
      <c r="E92" s="195"/>
      <c r="F92" s="202">
        <f>K121</f>
        <v>0.4886476145078712</v>
      </c>
      <c r="G92" s="195" t="s">
        <v>55</v>
      </c>
      <c r="H92" s="195"/>
      <c r="I92" s="195"/>
      <c r="J92" s="195"/>
      <c r="K92" s="203"/>
      <c r="L92" s="200"/>
      <c r="M92" s="200"/>
      <c r="N92" s="200"/>
    </row>
    <row r="93" spans="2:14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0.5113523854921288</v>
      </c>
      <c r="G93" s="195" t="s">
        <v>57</v>
      </c>
      <c r="H93" s="195"/>
      <c r="I93" s="195"/>
      <c r="J93" s="195"/>
      <c r="K93" s="200"/>
      <c r="L93" s="200"/>
      <c r="M93" s="200"/>
      <c r="N93" s="200"/>
    </row>
    <row r="94" spans="2:14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  <c r="N94" s="200"/>
    </row>
    <row r="95" spans="2:14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  <c r="N95" s="200"/>
    </row>
    <row r="96" spans="2:14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  <c r="N96" s="200"/>
    </row>
    <row r="97" spans="2:14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  <c r="N97" s="200"/>
    </row>
    <row r="98" spans="2:14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  <c r="N98" s="200"/>
    </row>
    <row r="99" spans="2:14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  <c r="N99" s="200"/>
    </row>
    <row r="100" spans="2:14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  <c r="N100" s="200"/>
    </row>
    <row r="101" spans="2:14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  <c r="N101" s="200"/>
    </row>
    <row r="102" spans="2:14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  <c r="N102" s="200"/>
    </row>
    <row r="103" spans="2:14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  <c r="N103" s="200"/>
    </row>
    <row r="104" spans="2:14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  <c r="N104" s="200"/>
    </row>
    <row r="105" spans="2:14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  <c r="N105" s="200"/>
    </row>
    <row r="106" spans="2:14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  <c r="N106" s="200"/>
    </row>
    <row r="107" spans="2:14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  <c r="N107" s="200"/>
    </row>
    <row r="108" spans="2:14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  <c r="N108" s="200"/>
    </row>
    <row r="109" spans="2:14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  <c r="N109" s="200"/>
    </row>
    <row r="110" spans="2:14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  <c r="N110" s="200"/>
    </row>
    <row r="111" spans="2:14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  <c r="N111" s="200"/>
    </row>
    <row r="112" spans="2:14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  <c r="N112" s="200"/>
    </row>
    <row r="113" spans="2:12" x14ac:dyDescent="0.15">
      <c r="B113" s="182" t="s">
        <v>9</v>
      </c>
      <c r="C113" s="206">
        <f>C83</f>
        <v>-8.8997447349222908E-2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7682499.0180826671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7751687.0180826671</v>
      </c>
      <c r="D119" s="182"/>
      <c r="E119" s="183" t="s">
        <v>28</v>
      </c>
      <c r="F119" s="192">
        <f>F135-F126-F121</f>
        <v>4840026.0180826671</v>
      </c>
      <c r="G119" s="195">
        <f>C135-F135</f>
        <v>0</v>
      </c>
      <c r="H119" s="195"/>
      <c r="I119" s="182"/>
      <c r="J119" s="182"/>
      <c r="K119" s="209">
        <f>F119/F135</f>
        <v>0.5113523854921288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0.4886476145078712</v>
      </c>
      <c r="L121" s="180" t="s">
        <v>55</v>
      </c>
    </row>
    <row r="122" spans="2:12" x14ac:dyDescent="0.15">
      <c r="B122" s="182" t="s">
        <v>15</v>
      </c>
      <c r="C122" s="196">
        <f>C115</f>
        <v>7682499.0180826671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9465148.0180826671</v>
      </c>
      <c r="D135" s="182"/>
      <c r="E135" s="183" t="s">
        <v>30</v>
      </c>
      <c r="F135" s="191">
        <f>C135</f>
        <v>9465148.0180826671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17001387.018082667</v>
      </c>
      <c r="D154" s="182"/>
      <c r="E154" s="183" t="s">
        <v>28</v>
      </c>
      <c r="F154" s="191">
        <f>F119+F141</f>
        <v>7770726.0180826671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18876848.018082667</v>
      </c>
      <c r="D160" s="183"/>
      <c r="E160" s="183" t="s">
        <v>36</v>
      </c>
      <c r="F160" s="191">
        <f>F150+F135</f>
        <v>18876848.018082667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M4"/>
    <mergeCell ref="N4:S4"/>
    <mergeCell ref="T4:Y4"/>
    <mergeCell ref="Z4:AE4"/>
    <mergeCell ref="AF4:A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CB8E-A67E-ED41-AC5D-35CE51E7B029}">
  <dimension ref="A2:AY164"/>
  <sheetViews>
    <sheetView topLeftCell="A28" zoomScale="120" zoomScaleNormal="120" workbookViewId="0">
      <selection activeCell="H36" sqref="H36"/>
    </sheetView>
  </sheetViews>
  <sheetFormatPr baseColWidth="10" defaultColWidth="11.5" defaultRowHeight="14" x14ac:dyDescent="0.15"/>
  <cols>
    <col min="1" max="1" width="11.5" style="180"/>
    <col min="2" max="2" width="40" style="180" bestFit="1" customWidth="1"/>
    <col min="3" max="3" width="16.83203125" style="180" bestFit="1" customWidth="1"/>
    <col min="4" max="4" width="15.6640625" style="180" bestFit="1" customWidth="1"/>
    <col min="5" max="5" width="15" style="180" customWidth="1"/>
    <col min="6" max="6" width="16.83203125" style="180" bestFit="1" customWidth="1"/>
    <col min="7" max="7" width="15.6640625" style="180" bestFit="1" customWidth="1"/>
    <col min="8" max="8" width="15.5" style="180" customWidth="1"/>
    <col min="9" max="9" width="25.6640625" style="180" bestFit="1" customWidth="1"/>
    <col min="10" max="11" width="7.5" style="180" bestFit="1" customWidth="1"/>
    <col min="12" max="12" width="9.83203125" style="180" bestFit="1" customWidth="1"/>
    <col min="13" max="13" width="9.83203125" style="180" customWidth="1"/>
    <col min="14" max="15" width="7.5" style="180" customWidth="1"/>
    <col min="16" max="16" width="9.83203125" style="180" bestFit="1" customWidth="1"/>
    <col min="17" max="19" width="9.83203125" style="180" customWidth="1"/>
    <col min="20" max="21" width="7.5" style="180" customWidth="1"/>
    <col min="22" max="22" width="9.83203125" style="180" bestFit="1" customWidth="1"/>
    <col min="23" max="25" width="9.83203125" style="180" customWidth="1"/>
    <col min="26" max="27" width="7.5" style="180" customWidth="1"/>
    <col min="28" max="28" width="9.83203125" style="180" bestFit="1" customWidth="1"/>
    <col min="29" max="31" width="9.83203125" style="180" customWidth="1"/>
    <col min="32" max="33" width="7.5" style="180" customWidth="1"/>
    <col min="34" max="34" width="9.83203125" style="180" bestFit="1" customWidth="1"/>
    <col min="35" max="37" width="9.83203125" style="180" customWidth="1"/>
    <col min="38" max="16384" width="11.5" style="180"/>
  </cols>
  <sheetData>
    <row r="2" spans="2:43" s="4" customFormat="1" ht="16" x14ac:dyDescent="0.2">
      <c r="B2" s="276" t="s">
        <v>129</v>
      </c>
      <c r="I2" s="276" t="s">
        <v>130</v>
      </c>
    </row>
    <row r="3" spans="2:43" s="5" customFormat="1" thickBot="1" x14ac:dyDescent="0.2"/>
    <row r="4" spans="2:43" s="112" customFormat="1" ht="19" customHeight="1" thickBot="1" x14ac:dyDescent="0.25">
      <c r="B4" s="123"/>
      <c r="C4" s="166" t="s">
        <v>80</v>
      </c>
      <c r="D4" s="167" t="s">
        <v>81</v>
      </c>
      <c r="E4" s="124" t="s">
        <v>82</v>
      </c>
      <c r="F4" s="168" t="s">
        <v>83</v>
      </c>
      <c r="G4" s="179" t="s">
        <v>108</v>
      </c>
      <c r="H4" s="125"/>
      <c r="I4" s="70"/>
      <c r="J4" s="338" t="s">
        <v>80</v>
      </c>
      <c r="K4" s="339"/>
      <c r="L4" s="339"/>
      <c r="M4" s="340"/>
      <c r="N4" s="341" t="s">
        <v>81</v>
      </c>
      <c r="O4" s="342"/>
      <c r="P4" s="342"/>
      <c r="Q4" s="342"/>
      <c r="R4" s="342"/>
      <c r="S4" s="343"/>
      <c r="T4" s="344" t="s">
        <v>82</v>
      </c>
      <c r="U4" s="345"/>
      <c r="V4" s="345"/>
      <c r="W4" s="345"/>
      <c r="X4" s="345"/>
      <c r="Y4" s="346"/>
      <c r="Z4" s="347" t="s">
        <v>83</v>
      </c>
      <c r="AA4" s="348"/>
      <c r="AB4" s="348"/>
      <c r="AC4" s="348"/>
      <c r="AD4" s="348"/>
      <c r="AE4" s="349"/>
      <c r="AF4" s="350" t="s">
        <v>108</v>
      </c>
      <c r="AG4" s="351"/>
      <c r="AH4" s="351"/>
      <c r="AI4" s="351"/>
      <c r="AJ4" s="351"/>
      <c r="AK4" s="352"/>
      <c r="AM4" s="125"/>
      <c r="AN4" s="125"/>
      <c r="AO4" s="125"/>
      <c r="AP4" s="125"/>
      <c r="AQ4" s="125"/>
    </row>
    <row r="5" spans="2:43" s="4" customFormat="1" ht="17" thickBot="1" x14ac:dyDescent="0.25">
      <c r="B5" s="126" t="s">
        <v>69</v>
      </c>
      <c r="C5" s="127">
        <v>439</v>
      </c>
      <c r="D5" s="127">
        <f t="shared" ref="D5:G5" si="0">$C$5</f>
        <v>439</v>
      </c>
      <c r="E5" s="127">
        <f t="shared" si="0"/>
        <v>439</v>
      </c>
      <c r="F5" s="127">
        <f t="shared" si="0"/>
        <v>439</v>
      </c>
      <c r="G5" s="128">
        <f t="shared" si="0"/>
        <v>439</v>
      </c>
      <c r="H5" s="129"/>
      <c r="I5" s="71"/>
      <c r="J5" s="130" t="s">
        <v>119</v>
      </c>
      <c r="K5" s="131" t="s">
        <v>127</v>
      </c>
      <c r="L5" s="132" t="s">
        <v>140</v>
      </c>
      <c r="M5" s="130" t="s">
        <v>89</v>
      </c>
      <c r="N5" s="130" t="s">
        <v>119</v>
      </c>
      <c r="O5" s="131" t="s">
        <v>127</v>
      </c>
      <c r="P5" s="132" t="s">
        <v>140</v>
      </c>
      <c r="Q5" s="130" t="s">
        <v>150</v>
      </c>
      <c r="R5" s="130" t="s">
        <v>152</v>
      </c>
      <c r="S5" s="130" t="s">
        <v>89</v>
      </c>
      <c r="T5" s="130" t="s">
        <v>119</v>
      </c>
      <c r="U5" s="131" t="s">
        <v>127</v>
      </c>
      <c r="V5" s="132" t="s">
        <v>140</v>
      </c>
      <c r="W5" s="130" t="s">
        <v>150</v>
      </c>
      <c r="X5" s="130" t="s">
        <v>152</v>
      </c>
      <c r="Y5" s="130" t="s">
        <v>89</v>
      </c>
      <c r="Z5" s="130" t="s">
        <v>119</v>
      </c>
      <c r="AA5" s="131" t="s">
        <v>127</v>
      </c>
      <c r="AB5" s="132" t="s">
        <v>140</v>
      </c>
      <c r="AC5" s="130" t="s">
        <v>150</v>
      </c>
      <c r="AD5" s="130" t="s">
        <v>152</v>
      </c>
      <c r="AE5" s="130" t="s">
        <v>89</v>
      </c>
      <c r="AF5" s="130" t="s">
        <v>119</v>
      </c>
      <c r="AG5" s="131" t="s">
        <v>127</v>
      </c>
      <c r="AH5" s="132" t="s">
        <v>140</v>
      </c>
      <c r="AI5" s="130" t="s">
        <v>150</v>
      </c>
      <c r="AJ5" s="130" t="s">
        <v>152</v>
      </c>
      <c r="AK5" s="132" t="s">
        <v>89</v>
      </c>
    </row>
    <row r="6" spans="2:43" s="4" customFormat="1" ht="16" x14ac:dyDescent="0.2">
      <c r="B6" s="133" t="s">
        <v>70</v>
      </c>
      <c r="C6" s="134">
        <f>M6</f>
        <v>3.1</v>
      </c>
      <c r="D6" s="134">
        <f>S6</f>
        <v>3.0810291970802917</v>
      </c>
      <c r="E6" s="134">
        <f>Y6</f>
        <v>2.9234347826086955</v>
      </c>
      <c r="F6" s="134">
        <f>AE6</f>
        <v>2.861465517241379</v>
      </c>
      <c r="G6" s="134">
        <f>AK6</f>
        <v>2.8240934844192633</v>
      </c>
      <c r="H6" s="129"/>
      <c r="I6" s="299" t="s">
        <v>70</v>
      </c>
      <c r="J6" s="242">
        <f>Variables!C9</f>
        <v>2.8</v>
      </c>
      <c r="K6" s="242">
        <f>Variables!D9</f>
        <v>3.1</v>
      </c>
      <c r="L6" s="118">
        <v>1</v>
      </c>
      <c r="M6" s="304">
        <f>K6*L6+(1-L6)*J6</f>
        <v>3.1</v>
      </c>
      <c r="N6" s="242">
        <f>Variables!F9</f>
        <v>2.7949999999999999</v>
      </c>
      <c r="O6" s="242">
        <f>Variables!G9</f>
        <v>3.11</v>
      </c>
      <c r="P6" s="30">
        <f>1/(O$13-1)+1/(ABS(N6-O6)/O6+1)-1</f>
        <v>0.90802919708029206</v>
      </c>
      <c r="Q6" s="30">
        <v>0</v>
      </c>
      <c r="R6" s="30">
        <f>MAX(P6:Q6)</f>
        <v>0.90802919708029206</v>
      </c>
      <c r="S6" s="304">
        <f>O6*R6+(1-R6)*N6</f>
        <v>3.0810291970802917</v>
      </c>
      <c r="T6" s="242">
        <f>Variables!I9</f>
        <v>2.79</v>
      </c>
      <c r="U6" s="242">
        <f>Variables!J9</f>
        <v>3.12</v>
      </c>
      <c r="V6" s="30">
        <f>1/(U$13-1)+1/(ABS(T6-U6)/U6+1)-1</f>
        <v>0.40434782608695663</v>
      </c>
      <c r="W6" s="30">
        <v>0</v>
      </c>
      <c r="X6" s="30">
        <f>MAX(V6:W6)</f>
        <v>0.40434782608695663</v>
      </c>
      <c r="Y6" s="304">
        <f>U6*X6+(1-X6)*T6</f>
        <v>2.9234347826086955</v>
      </c>
      <c r="Z6" s="242">
        <f>Variables!L9</f>
        <v>2.78</v>
      </c>
      <c r="AA6" s="242">
        <f>Variables!M9</f>
        <v>3.13</v>
      </c>
      <c r="AB6" s="30">
        <f>1/(AA$13-1)+1/(ABS(Z6-AA6)/AA6+1)-1</f>
        <v>0.23275862068965525</v>
      </c>
      <c r="AC6" s="30">
        <v>0</v>
      </c>
      <c r="AD6" s="30">
        <f>MAX(AB6:AC6)</f>
        <v>0.23275862068965525</v>
      </c>
      <c r="AE6" s="304">
        <f>AA6*AD6+(1-AD6)*Z6</f>
        <v>2.861465517241379</v>
      </c>
      <c r="AF6" s="242">
        <f>Variables!O9</f>
        <v>2.77</v>
      </c>
      <c r="AG6" s="242">
        <f>Variables!P9</f>
        <v>3.15</v>
      </c>
      <c r="AH6" s="30">
        <f>1/(AG$13-1)+1/(ABS(AF6-AG6)/AG6+1)-1</f>
        <v>0.14235127478753551</v>
      </c>
      <c r="AI6" s="30">
        <v>0</v>
      </c>
      <c r="AJ6" s="30">
        <f>MAX(AH6:AI6)</f>
        <v>0.14235127478753551</v>
      </c>
      <c r="AK6" s="304">
        <f>AG6*AJ6+(1-AJ6)*AF6</f>
        <v>2.8240934844192633</v>
      </c>
    </row>
    <row r="7" spans="2:43" s="4" customFormat="1" ht="17" x14ac:dyDescent="0.2">
      <c r="B7" s="136" t="s">
        <v>71</v>
      </c>
      <c r="C7" s="137">
        <v>180</v>
      </c>
      <c r="D7" s="137">
        <f t="shared" ref="D7:G7" si="1">+C7</f>
        <v>180</v>
      </c>
      <c r="E7" s="137">
        <f t="shared" si="1"/>
        <v>180</v>
      </c>
      <c r="F7" s="137">
        <f t="shared" si="1"/>
        <v>180</v>
      </c>
      <c r="G7" s="138">
        <f t="shared" si="1"/>
        <v>180</v>
      </c>
      <c r="H7" s="139"/>
      <c r="I7" s="300" t="s">
        <v>72</v>
      </c>
      <c r="J7" s="243">
        <f>Variables!C11</f>
        <v>0.78</v>
      </c>
      <c r="K7" s="243">
        <f>Variables!D11</f>
        <v>0.81</v>
      </c>
      <c r="L7" s="118">
        <v>1</v>
      </c>
      <c r="M7" s="304">
        <f t="shared" ref="M7:M11" si="2">K7*L7+(1-L7)*J7</f>
        <v>0.81</v>
      </c>
      <c r="N7" s="243">
        <f>Variables!F11</f>
        <v>0.77</v>
      </c>
      <c r="O7" s="243">
        <f>Variables!G11</f>
        <v>0.82</v>
      </c>
      <c r="P7" s="30">
        <f t="shared" ref="P7:P11" si="3">1/(O$13-1)+1/(ABS(N7-O7)/O7+1)-1</f>
        <v>0.94252873563218409</v>
      </c>
      <c r="Q7" s="30">
        <v>0</v>
      </c>
      <c r="R7" s="30">
        <f t="shared" ref="R7:R11" si="4">MAX(P7:Q7)</f>
        <v>0.94252873563218409</v>
      </c>
      <c r="S7" s="304">
        <f t="shared" ref="S7:S11" si="5">O7*R7+(1-R7)*N7</f>
        <v>0.81712643678160923</v>
      </c>
      <c r="T7" s="243">
        <f>Variables!I11</f>
        <v>0.76500000000000001</v>
      </c>
      <c r="U7" s="243">
        <f>Variables!J11</f>
        <v>0.82499999999999996</v>
      </c>
      <c r="V7" s="30">
        <f t="shared" ref="V7:V11" si="6">1/(U$13-1)+1/(ABS(T7-U7)/U7+1)-1</f>
        <v>0.43220338983050843</v>
      </c>
      <c r="W7" s="30">
        <v>0</v>
      </c>
      <c r="X7" s="30">
        <f t="shared" ref="X7:X11" si="7">MAX(V7:W7)</f>
        <v>0.43220338983050843</v>
      </c>
      <c r="Y7" s="304">
        <f t="shared" ref="Y7:Y11" si="8">U7*X7+(1-X7)*T7</f>
        <v>0.7909322033898305</v>
      </c>
      <c r="Z7" s="243">
        <f>Variables!L11</f>
        <v>0.76</v>
      </c>
      <c r="AA7" s="243">
        <f>Variables!M11</f>
        <v>0.83</v>
      </c>
      <c r="AB7" s="30">
        <f t="shared" ref="AB7:AB11" si="9">1/(AA$13-1)+1/(ABS(Z7-AA7)/AA7+1)-1</f>
        <v>0.25555555555555554</v>
      </c>
      <c r="AC7" s="30">
        <v>0</v>
      </c>
      <c r="AD7" s="30">
        <f t="shared" ref="AD7:AD11" si="10">MAX(AB7:AC7)</f>
        <v>0.25555555555555554</v>
      </c>
      <c r="AE7" s="304">
        <f t="shared" ref="AE7:AE11" si="11">AA7*AD7+(1-AD7)*Z7</f>
        <v>0.77788888888888885</v>
      </c>
      <c r="AF7" s="243">
        <f>Variables!O11</f>
        <v>0.75</v>
      </c>
      <c r="AG7" s="243">
        <f>Variables!P11</f>
        <v>0.83499999999999996</v>
      </c>
      <c r="AH7" s="30">
        <f t="shared" ref="AH7:AH11" si="12">1/(AG$13-1)+1/(ABS(AF7-AG7)/AG7+1)-1</f>
        <v>0.15760869565217384</v>
      </c>
      <c r="AI7" s="30">
        <v>0</v>
      </c>
      <c r="AJ7" s="30">
        <f t="shared" ref="AJ7:AJ11" si="13">MAX(AH7:AI7)</f>
        <v>0.15760869565217384</v>
      </c>
      <c r="AK7" s="304">
        <f t="shared" ref="AK7:AK11" si="14">AG7*AJ7+(1-AJ7)*AF7</f>
        <v>0.76339673913043482</v>
      </c>
    </row>
    <row r="8" spans="2:43" s="4" customFormat="1" ht="18" thickBot="1" x14ac:dyDescent="0.2">
      <c r="B8" s="140" t="s">
        <v>72</v>
      </c>
      <c r="C8" s="141">
        <f>M7</f>
        <v>0.81</v>
      </c>
      <c r="D8" s="141">
        <f>S7</f>
        <v>0.81712643678160923</v>
      </c>
      <c r="E8" s="141">
        <f>Y7</f>
        <v>0.7909322033898305</v>
      </c>
      <c r="F8" s="141">
        <f>AE7</f>
        <v>0.77788888888888885</v>
      </c>
      <c r="G8" s="142">
        <f>AK7</f>
        <v>0.76339673913043482</v>
      </c>
      <c r="H8" s="143"/>
      <c r="I8" s="301" t="s">
        <v>75</v>
      </c>
      <c r="J8" s="242">
        <f>Variables!C15</f>
        <v>35.5</v>
      </c>
      <c r="K8" s="242">
        <f>Variables!D15</f>
        <v>37</v>
      </c>
      <c r="L8" s="118">
        <v>1</v>
      </c>
      <c r="M8" s="304">
        <f t="shared" si="2"/>
        <v>37</v>
      </c>
      <c r="N8" s="242">
        <f>Variables!F15</f>
        <v>36</v>
      </c>
      <c r="O8" s="242">
        <f>Variables!G15</f>
        <v>38</v>
      </c>
      <c r="P8" s="30">
        <f t="shared" si="3"/>
        <v>0.95000000000000018</v>
      </c>
      <c r="Q8" s="30">
        <v>0</v>
      </c>
      <c r="R8" s="30">
        <f t="shared" si="4"/>
        <v>0.95000000000000018</v>
      </c>
      <c r="S8" s="304">
        <f t="shared" si="5"/>
        <v>37.900000000000006</v>
      </c>
      <c r="T8" s="242">
        <f>Variables!I15</f>
        <v>36.25</v>
      </c>
      <c r="U8" s="242">
        <f>Variables!J15</f>
        <v>38.5</v>
      </c>
      <c r="V8" s="30">
        <f t="shared" si="6"/>
        <v>0.44478527607361951</v>
      </c>
      <c r="W8" s="30">
        <v>0</v>
      </c>
      <c r="X8" s="30">
        <f t="shared" si="7"/>
        <v>0.44478527607361951</v>
      </c>
      <c r="Y8" s="304">
        <f t="shared" si="8"/>
        <v>37.250766871165645</v>
      </c>
      <c r="Z8" s="242">
        <f>Variables!L15</f>
        <v>36.5</v>
      </c>
      <c r="AA8" s="242">
        <f>Variables!M15</f>
        <v>39</v>
      </c>
      <c r="AB8" s="30">
        <f t="shared" si="9"/>
        <v>0.27309236947791171</v>
      </c>
      <c r="AC8" s="30">
        <v>0</v>
      </c>
      <c r="AD8" s="30">
        <f t="shared" si="10"/>
        <v>0.27309236947791171</v>
      </c>
      <c r="AE8" s="304">
        <f t="shared" si="11"/>
        <v>37.182730923694777</v>
      </c>
      <c r="AF8" s="242">
        <f>Variables!O15</f>
        <v>36.75</v>
      </c>
      <c r="AG8" s="242">
        <f>Variables!P15</f>
        <v>39.5</v>
      </c>
      <c r="AH8" s="30">
        <f t="shared" si="12"/>
        <v>0.18491124260355041</v>
      </c>
      <c r="AI8" s="30">
        <v>0</v>
      </c>
      <c r="AJ8" s="30">
        <f t="shared" si="13"/>
        <v>0.18491124260355041</v>
      </c>
      <c r="AK8" s="304">
        <f t="shared" si="14"/>
        <v>37.258505917159766</v>
      </c>
    </row>
    <row r="9" spans="2:43" s="4" customFormat="1" ht="17" thickBot="1" x14ac:dyDescent="0.25">
      <c r="B9" s="266" t="s">
        <v>73</v>
      </c>
      <c r="C9" s="145">
        <f>+C5*C7*C8</f>
        <v>64006.200000000004</v>
      </c>
      <c r="D9" s="145">
        <f>+D5*D7*D8</f>
        <v>64569.331034482762</v>
      </c>
      <c r="E9" s="145">
        <f>+E5*E7*E8</f>
        <v>62499.462711864406</v>
      </c>
      <c r="F9" s="145">
        <f>+F5*F7*F8</f>
        <v>61468.78</v>
      </c>
      <c r="G9" s="146">
        <f>+G5*G7*G8</f>
        <v>60323.610326086957</v>
      </c>
      <c r="H9" s="147"/>
      <c r="I9" s="302" t="s">
        <v>76</v>
      </c>
      <c r="J9" s="243">
        <f>Variables!C24</f>
        <v>0.22500000000000001</v>
      </c>
      <c r="K9" s="243">
        <f>Variables!D24</f>
        <v>0.27</v>
      </c>
      <c r="L9" s="118">
        <v>1</v>
      </c>
      <c r="M9" s="304">
        <f t="shared" si="2"/>
        <v>0.27</v>
      </c>
      <c r="N9" s="243">
        <f>Variables!F24</f>
        <v>0.22</v>
      </c>
      <c r="O9" s="243">
        <f>Variables!G24</f>
        <v>0.28000000000000003</v>
      </c>
      <c r="P9" s="30">
        <f t="shared" si="3"/>
        <v>0.82352941176470584</v>
      </c>
      <c r="Q9" s="30">
        <v>0</v>
      </c>
      <c r="R9" s="30">
        <f t="shared" si="4"/>
        <v>0.82352941176470584</v>
      </c>
      <c r="S9" s="304">
        <f t="shared" si="5"/>
        <v>0.26941176470588235</v>
      </c>
      <c r="T9" s="243">
        <f>Variables!I24</f>
        <v>0.215</v>
      </c>
      <c r="U9" s="243">
        <f>Variables!J24</f>
        <v>0.28499999999999998</v>
      </c>
      <c r="V9" s="30">
        <f t="shared" si="6"/>
        <v>0.30281690140845074</v>
      </c>
      <c r="W9" s="30">
        <v>0</v>
      </c>
      <c r="X9" s="30">
        <f t="shared" si="7"/>
        <v>0.30281690140845074</v>
      </c>
      <c r="Y9" s="304">
        <f t="shared" si="8"/>
        <v>0.23619718309859153</v>
      </c>
      <c r="Z9" s="243">
        <f>Variables!L24</f>
        <v>0.21249999999999999</v>
      </c>
      <c r="AA9" s="243">
        <f>Variables!M24</f>
        <v>0.28999999999999998</v>
      </c>
      <c r="AB9" s="30">
        <f t="shared" si="9"/>
        <v>0.12244897959183687</v>
      </c>
      <c r="AC9" s="30">
        <v>0</v>
      </c>
      <c r="AD9" s="30">
        <f t="shared" si="10"/>
        <v>0.12244897959183687</v>
      </c>
      <c r="AE9" s="304">
        <f t="shared" si="11"/>
        <v>0.22198979591836734</v>
      </c>
      <c r="AF9" s="243">
        <f>Variables!O24</f>
        <v>0.21</v>
      </c>
      <c r="AG9" s="243">
        <f>Variables!P24</f>
        <v>0.3</v>
      </c>
      <c r="AH9" s="30">
        <f t="shared" si="12"/>
        <v>1.9230769230769162E-2</v>
      </c>
      <c r="AI9" s="30">
        <v>0</v>
      </c>
      <c r="AJ9" s="30">
        <f t="shared" si="13"/>
        <v>1.9230769230769162E-2</v>
      </c>
      <c r="AK9" s="304">
        <f t="shared" si="14"/>
        <v>0.21173076923076922</v>
      </c>
    </row>
    <row r="10" spans="2:43" s="4" customFormat="1" ht="34" x14ac:dyDescent="0.15">
      <c r="B10" s="265" t="s">
        <v>74</v>
      </c>
      <c r="C10" s="145">
        <f>+C5*C6*C7*C8</f>
        <v>198419.22000000003</v>
      </c>
      <c r="D10" s="145">
        <f>+D5*D6*D7*D8</f>
        <v>198939.994153184</v>
      </c>
      <c r="E10" s="145">
        <f>+E5*E6*E7*E8</f>
        <v>182713.10318621958</v>
      </c>
      <c r="F10" s="145">
        <f>+F5*F6*F7*F8</f>
        <v>175890.79435689654</v>
      </c>
      <c r="G10" s="146">
        <f>+G5*G6*G7*G8</f>
        <v>170359.51487854877</v>
      </c>
      <c r="H10" s="147"/>
      <c r="I10" s="300" t="s">
        <v>100</v>
      </c>
      <c r="J10" s="243">
        <f>Variables!C26</f>
        <v>0.04</v>
      </c>
      <c r="K10" s="243">
        <f>Variables!D26</f>
        <v>0.02</v>
      </c>
      <c r="L10" s="118">
        <v>1</v>
      </c>
      <c r="M10" s="304">
        <f t="shared" si="2"/>
        <v>0.02</v>
      </c>
      <c r="N10" s="243">
        <f>Variables!F26</f>
        <v>0.04</v>
      </c>
      <c r="O10" s="243">
        <f>Variables!G26</f>
        <v>0.02</v>
      </c>
      <c r="P10" s="30">
        <f t="shared" si="3"/>
        <v>0.5</v>
      </c>
      <c r="Q10" s="30">
        <v>0</v>
      </c>
      <c r="R10" s="30">
        <f t="shared" si="4"/>
        <v>0.5</v>
      </c>
      <c r="S10" s="304">
        <f t="shared" si="5"/>
        <v>0.03</v>
      </c>
      <c r="T10" s="243">
        <f>Variables!I26</f>
        <v>0.04</v>
      </c>
      <c r="U10" s="243">
        <f>Variables!J26</f>
        <v>0.02</v>
      </c>
      <c r="V10" s="30">
        <f t="shared" si="6"/>
        <v>0</v>
      </c>
      <c r="W10" s="30">
        <v>0</v>
      </c>
      <c r="X10" s="30">
        <f t="shared" si="7"/>
        <v>0</v>
      </c>
      <c r="Y10" s="304">
        <f t="shared" si="8"/>
        <v>0.04</v>
      </c>
      <c r="Z10" s="243">
        <f>Variables!L26</f>
        <v>0.04</v>
      </c>
      <c r="AA10" s="243">
        <f>Variables!M26</f>
        <v>0.02</v>
      </c>
      <c r="AB10" s="30">
        <f t="shared" si="9"/>
        <v>-0.16666666666666674</v>
      </c>
      <c r="AC10" s="30">
        <v>0</v>
      </c>
      <c r="AD10" s="30">
        <f t="shared" si="10"/>
        <v>0</v>
      </c>
      <c r="AE10" s="304">
        <f t="shared" si="11"/>
        <v>0.04</v>
      </c>
      <c r="AF10" s="243">
        <f>Variables!O26</f>
        <v>0.04</v>
      </c>
      <c r="AG10" s="243">
        <f>Variables!P26</f>
        <v>0.02</v>
      </c>
      <c r="AH10" s="30">
        <f t="shared" si="12"/>
        <v>-0.25</v>
      </c>
      <c r="AI10" s="30">
        <v>0</v>
      </c>
      <c r="AJ10" s="30">
        <f t="shared" si="13"/>
        <v>0</v>
      </c>
      <c r="AK10" s="304">
        <f t="shared" si="14"/>
        <v>0.04</v>
      </c>
    </row>
    <row r="11" spans="2:43" s="4" customFormat="1" ht="18" thickBot="1" x14ac:dyDescent="0.25">
      <c r="B11" s="133" t="s">
        <v>75</v>
      </c>
      <c r="C11" s="148">
        <f>M8</f>
        <v>37</v>
      </c>
      <c r="D11" s="148">
        <f>S8</f>
        <v>37.900000000000006</v>
      </c>
      <c r="E11" s="148">
        <f>Y8</f>
        <v>37.250766871165645</v>
      </c>
      <c r="F11" s="148">
        <f>AE8</f>
        <v>37.182730923694777</v>
      </c>
      <c r="G11" s="149">
        <f>AK8</f>
        <v>37.258505917159766</v>
      </c>
      <c r="H11" s="150"/>
      <c r="I11" s="303" t="s">
        <v>79</v>
      </c>
      <c r="J11" s="244">
        <f>Variables!C29</f>
        <v>0.04</v>
      </c>
      <c r="K11" s="244">
        <f>Variables!D29</f>
        <v>0.01</v>
      </c>
      <c r="L11" s="305">
        <v>1</v>
      </c>
      <c r="M11" s="306">
        <f t="shared" si="2"/>
        <v>0.01</v>
      </c>
      <c r="N11" s="244">
        <f>Variables!F29</f>
        <v>0.04</v>
      </c>
      <c r="O11" s="244">
        <f>Variables!G29</f>
        <v>0.01</v>
      </c>
      <c r="P11" s="226">
        <f t="shared" si="3"/>
        <v>0.25</v>
      </c>
      <c r="Q11" s="226">
        <v>0</v>
      </c>
      <c r="R11" s="226">
        <f t="shared" si="4"/>
        <v>0.25</v>
      </c>
      <c r="S11" s="306">
        <f t="shared" si="5"/>
        <v>3.2500000000000001E-2</v>
      </c>
      <c r="T11" s="244">
        <f>Variables!I29</f>
        <v>0.04</v>
      </c>
      <c r="U11" s="244">
        <f>Variables!J29</f>
        <v>0.01</v>
      </c>
      <c r="V11" s="226">
        <f t="shared" si="6"/>
        <v>-0.25</v>
      </c>
      <c r="W11" s="226">
        <v>0</v>
      </c>
      <c r="X11" s="226">
        <f t="shared" si="7"/>
        <v>0</v>
      </c>
      <c r="Y11" s="306">
        <f t="shared" si="8"/>
        <v>0.04</v>
      </c>
      <c r="Z11" s="244">
        <f>Variables!L29</f>
        <v>0.04</v>
      </c>
      <c r="AA11" s="244">
        <f>Variables!M29</f>
        <v>0.01</v>
      </c>
      <c r="AB11" s="226">
        <f t="shared" si="9"/>
        <v>-0.41666666666666674</v>
      </c>
      <c r="AC11" s="226">
        <v>0</v>
      </c>
      <c r="AD11" s="226">
        <f t="shared" si="10"/>
        <v>0</v>
      </c>
      <c r="AE11" s="306">
        <f t="shared" si="11"/>
        <v>0.04</v>
      </c>
      <c r="AF11" s="244">
        <f>Variables!O29</f>
        <v>0.04</v>
      </c>
      <c r="AG11" s="244">
        <f>Variables!P29</f>
        <v>0.01</v>
      </c>
      <c r="AH11" s="226">
        <f t="shared" si="12"/>
        <v>-0.5</v>
      </c>
      <c r="AI11" s="226">
        <v>0</v>
      </c>
      <c r="AJ11" s="226">
        <f t="shared" si="13"/>
        <v>0</v>
      </c>
      <c r="AK11" s="306">
        <f t="shared" si="14"/>
        <v>0.04</v>
      </c>
    </row>
    <row r="12" spans="2:43" s="7" customFormat="1" ht="18" thickBot="1" x14ac:dyDescent="0.25">
      <c r="B12" s="144" t="s">
        <v>123</v>
      </c>
      <c r="C12" s="297"/>
      <c r="D12" s="297">
        <v>4.9180327868851847E-3</v>
      </c>
      <c r="E12" s="297">
        <v>0.03</v>
      </c>
      <c r="F12" s="297">
        <f>+E12</f>
        <v>0.03</v>
      </c>
      <c r="G12" s="298">
        <v>0.03</v>
      </c>
      <c r="H12" s="151"/>
      <c r="I12" s="267"/>
      <c r="J12" s="268"/>
      <c r="K12" s="268"/>
      <c r="L12" s="269"/>
      <c r="M12" s="269"/>
      <c r="N12" s="270"/>
      <c r="O12" s="270"/>
      <c r="P12" s="269"/>
      <c r="Q12" s="269"/>
      <c r="R12" s="269"/>
      <c r="S12" s="269"/>
      <c r="T12" s="270"/>
      <c r="U12" s="270"/>
      <c r="V12" s="269"/>
      <c r="W12" s="269"/>
      <c r="X12" s="269"/>
      <c r="Y12" s="269"/>
      <c r="Z12" s="270"/>
      <c r="AA12" s="270"/>
      <c r="AB12" s="269"/>
      <c r="AC12" s="269"/>
      <c r="AD12" s="269"/>
      <c r="AE12" s="269"/>
      <c r="AF12" s="270"/>
      <c r="AG12" s="271"/>
      <c r="AH12" s="99"/>
      <c r="AI12" s="99"/>
      <c r="AJ12" s="99"/>
      <c r="AK12" s="99"/>
    </row>
    <row r="13" spans="2:43" s="4" customFormat="1" ht="17" thickBot="1" x14ac:dyDescent="0.25">
      <c r="B13" s="136" t="s">
        <v>124</v>
      </c>
      <c r="C13" s="297">
        <v>2.7E-2</v>
      </c>
      <c r="D13" s="297">
        <f>C13</f>
        <v>2.7E-2</v>
      </c>
      <c r="E13" s="297">
        <f>D13</f>
        <v>2.7E-2</v>
      </c>
      <c r="F13" s="297">
        <f>E13</f>
        <v>2.7E-2</v>
      </c>
      <c r="G13" s="298">
        <f>F13</f>
        <v>2.7E-2</v>
      </c>
      <c r="H13" s="151"/>
      <c r="J13" s="101" t="s">
        <v>68</v>
      </c>
      <c r="K13" s="103">
        <v>1</v>
      </c>
      <c r="L13" s="5"/>
      <c r="M13" s="5"/>
      <c r="N13" s="101" t="s">
        <v>68</v>
      </c>
      <c r="O13" s="102">
        <v>2</v>
      </c>
      <c r="P13" s="5"/>
      <c r="Q13" s="5"/>
      <c r="R13" s="5"/>
      <c r="S13" s="5"/>
      <c r="T13" s="101" t="s">
        <v>68</v>
      </c>
      <c r="U13" s="102">
        <v>3</v>
      </c>
      <c r="V13" s="5"/>
      <c r="W13" s="5"/>
      <c r="X13" s="5"/>
      <c r="Y13" s="5"/>
      <c r="Z13" s="101" t="s">
        <v>68</v>
      </c>
      <c r="AA13" s="102">
        <v>4</v>
      </c>
      <c r="AB13" s="5"/>
      <c r="AC13" s="5"/>
      <c r="AD13" s="5"/>
      <c r="AE13" s="5"/>
      <c r="AF13" s="101" t="s">
        <v>68</v>
      </c>
      <c r="AG13" s="102">
        <v>5</v>
      </c>
      <c r="AH13" s="87"/>
      <c r="AI13" s="87"/>
      <c r="AJ13" s="87"/>
      <c r="AK13" s="87"/>
    </row>
    <row r="14" spans="2:43" s="4" customFormat="1" ht="16" x14ac:dyDescent="0.2">
      <c r="B14" s="136" t="s">
        <v>125</v>
      </c>
      <c r="C14" s="137">
        <f t="shared" ref="C14:G14" si="15">C24-C26</f>
        <v>5359303.1322000008</v>
      </c>
      <c r="D14" s="137">
        <f t="shared" si="15"/>
        <v>5508508.0098704994</v>
      </c>
      <c r="E14" s="137">
        <f t="shared" si="15"/>
        <v>5198597.1850393759</v>
      </c>
      <c r="F14" s="137">
        <f t="shared" si="15"/>
        <v>5088264.596809417</v>
      </c>
      <c r="G14" s="138">
        <f t="shared" si="15"/>
        <v>5003413.6020978941</v>
      </c>
      <c r="H14" s="139"/>
      <c r="J14" s="268"/>
      <c r="K14" s="268"/>
      <c r="L14" s="272"/>
      <c r="M14" s="272"/>
      <c r="N14" s="273"/>
      <c r="O14" s="273"/>
      <c r="P14" s="272"/>
      <c r="Q14" s="272"/>
      <c r="R14" s="272"/>
      <c r="S14" s="272"/>
      <c r="T14" s="273"/>
      <c r="U14" s="273"/>
      <c r="V14" s="272"/>
      <c r="W14" s="272"/>
      <c r="X14" s="272"/>
      <c r="Y14" s="272"/>
      <c r="Z14" s="273"/>
      <c r="AA14" s="273"/>
      <c r="AB14" s="272"/>
      <c r="AC14" s="272"/>
      <c r="AD14" s="272"/>
      <c r="AE14" s="272"/>
      <c r="AF14" s="273"/>
      <c r="AG14" s="274"/>
      <c r="AH14" s="87"/>
      <c r="AI14" s="87"/>
      <c r="AJ14" s="87"/>
      <c r="AK14" s="87"/>
    </row>
    <row r="15" spans="2:43" s="4" customFormat="1" ht="16" x14ac:dyDescent="0.2">
      <c r="B15" s="136" t="s">
        <v>126</v>
      </c>
      <c r="C15" s="297">
        <f>C14/C24</f>
        <v>0.73</v>
      </c>
      <c r="D15" s="297">
        <f>D14/D24</f>
        <v>0.73058823529411776</v>
      </c>
      <c r="E15" s="297">
        <f>E14/E24</f>
        <v>0.7638028169014085</v>
      </c>
      <c r="F15" s="297">
        <f>F14/F24</f>
        <v>0.77801020408163268</v>
      </c>
      <c r="G15" s="298">
        <f>G14/G24</f>
        <v>0.78826923076923083</v>
      </c>
      <c r="H15" s="151"/>
      <c r="J15" s="268"/>
      <c r="K15" s="268"/>
      <c r="L15" s="272"/>
      <c r="M15" s="272"/>
      <c r="N15" s="273"/>
      <c r="O15" s="273"/>
      <c r="P15" s="272"/>
      <c r="Q15" s="272"/>
      <c r="R15" s="272"/>
      <c r="S15" s="272"/>
      <c r="T15" s="273"/>
      <c r="U15" s="273"/>
      <c r="V15" s="272"/>
      <c r="W15" s="272"/>
      <c r="X15" s="272"/>
      <c r="Y15" s="272"/>
      <c r="Z15" s="273"/>
      <c r="AA15" s="273"/>
      <c r="AB15" s="272"/>
      <c r="AC15" s="272"/>
      <c r="AD15" s="272"/>
      <c r="AE15" s="272"/>
      <c r="AF15" s="273"/>
      <c r="AG15" s="274"/>
      <c r="AH15" s="87"/>
      <c r="AI15" s="87"/>
      <c r="AJ15" s="87"/>
      <c r="AK15" s="87"/>
    </row>
    <row r="16" spans="2:43" s="4" customFormat="1" ht="16" x14ac:dyDescent="0.2">
      <c r="B16" s="133" t="s">
        <v>76</v>
      </c>
      <c r="C16" s="152">
        <f>M9</f>
        <v>0.27</v>
      </c>
      <c r="D16" s="152">
        <f>S9</f>
        <v>0.26941176470588235</v>
      </c>
      <c r="E16" s="152">
        <f>Y9</f>
        <v>0.23619718309859153</v>
      </c>
      <c r="F16" s="152">
        <f>AE9</f>
        <v>0.22198979591836734</v>
      </c>
      <c r="G16" s="153">
        <f>AK9</f>
        <v>0.21173076923076922</v>
      </c>
      <c r="H16" s="154"/>
    </row>
    <row r="17" spans="2:37" s="4" customFormat="1" ht="34" x14ac:dyDescent="0.15">
      <c r="B17" s="140" t="s">
        <v>77</v>
      </c>
      <c r="C17" s="155">
        <f>M10</f>
        <v>0.02</v>
      </c>
      <c r="D17" s="155">
        <f>S10</f>
        <v>0.03</v>
      </c>
      <c r="E17" s="155">
        <f>Y10</f>
        <v>0.04</v>
      </c>
      <c r="F17" s="155">
        <f>AE10</f>
        <v>0.04</v>
      </c>
      <c r="G17" s="156">
        <f>AK10</f>
        <v>0.04</v>
      </c>
      <c r="H17" s="157"/>
    </row>
    <row r="18" spans="2:37" s="4" customFormat="1" ht="17" x14ac:dyDescent="0.2">
      <c r="B18" s="144" t="s">
        <v>78</v>
      </c>
      <c r="C18" s="159">
        <v>0.25</v>
      </c>
      <c r="D18" s="159">
        <f>+C18</f>
        <v>0.25</v>
      </c>
      <c r="E18" s="159">
        <f t="shared" ref="E18:G18" si="16">D18</f>
        <v>0.25</v>
      </c>
      <c r="F18" s="159">
        <f t="shared" si="16"/>
        <v>0.25</v>
      </c>
      <c r="G18" s="160">
        <f t="shared" si="16"/>
        <v>0.25</v>
      </c>
      <c r="H18" s="161"/>
      <c r="J18" s="158"/>
      <c r="K18" s="158"/>
      <c r="L18" s="162"/>
      <c r="M18" s="162"/>
      <c r="N18" s="158"/>
      <c r="O18" s="158"/>
      <c r="P18" s="162"/>
      <c r="Q18" s="162"/>
      <c r="R18" s="162"/>
      <c r="S18" s="162"/>
      <c r="T18" s="158"/>
      <c r="U18" s="158"/>
      <c r="V18" s="162"/>
      <c r="W18" s="162"/>
      <c r="X18" s="162"/>
      <c r="Y18" s="162"/>
      <c r="Z18" s="158"/>
      <c r="AA18" s="158"/>
      <c r="AB18" s="162"/>
      <c r="AC18" s="162"/>
      <c r="AD18" s="162"/>
      <c r="AE18" s="162"/>
      <c r="AF18" s="158"/>
      <c r="AG18" s="158"/>
      <c r="AH18" s="63"/>
      <c r="AI18" s="63"/>
      <c r="AJ18" s="63"/>
      <c r="AK18" s="63"/>
    </row>
    <row r="19" spans="2:37" s="4" customFormat="1" ht="18" thickBot="1" x14ac:dyDescent="0.25">
      <c r="B19" s="163" t="s">
        <v>79</v>
      </c>
      <c r="C19" s="164">
        <f>M11</f>
        <v>0.01</v>
      </c>
      <c r="D19" s="164">
        <f>S11</f>
        <v>3.2500000000000001E-2</v>
      </c>
      <c r="E19" s="164">
        <f>Y11</f>
        <v>0.04</v>
      </c>
      <c r="F19" s="164">
        <f>AE11</f>
        <v>0.04</v>
      </c>
      <c r="G19" s="165">
        <f>AK11</f>
        <v>0.04</v>
      </c>
      <c r="H19" s="154"/>
    </row>
    <row r="20" spans="2:37" s="4" customFormat="1" ht="13" x14ac:dyDescent="0.15">
      <c r="B20" s="8"/>
      <c r="D20" s="9"/>
      <c r="E20" s="9"/>
      <c r="F20" s="9"/>
      <c r="G20" s="9"/>
      <c r="H20" s="9"/>
      <c r="I20" s="9"/>
      <c r="J20" s="9"/>
      <c r="K20" s="9"/>
    </row>
    <row r="21" spans="2:37" s="4" customFormat="1" ht="16" x14ac:dyDescent="0.2">
      <c r="B21" s="276" t="s">
        <v>131</v>
      </c>
      <c r="D21" s="9"/>
      <c r="E21" s="9"/>
      <c r="F21" s="9"/>
      <c r="G21" s="9"/>
      <c r="H21" s="9"/>
      <c r="I21" s="9"/>
      <c r="J21" s="9"/>
      <c r="K21" s="9"/>
    </row>
    <row r="22" spans="2:37" s="4" customFormat="1" thickBot="1" x14ac:dyDescent="0.2">
      <c r="B22" s="10"/>
      <c r="C22" s="6"/>
    </row>
    <row r="23" spans="2:37" s="4" customFormat="1" ht="17" thickBot="1" x14ac:dyDescent="0.2">
      <c r="B23" s="36"/>
      <c r="C23" s="166" t="s">
        <v>80</v>
      </c>
      <c r="D23" s="167" t="s">
        <v>81</v>
      </c>
      <c r="E23" s="124" t="s">
        <v>82</v>
      </c>
      <c r="F23" s="168" t="s">
        <v>83</v>
      </c>
      <c r="G23" s="179" t="s">
        <v>108</v>
      </c>
      <c r="H23" s="105"/>
    </row>
    <row r="24" spans="2:37" s="4" customFormat="1" ht="16" x14ac:dyDescent="0.15">
      <c r="B24" s="169" t="s">
        <v>84</v>
      </c>
      <c r="C24" s="170">
        <f>C5*C6*C7*C8*C11</f>
        <v>7341511.1400000015</v>
      </c>
      <c r="D24" s="170">
        <f>D5*D6*D7*D8*D11</f>
        <v>7539825.7784056747</v>
      </c>
      <c r="E24" s="170">
        <f>E5*E6*E7*E8*E11</f>
        <v>6806203.2110970989</v>
      </c>
      <c r="F24" s="170">
        <f>F5*F6*F7*F8*F11</f>
        <v>6540100.0785274161</v>
      </c>
      <c r="G24" s="171">
        <f>G5*G6*G7*G8*G11</f>
        <v>6347340.9931468768</v>
      </c>
      <c r="H24" s="12"/>
      <c r="I24" s="6"/>
      <c r="J24" s="6"/>
    </row>
    <row r="25" spans="2:37" s="4" customFormat="1" ht="16" x14ac:dyDescent="0.15">
      <c r="B25" s="172" t="s">
        <v>85</v>
      </c>
      <c r="C25" s="173">
        <f>C24-C26</f>
        <v>5359303.1322000008</v>
      </c>
      <c r="D25" s="173">
        <f t="shared" ref="D25:G25" si="17">D24-D26</f>
        <v>5508508.0098704994</v>
      </c>
      <c r="E25" s="173">
        <f t="shared" si="17"/>
        <v>5198597.1850393759</v>
      </c>
      <c r="F25" s="173">
        <f t="shared" si="17"/>
        <v>5088264.596809417</v>
      </c>
      <c r="G25" s="174">
        <f t="shared" si="17"/>
        <v>5003413.6020978941</v>
      </c>
      <c r="H25" s="12"/>
      <c r="I25" s="6"/>
      <c r="J25" s="6"/>
    </row>
    <row r="26" spans="2:37" s="4" customFormat="1" ht="16" x14ac:dyDescent="0.15">
      <c r="B26" s="175" t="s">
        <v>0</v>
      </c>
      <c r="C26" s="173">
        <f>C16*C24</f>
        <v>1982208.0078000005</v>
      </c>
      <c r="D26" s="173">
        <f>D16*D24</f>
        <v>2031317.7685351758</v>
      </c>
      <c r="E26" s="173">
        <f>E16*E24</f>
        <v>1607606.026057723</v>
      </c>
      <c r="F26" s="173">
        <f>F16*F24</f>
        <v>1451835.4817179993</v>
      </c>
      <c r="G26" s="174">
        <f>G16*G24</f>
        <v>1343927.391048983</v>
      </c>
      <c r="H26" s="12"/>
      <c r="I26" s="6"/>
      <c r="J26" s="6"/>
    </row>
    <row r="27" spans="2:37" s="4" customFormat="1" ht="16" x14ac:dyDescent="0.15">
      <c r="B27" s="172" t="s">
        <v>133</v>
      </c>
      <c r="C27" s="173">
        <f>C17*C24</f>
        <v>146830.22280000005</v>
      </c>
      <c r="D27" s="173">
        <f>D17*D24</f>
        <v>226194.77335217025</v>
      </c>
      <c r="E27" s="173">
        <f>E17*E24</f>
        <v>272248.12844388396</v>
      </c>
      <c r="F27" s="173">
        <f>F17*F24</f>
        <v>261604.00314109665</v>
      </c>
      <c r="G27" s="174">
        <f>G17*G24</f>
        <v>253893.63972587508</v>
      </c>
      <c r="H27" s="6"/>
      <c r="I27" s="6"/>
      <c r="J27" s="6"/>
    </row>
    <row r="28" spans="2:37" s="4" customFormat="1" ht="16" x14ac:dyDescent="0.15">
      <c r="B28" s="175" t="s">
        <v>65</v>
      </c>
      <c r="C28" s="173">
        <f>C26-C27</f>
        <v>1835377.7850000004</v>
      </c>
      <c r="D28" s="173">
        <f t="shared" ref="D28:G28" si="18">D26-D27</f>
        <v>1805122.9951830055</v>
      </c>
      <c r="E28" s="173">
        <f t="shared" si="18"/>
        <v>1335357.897613839</v>
      </c>
      <c r="F28" s="173">
        <f t="shared" si="18"/>
        <v>1190231.4785769028</v>
      </c>
      <c r="G28" s="174">
        <f t="shared" si="18"/>
        <v>1090033.7513231079</v>
      </c>
      <c r="H28" s="12"/>
      <c r="I28" s="6"/>
      <c r="J28" s="6"/>
    </row>
    <row r="29" spans="2:37" s="4" customFormat="1" ht="16" x14ac:dyDescent="0.15">
      <c r="B29" s="172" t="s">
        <v>99</v>
      </c>
      <c r="C29" s="173">
        <v>500322</v>
      </c>
      <c r="D29" s="173">
        <f t="shared" ref="D29:G29" si="19">+C29</f>
        <v>500322</v>
      </c>
      <c r="E29" s="173">
        <f t="shared" si="19"/>
        <v>500322</v>
      </c>
      <c r="F29" s="173">
        <f t="shared" si="19"/>
        <v>500322</v>
      </c>
      <c r="G29" s="174">
        <f t="shared" si="19"/>
        <v>500322</v>
      </c>
      <c r="H29" s="6"/>
      <c r="I29" s="6"/>
      <c r="J29" s="6"/>
    </row>
    <row r="30" spans="2:37" s="4" customFormat="1" ht="16" x14ac:dyDescent="0.15">
      <c r="B30" s="175" t="s">
        <v>86</v>
      </c>
      <c r="C30" s="173">
        <f t="shared" ref="C30:G30" si="20">+C26-C29</f>
        <v>1481886.0078000005</v>
      </c>
      <c r="D30" s="173">
        <f t="shared" si="20"/>
        <v>1530995.7685351758</v>
      </c>
      <c r="E30" s="173">
        <f t="shared" si="20"/>
        <v>1107284.026057723</v>
      </c>
      <c r="F30" s="173">
        <f t="shared" si="20"/>
        <v>951513.48171799933</v>
      </c>
      <c r="G30" s="174">
        <f t="shared" si="20"/>
        <v>843605.39104898297</v>
      </c>
      <c r="H30" s="12"/>
      <c r="I30" s="6"/>
      <c r="J30" s="6"/>
    </row>
    <row r="31" spans="2:37" s="4" customFormat="1" ht="16" x14ac:dyDescent="0.15">
      <c r="B31" s="172" t="s">
        <v>134</v>
      </c>
      <c r="C31" s="173">
        <f>IF(C30&lt;=0,0,C$18*C30)</f>
        <v>370471.50195000012</v>
      </c>
      <c r="D31" s="173">
        <f t="shared" ref="D31:G31" si="21">IF(D30&lt;=0,0,D$18*D30)</f>
        <v>382748.94213379396</v>
      </c>
      <c r="E31" s="173">
        <f t="shared" si="21"/>
        <v>276821.00651443074</v>
      </c>
      <c r="F31" s="173">
        <f t="shared" si="21"/>
        <v>237878.37042949983</v>
      </c>
      <c r="G31" s="174">
        <f t="shared" si="21"/>
        <v>210901.34776224574</v>
      </c>
      <c r="H31" s="12"/>
      <c r="I31" s="6"/>
      <c r="J31" s="6"/>
    </row>
    <row r="32" spans="2:37" s="4" customFormat="1" ht="17" thickBot="1" x14ac:dyDescent="0.2">
      <c r="B32" s="176" t="s">
        <v>87</v>
      </c>
      <c r="C32" s="177">
        <f t="shared" ref="C32:G32" si="22">C30-C31</f>
        <v>1111414.5058500003</v>
      </c>
      <c r="D32" s="177">
        <f t="shared" si="22"/>
        <v>1148246.8264013818</v>
      </c>
      <c r="E32" s="177">
        <f t="shared" si="22"/>
        <v>830463.01954329223</v>
      </c>
      <c r="F32" s="177">
        <f t="shared" si="22"/>
        <v>713635.11128849955</v>
      </c>
      <c r="G32" s="178">
        <f t="shared" si="22"/>
        <v>632704.04328673729</v>
      </c>
      <c r="H32" s="12"/>
      <c r="I32" s="6"/>
      <c r="J32" s="6"/>
    </row>
    <row r="33" spans="2:11" s="4" customFormat="1" ht="13" x14ac:dyDescent="0.15">
      <c r="B33" s="11"/>
      <c r="C33" s="12"/>
      <c r="D33" s="12"/>
      <c r="E33" s="12"/>
      <c r="F33" s="12"/>
      <c r="G33" s="12"/>
      <c r="H33" s="12"/>
      <c r="I33" s="6"/>
      <c r="J33" s="6"/>
    </row>
    <row r="34" spans="2:11" s="4" customFormat="1" ht="16" x14ac:dyDescent="0.2">
      <c r="B34" s="278" t="s">
        <v>132</v>
      </c>
      <c r="C34" s="12"/>
      <c r="D34" s="12"/>
      <c r="E34" s="12"/>
      <c r="F34" s="12"/>
      <c r="G34" s="12"/>
      <c r="H34" s="12"/>
      <c r="I34" s="6"/>
      <c r="J34" s="6"/>
    </row>
    <row r="35" spans="2:11" s="4" customFormat="1" thickBot="1" x14ac:dyDescent="0.2">
      <c r="B35" s="10"/>
      <c r="C35" s="12"/>
      <c r="D35" s="12"/>
      <c r="E35" s="12"/>
      <c r="F35" s="12"/>
      <c r="G35" s="12"/>
      <c r="H35" s="12"/>
      <c r="I35" s="6"/>
      <c r="J35" s="6"/>
    </row>
    <row r="36" spans="2:11" s="4" customFormat="1" ht="17" thickBot="1" x14ac:dyDescent="0.25">
      <c r="B36" s="106"/>
      <c r="C36" s="166" t="s">
        <v>80</v>
      </c>
      <c r="D36" s="167" t="s">
        <v>81</v>
      </c>
      <c r="E36" s="124" t="s">
        <v>82</v>
      </c>
      <c r="F36" s="168" t="s">
        <v>83</v>
      </c>
      <c r="G36" s="179" t="s">
        <v>108</v>
      </c>
      <c r="H36" s="215" t="s">
        <v>155</v>
      </c>
      <c r="J36" s="6"/>
    </row>
    <row r="37" spans="2:11" s="4" customFormat="1" ht="18" customHeight="1" x14ac:dyDescent="0.2">
      <c r="B37" s="108" t="s">
        <v>87</v>
      </c>
      <c r="C37" s="235">
        <f t="shared" ref="C37:G37" si="23">+C32</f>
        <v>1111414.5058500003</v>
      </c>
      <c r="D37" s="223">
        <f t="shared" si="23"/>
        <v>1148246.8264013818</v>
      </c>
      <c r="E37" s="235">
        <f t="shared" si="23"/>
        <v>830463.01954329223</v>
      </c>
      <c r="F37" s="235">
        <f t="shared" si="23"/>
        <v>713635.11128849955</v>
      </c>
      <c r="G37" s="235">
        <f t="shared" si="23"/>
        <v>632704.04328673729</v>
      </c>
      <c r="H37" s="94"/>
      <c r="I37" s="6"/>
      <c r="J37" s="6"/>
    </row>
    <row r="38" spans="2:11" s="4" customFormat="1" ht="16" customHeight="1" x14ac:dyDescent="0.2">
      <c r="B38" s="109" t="s">
        <v>99</v>
      </c>
      <c r="C38" s="111">
        <f t="shared" ref="C38:G38" si="24">+C29</f>
        <v>500322</v>
      </c>
      <c r="D38" s="224">
        <f t="shared" si="24"/>
        <v>500322</v>
      </c>
      <c r="E38" s="111">
        <f t="shared" si="24"/>
        <v>500322</v>
      </c>
      <c r="F38" s="111">
        <f t="shared" si="24"/>
        <v>500322</v>
      </c>
      <c r="G38" s="111">
        <f t="shared" si="24"/>
        <v>500322</v>
      </c>
      <c r="H38" s="214"/>
      <c r="I38" s="6"/>
      <c r="J38" s="6"/>
    </row>
    <row r="39" spans="2:11" s="4" customFormat="1" ht="16" x14ac:dyDescent="0.2">
      <c r="B39" s="110" t="s">
        <v>58</v>
      </c>
      <c r="C39" s="111">
        <f t="shared" ref="C39:G39" si="25">+C37+C38</f>
        <v>1611736.5058500003</v>
      </c>
      <c r="D39" s="224">
        <f t="shared" si="25"/>
        <v>1648568.8264013818</v>
      </c>
      <c r="E39" s="111">
        <f t="shared" si="25"/>
        <v>1330785.0195432922</v>
      </c>
      <c r="F39" s="111">
        <f t="shared" si="25"/>
        <v>1213957.1112884996</v>
      </c>
      <c r="G39" s="111">
        <f t="shared" si="25"/>
        <v>1133026.0432867373</v>
      </c>
      <c r="H39" s="213"/>
      <c r="I39" s="6"/>
      <c r="J39" s="6"/>
    </row>
    <row r="40" spans="2:11" s="4" customFormat="1" ht="16" customHeight="1" x14ac:dyDescent="0.2">
      <c r="B40" s="109" t="s">
        <v>98</v>
      </c>
      <c r="C40" s="111">
        <f>0.04*C24</f>
        <v>293660.44560000009</v>
      </c>
      <c r="D40" s="224">
        <f>+C40*(1+D19)</f>
        <v>303204.41008200007</v>
      </c>
      <c r="E40" s="111">
        <f>+D40*(1+E19)</f>
        <v>315332.58648528007</v>
      </c>
      <c r="F40" s="111">
        <f>+E40*(1+F19)</f>
        <v>327945.88994469127</v>
      </c>
      <c r="G40" s="111">
        <f>+F40*(1+G19)</f>
        <v>341063.7255424789</v>
      </c>
      <c r="H40" s="214"/>
      <c r="I40" s="6"/>
      <c r="J40" s="6"/>
      <c r="K40" s="13"/>
    </row>
    <row r="41" spans="2:11" s="4" customFormat="1" ht="19" customHeight="1" thickBot="1" x14ac:dyDescent="0.25">
      <c r="B41" s="294" t="s">
        <v>138</v>
      </c>
      <c r="C41" s="295">
        <f>C39-C40</f>
        <v>1318076.0602500001</v>
      </c>
      <c r="D41" s="295">
        <f t="shared" ref="D41:G41" si="26">D39-D40</f>
        <v>1345364.4163193817</v>
      </c>
      <c r="E41" s="295">
        <f t="shared" si="26"/>
        <v>1015452.4330580122</v>
      </c>
      <c r="F41" s="295">
        <f t="shared" si="26"/>
        <v>886011.22134380834</v>
      </c>
      <c r="G41" s="295">
        <f t="shared" si="26"/>
        <v>791962.31774425833</v>
      </c>
      <c r="H41" s="295">
        <f>G41*(1+C47)/(C46-C47)</f>
        <v>16156031.281982869</v>
      </c>
      <c r="I41" s="14"/>
      <c r="J41" s="14"/>
    </row>
    <row r="42" spans="2:11" s="4" customFormat="1" ht="19" customHeight="1" x14ac:dyDescent="0.2">
      <c r="B42" s="115"/>
      <c r="C42" s="212"/>
      <c r="D42" s="225"/>
      <c r="E42" s="225"/>
      <c r="F42" s="225"/>
      <c r="G42" s="225"/>
      <c r="H42" s="12"/>
      <c r="I42" s="14"/>
      <c r="J42" s="14"/>
    </row>
    <row r="43" spans="2:11" s="4" customFormat="1" ht="19" customHeight="1" x14ac:dyDescent="0.2">
      <c r="B43" s="276" t="s">
        <v>139</v>
      </c>
      <c r="C43" s="212"/>
      <c r="D43" s="225"/>
      <c r="E43" s="225"/>
      <c r="F43" s="225"/>
      <c r="G43" s="225"/>
      <c r="H43" s="12"/>
      <c r="I43" s="14"/>
      <c r="J43" s="14"/>
    </row>
    <row r="44" spans="2:11" s="4" customFormat="1" ht="19" customHeight="1" thickBot="1" x14ac:dyDescent="0.25">
      <c r="B44" s="115"/>
      <c r="C44" s="212"/>
      <c r="D44" s="225"/>
      <c r="E44" s="225"/>
      <c r="F44" s="225"/>
      <c r="G44" s="225"/>
      <c r="H44" s="12"/>
      <c r="I44" s="14"/>
      <c r="J44" s="14"/>
    </row>
    <row r="45" spans="2:11" ht="16" x14ac:dyDescent="0.2">
      <c r="B45" s="279" t="s">
        <v>136</v>
      </c>
      <c r="C45" s="280">
        <v>14921222</v>
      </c>
      <c r="D45" s="225"/>
      <c r="E45" s="225"/>
      <c r="F45" s="225"/>
      <c r="G45" s="225"/>
    </row>
    <row r="46" spans="2:11" ht="16" x14ac:dyDescent="0.2">
      <c r="B46" s="281" t="s">
        <v>135</v>
      </c>
      <c r="C46" s="282">
        <v>7.0000000000000007E-2</v>
      </c>
    </row>
    <row r="47" spans="2:11" ht="17" thickBot="1" x14ac:dyDescent="0.25">
      <c r="B47" s="283" t="s">
        <v>137</v>
      </c>
      <c r="C47" s="284">
        <v>0.02</v>
      </c>
    </row>
    <row r="48" spans="2:11" ht="15" thickBot="1" x14ac:dyDescent="0.2"/>
    <row r="49" spans="2:9" ht="17" thickBot="1" x14ac:dyDescent="0.25">
      <c r="B49" s="285" t="s">
        <v>97</v>
      </c>
      <c r="C49" s="296">
        <f>NPV(C46,C41:G41)+H41/((1+C46)^5)-C45</f>
        <v>1074248.7604899891</v>
      </c>
    </row>
    <row r="50" spans="2:9" x14ac:dyDescent="0.15">
      <c r="D50" s="216"/>
      <c r="E50" s="221"/>
    </row>
    <row r="51" spans="2:9" x14ac:dyDescent="0.15">
      <c r="B51" s="182"/>
      <c r="C51" s="182" t="s">
        <v>80</v>
      </c>
      <c r="D51" s="182" t="s">
        <v>81</v>
      </c>
      <c r="E51" s="182" t="s">
        <v>82</v>
      </c>
      <c r="F51" s="182" t="s">
        <v>83</v>
      </c>
      <c r="G51" s="182" t="s">
        <v>108</v>
      </c>
      <c r="H51" s="182" t="s">
        <v>109</v>
      </c>
      <c r="I51" s="182"/>
    </row>
    <row r="52" spans="2:9" x14ac:dyDescent="0.15">
      <c r="B52" s="182" t="s">
        <v>87</v>
      </c>
      <c r="C52" s="182">
        <v>1111414.5058500003</v>
      </c>
      <c r="D52" s="182">
        <v>1279399.3704000001</v>
      </c>
      <c r="E52" s="182">
        <v>1395159.9910312495</v>
      </c>
      <c r="F52" s="182">
        <v>1564810.1279999998</v>
      </c>
      <c r="G52" s="182">
        <v>1807103.2274999996</v>
      </c>
      <c r="H52" s="182"/>
      <c r="I52" s="182"/>
    </row>
    <row r="53" spans="2:9" x14ac:dyDescent="0.15">
      <c r="B53" s="182" t="s">
        <v>99</v>
      </c>
      <c r="C53" s="182">
        <v>500322</v>
      </c>
      <c r="D53" s="182">
        <v>500322</v>
      </c>
      <c r="E53" s="182">
        <v>500322</v>
      </c>
      <c r="F53" s="182">
        <v>500322</v>
      </c>
      <c r="G53" s="182">
        <v>500322</v>
      </c>
      <c r="H53" s="182"/>
      <c r="I53" s="182"/>
    </row>
    <row r="54" spans="2:9" ht="16" x14ac:dyDescent="0.2">
      <c r="B54" s="287"/>
      <c r="C54" s="125"/>
      <c r="D54" s="125"/>
      <c r="E54" s="125"/>
      <c r="F54" s="125"/>
      <c r="G54" s="125"/>
      <c r="H54" s="212"/>
      <c r="I54" s="182"/>
    </row>
    <row r="55" spans="2:9" ht="16" x14ac:dyDescent="0.2">
      <c r="B55" s="276"/>
      <c r="C55" s="291"/>
      <c r="D55" s="291"/>
      <c r="E55" s="291"/>
      <c r="F55" s="291"/>
      <c r="G55" s="291"/>
      <c r="H55" s="291"/>
      <c r="I55" s="182"/>
    </row>
    <row r="56" spans="2:9" ht="16" x14ac:dyDescent="0.2">
      <c r="B56" s="276"/>
      <c r="C56" s="286"/>
      <c r="D56" s="286"/>
      <c r="E56" s="286"/>
      <c r="F56" s="286"/>
      <c r="G56" s="286"/>
      <c r="H56" s="286"/>
      <c r="I56" s="182"/>
    </row>
    <row r="57" spans="2:9" ht="16" x14ac:dyDescent="0.2">
      <c r="B57" s="276"/>
      <c r="C57" s="292"/>
      <c r="D57" s="292"/>
      <c r="E57" s="292"/>
      <c r="F57" s="292"/>
      <c r="G57" s="292"/>
      <c r="H57" s="292"/>
      <c r="I57" s="182"/>
    </row>
    <row r="58" spans="2:9" x14ac:dyDescent="0.15">
      <c r="B58" s="287"/>
      <c r="C58" s="287"/>
      <c r="D58" s="287"/>
      <c r="E58" s="287"/>
      <c r="F58" s="287"/>
      <c r="G58" s="287"/>
      <c r="H58" s="287"/>
      <c r="I58" s="182"/>
    </row>
    <row r="59" spans="2:9" x14ac:dyDescent="0.15">
      <c r="B59" s="287"/>
      <c r="C59" s="288"/>
      <c r="D59" s="287"/>
      <c r="E59" s="287"/>
      <c r="F59" s="287"/>
      <c r="G59" s="287"/>
      <c r="H59" s="287"/>
      <c r="I59" s="182"/>
    </row>
    <row r="60" spans="2:9" x14ac:dyDescent="0.15">
      <c r="B60" s="287"/>
      <c r="C60" s="289"/>
      <c r="D60" s="287"/>
      <c r="E60" s="287"/>
      <c r="F60" s="287"/>
      <c r="G60" s="287"/>
      <c r="H60" s="287"/>
      <c r="I60" s="182"/>
    </row>
    <row r="61" spans="2:9" x14ac:dyDescent="0.15">
      <c r="B61" s="287"/>
      <c r="C61" s="287"/>
      <c r="D61" s="287"/>
      <c r="E61" s="287"/>
      <c r="F61" s="287"/>
      <c r="G61" s="287"/>
      <c r="H61" s="287"/>
      <c r="I61" s="182"/>
    </row>
    <row r="62" spans="2:9" ht="16" x14ac:dyDescent="0.2">
      <c r="B62" s="293"/>
      <c r="C62" s="290"/>
      <c r="D62" s="287"/>
      <c r="E62" s="287"/>
      <c r="F62" s="287"/>
      <c r="G62" s="287"/>
      <c r="H62" s="287"/>
      <c r="I62" s="182"/>
    </row>
    <row r="63" spans="2:9" x14ac:dyDescent="0.15">
      <c r="B63" s="287"/>
      <c r="C63" s="287"/>
      <c r="D63" s="287"/>
      <c r="E63" s="287"/>
      <c r="F63" s="287"/>
      <c r="G63" s="287"/>
      <c r="H63" s="287"/>
      <c r="I63" s="182"/>
    </row>
    <row r="64" spans="2:9" x14ac:dyDescent="0.15">
      <c r="B64" s="182" t="s">
        <v>101</v>
      </c>
      <c r="C64" s="182" t="s">
        <v>102</v>
      </c>
      <c r="D64" s="182" t="s">
        <v>103</v>
      </c>
      <c r="E64" s="182" t="s">
        <v>104</v>
      </c>
      <c r="F64" s="182" t="s">
        <v>105</v>
      </c>
      <c r="G64" s="182" t="s">
        <v>106</v>
      </c>
      <c r="H64" s="182" t="s">
        <v>107</v>
      </c>
      <c r="I64" s="182"/>
    </row>
    <row r="65" spans="1:51" x14ac:dyDescent="0.15">
      <c r="B65" s="182"/>
      <c r="C65" s="183">
        <v>0.8</v>
      </c>
      <c r="D65" s="182">
        <v>0.7</v>
      </c>
      <c r="E65" s="182">
        <v>0.55000000000000004</v>
      </c>
      <c r="F65" s="182">
        <v>0.48</v>
      </c>
      <c r="G65" s="182">
        <v>0.35</v>
      </c>
      <c r="H65" s="182">
        <v>0.6</v>
      </c>
      <c r="I65" s="182"/>
      <c r="J65" s="182"/>
    </row>
    <row r="66" spans="1:51" x14ac:dyDescent="0.15">
      <c r="B66" s="182"/>
      <c r="C66" s="107" t="s">
        <v>59</v>
      </c>
      <c r="D66" s="107" t="s">
        <v>60</v>
      </c>
      <c r="E66" s="107" t="s">
        <v>61</v>
      </c>
      <c r="F66" s="107" t="s">
        <v>62</v>
      </c>
      <c r="G66" s="107" t="s">
        <v>63</v>
      </c>
      <c r="H66" s="107"/>
      <c r="I66" s="182"/>
      <c r="J66" s="182"/>
    </row>
    <row r="67" spans="1:51" x14ac:dyDescent="0.15">
      <c r="B67" s="182" t="s">
        <v>66</v>
      </c>
      <c r="C67" s="184" t="e">
        <f>-#REF!+(C65*C41)/(1+C45)+(D65*D41)/((1+C45)^2)+(E41*E65)/((1+C45)^3)+(F41*F65)/((1+C45)^4)+(G41*G65)/((1+C45)^5)+(H65*H41)/((1+C45)^5)</f>
        <v>#REF!</v>
      </c>
      <c r="D67" s="184"/>
      <c r="E67" s="184"/>
      <c r="F67" s="184"/>
      <c r="G67" s="184"/>
      <c r="H67" s="184"/>
      <c r="I67" s="182"/>
      <c r="J67" s="182"/>
    </row>
    <row r="68" spans="1:51" x14ac:dyDescent="0.15">
      <c r="B68" s="183" t="s">
        <v>0</v>
      </c>
      <c r="C68" s="185">
        <f>C26</f>
        <v>1982208.0078000005</v>
      </c>
      <c r="D68" s="185">
        <f>D26</f>
        <v>2031317.7685351758</v>
      </c>
      <c r="E68" s="185">
        <f>E26</f>
        <v>1607606.026057723</v>
      </c>
      <c r="F68" s="185">
        <f>F26</f>
        <v>1451835.4817179993</v>
      </c>
      <c r="G68" s="185">
        <f>G26</f>
        <v>1343927.391048983</v>
      </c>
      <c r="H68" s="185"/>
      <c r="I68" s="182"/>
      <c r="J68" s="182"/>
    </row>
    <row r="69" spans="1:51" x14ac:dyDescent="0.15">
      <c r="B69" s="182" t="s">
        <v>1</v>
      </c>
      <c r="C69" s="184">
        <v>500322</v>
      </c>
      <c r="D69" s="184">
        <f>C69</f>
        <v>500322</v>
      </c>
      <c r="E69" s="184">
        <f t="shared" ref="E69:G69" si="27">D69</f>
        <v>500322</v>
      </c>
      <c r="F69" s="184">
        <f t="shared" si="27"/>
        <v>500322</v>
      </c>
      <c r="G69" s="184">
        <f t="shared" si="27"/>
        <v>500322</v>
      </c>
      <c r="H69" s="184"/>
      <c r="I69" s="182"/>
      <c r="J69" s="182"/>
    </row>
    <row r="70" spans="1:51" x14ac:dyDescent="0.15">
      <c r="B70" s="183" t="s">
        <v>2</v>
      </c>
      <c r="C70" s="185">
        <f>C68-C69</f>
        <v>1481886.0078000005</v>
      </c>
      <c r="D70" s="185">
        <f t="shared" ref="D70:G70" si="28">D68-D69</f>
        <v>1530995.7685351758</v>
      </c>
      <c r="E70" s="185">
        <f t="shared" si="28"/>
        <v>1107284.026057723</v>
      </c>
      <c r="F70" s="185">
        <f t="shared" si="28"/>
        <v>951513.48171799933</v>
      </c>
      <c r="G70" s="185">
        <f t="shared" si="28"/>
        <v>843605.39104898297</v>
      </c>
      <c r="H70" s="185"/>
      <c r="I70" s="182"/>
      <c r="J70" s="182"/>
    </row>
    <row r="71" spans="1:51" x14ac:dyDescent="0.15">
      <c r="B71" s="182" t="s">
        <v>3</v>
      </c>
      <c r="C71" s="184">
        <f>C70*0.25</f>
        <v>370471.50195000012</v>
      </c>
      <c r="D71" s="184">
        <f t="shared" ref="D71:G71" si="29">D70*0.25</f>
        <v>382748.94213379396</v>
      </c>
      <c r="E71" s="184">
        <f t="shared" si="29"/>
        <v>276821.00651443074</v>
      </c>
      <c r="F71" s="184">
        <f t="shared" si="29"/>
        <v>237878.37042949983</v>
      </c>
      <c r="G71" s="184">
        <f t="shared" si="29"/>
        <v>210901.34776224574</v>
      </c>
      <c r="H71" s="184"/>
      <c r="I71" s="182"/>
      <c r="J71" s="182"/>
    </row>
    <row r="72" spans="1:51" x14ac:dyDescent="0.15">
      <c r="B72" s="183" t="s">
        <v>4</v>
      </c>
      <c r="C72" s="185">
        <f>C70-C71</f>
        <v>1111414.5058500003</v>
      </c>
      <c r="D72" s="185">
        <f t="shared" ref="D72:G72" si="30">D70-D71</f>
        <v>1148246.8264013818</v>
      </c>
      <c r="E72" s="185">
        <f t="shared" si="30"/>
        <v>830463.01954329223</v>
      </c>
      <c r="F72" s="185">
        <f t="shared" si="30"/>
        <v>713635.11128849955</v>
      </c>
      <c r="G72" s="185">
        <f t="shared" si="30"/>
        <v>632704.04328673729</v>
      </c>
      <c r="H72" s="185"/>
      <c r="I72" s="182"/>
      <c r="J72" s="182"/>
    </row>
    <row r="73" spans="1:51" x14ac:dyDescent="0.15">
      <c r="B73" s="182" t="s">
        <v>1</v>
      </c>
      <c r="C73" s="184">
        <f>C69</f>
        <v>500322</v>
      </c>
      <c r="D73" s="184">
        <f t="shared" ref="D73:G73" si="31">D69</f>
        <v>500322</v>
      </c>
      <c r="E73" s="184">
        <f t="shared" si="31"/>
        <v>500322</v>
      </c>
      <c r="F73" s="184">
        <f t="shared" si="31"/>
        <v>500322</v>
      </c>
      <c r="G73" s="184">
        <f t="shared" si="31"/>
        <v>500322</v>
      </c>
      <c r="H73" s="184"/>
      <c r="I73" s="182"/>
      <c r="J73" s="182"/>
    </row>
    <row r="74" spans="1:51" x14ac:dyDescent="0.15">
      <c r="B74" s="183" t="s">
        <v>5</v>
      </c>
      <c r="C74" s="186">
        <f>C72+C73</f>
        <v>1611736.5058500003</v>
      </c>
      <c r="D74" s="186">
        <f t="shared" ref="D74:G74" si="32">D72+D73</f>
        <v>1648568.8264013818</v>
      </c>
      <c r="E74" s="186">
        <f t="shared" si="32"/>
        <v>1330785.0195432922</v>
      </c>
      <c r="F74" s="186">
        <f t="shared" si="32"/>
        <v>1213957.1112884996</v>
      </c>
      <c r="G74" s="186">
        <f t="shared" si="32"/>
        <v>1133026.0432867373</v>
      </c>
      <c r="H74" s="186"/>
      <c r="I74" s="182"/>
      <c r="J74" s="182"/>
    </row>
    <row r="75" spans="1:51" x14ac:dyDescent="0.15">
      <c r="B75" s="182" t="s">
        <v>7</v>
      </c>
      <c r="C75" s="187">
        <f>C40</f>
        <v>293660.44560000009</v>
      </c>
      <c r="D75" s="187">
        <f>D40</f>
        <v>303204.41008200007</v>
      </c>
      <c r="E75" s="187">
        <f>E40</f>
        <v>315332.58648528007</v>
      </c>
      <c r="F75" s="187">
        <f>F40</f>
        <v>327945.88994469127</v>
      </c>
      <c r="G75" s="187">
        <f>G40</f>
        <v>341063.7255424789</v>
      </c>
      <c r="H75" s="187"/>
      <c r="I75" s="182"/>
      <c r="J75" s="182"/>
    </row>
    <row r="76" spans="1:51" x14ac:dyDescent="0.15">
      <c r="B76" s="183" t="s">
        <v>6</v>
      </c>
      <c r="C76" s="186">
        <f>C74-C75</f>
        <v>1318076.0602500001</v>
      </c>
      <c r="D76" s="186">
        <f t="shared" ref="D76:G76" si="33">D74-D75</f>
        <v>1345364.4163193817</v>
      </c>
      <c r="E76" s="186">
        <f t="shared" si="33"/>
        <v>1015452.4330580122</v>
      </c>
      <c r="F76" s="186">
        <f t="shared" si="33"/>
        <v>886011.22134380834</v>
      </c>
      <c r="G76" s="186">
        <f t="shared" si="33"/>
        <v>791962.31774425833</v>
      </c>
      <c r="H76" s="186"/>
      <c r="I76" s="182"/>
      <c r="J76" s="182"/>
    </row>
    <row r="77" spans="1:51" x14ac:dyDescent="0.15">
      <c r="B77" s="217"/>
      <c r="C77" s="218"/>
      <c r="D77" s="219"/>
      <c r="E77" s="219"/>
      <c r="F77" s="219"/>
      <c r="G77" s="219"/>
      <c r="H77" s="219"/>
      <c r="I77" s="182"/>
      <c r="J77" s="182"/>
    </row>
    <row r="78" spans="1:51" x14ac:dyDescent="0.15">
      <c r="B78" s="188"/>
      <c r="C78" s="189"/>
      <c r="D78" s="190"/>
      <c r="E78" s="190"/>
      <c r="F78" s="190"/>
      <c r="G78" s="190"/>
      <c r="H78" s="190"/>
      <c r="I78" s="182"/>
      <c r="J78" s="182"/>
    </row>
    <row r="79" spans="1:51" s="194" customFormat="1" x14ac:dyDescent="0.15">
      <c r="A79" s="193"/>
      <c r="B79" s="183" t="s">
        <v>10</v>
      </c>
      <c r="C79" s="191">
        <f>C76</f>
        <v>1318076.0602500001</v>
      </c>
      <c r="D79" s="191">
        <f>D76</f>
        <v>1345364.4163193817</v>
      </c>
      <c r="E79" s="191">
        <f>E76</f>
        <v>1015452.4330580122</v>
      </c>
      <c r="F79" s="191">
        <f>F76</f>
        <v>886011.22134380834</v>
      </c>
      <c r="G79" s="191">
        <f>G76</f>
        <v>791962.31774425833</v>
      </c>
      <c r="H79" s="191"/>
      <c r="I79" s="192">
        <f>G79*(1+C83)/(C114-C113)</f>
        <v>3264946.6421930185</v>
      </c>
      <c r="J79" s="18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</row>
    <row r="80" spans="1:51" x14ac:dyDescent="0.15">
      <c r="B80" s="182"/>
      <c r="C80" s="195"/>
      <c r="D80" s="195"/>
      <c r="E80" s="195"/>
      <c r="F80" s="195"/>
      <c r="G80" s="195"/>
      <c r="H80" s="195"/>
      <c r="I80" s="196"/>
      <c r="J80" s="196"/>
    </row>
    <row r="81" spans="2:14" x14ac:dyDescent="0.15">
      <c r="B81" s="182" t="s">
        <v>37</v>
      </c>
      <c r="C81" s="195">
        <f>C79</f>
        <v>1318076.0602500001</v>
      </c>
      <c r="D81" s="195">
        <f t="shared" ref="D81:G81" si="34">D79</f>
        <v>1345364.4163193817</v>
      </c>
      <c r="E81" s="195">
        <f t="shared" si="34"/>
        <v>1015452.4330580122</v>
      </c>
      <c r="F81" s="195">
        <f t="shared" si="34"/>
        <v>886011.22134380834</v>
      </c>
      <c r="G81" s="195">
        <f t="shared" si="34"/>
        <v>791962.31774425833</v>
      </c>
      <c r="H81" s="195"/>
      <c r="I81" s="197"/>
      <c r="J81" s="197"/>
    </row>
    <row r="82" spans="2:14" x14ac:dyDescent="0.15">
      <c r="B82" s="182" t="s">
        <v>38</v>
      </c>
      <c r="C82" s="198"/>
      <c r="D82" s="197">
        <f>(D81/C81)-1</f>
        <v>2.0703172519654034E-2</v>
      </c>
      <c r="E82" s="197">
        <f t="shared" ref="E82:G82" si="35">(E81/D81)-1</f>
        <v>-0.2452212792753472</v>
      </c>
      <c r="F82" s="197">
        <f t="shared" si="35"/>
        <v>-0.12747146739743831</v>
      </c>
      <c r="G82" s="197">
        <f t="shared" si="35"/>
        <v>-0.10614865967149556</v>
      </c>
      <c r="H82" s="197"/>
      <c r="I82" s="197"/>
      <c r="J82" s="197"/>
    </row>
    <row r="83" spans="2:14" x14ac:dyDescent="0.15">
      <c r="B83" s="183" t="s">
        <v>39</v>
      </c>
      <c r="C83" s="199">
        <f>AVERAGE(D82:G82)</f>
        <v>-0.11453455845615676</v>
      </c>
      <c r="D83" s="195"/>
      <c r="E83" s="195"/>
      <c r="F83" s="195"/>
      <c r="G83" s="195"/>
      <c r="H83" s="195"/>
      <c r="I83" s="197"/>
      <c r="J83" s="197"/>
    </row>
    <row r="84" spans="2:14" x14ac:dyDescent="0.15">
      <c r="B84" s="183"/>
      <c r="C84" s="199"/>
      <c r="D84" s="195"/>
      <c r="E84" s="195"/>
      <c r="F84" s="195"/>
      <c r="G84" s="195"/>
      <c r="H84" s="195"/>
      <c r="I84" s="197"/>
      <c r="J84" s="197"/>
    </row>
    <row r="85" spans="2:14" x14ac:dyDescent="0.15">
      <c r="B85" s="183"/>
      <c r="C85" s="199"/>
      <c r="D85" s="195"/>
      <c r="E85" s="195"/>
      <c r="F85" s="195"/>
      <c r="G85" s="195"/>
      <c r="H85" s="195"/>
      <c r="I85" s="197"/>
      <c r="J85" s="197"/>
    </row>
    <row r="86" spans="2:14" x14ac:dyDescent="0.15">
      <c r="B86" s="183" t="s">
        <v>40</v>
      </c>
      <c r="C86" s="199"/>
      <c r="D86" s="195"/>
      <c r="E86" s="195"/>
      <c r="F86" s="195"/>
      <c r="G86" s="195"/>
      <c r="H86" s="195"/>
      <c r="I86" s="195"/>
      <c r="J86" s="195"/>
      <c r="K86" s="200"/>
      <c r="L86" s="200"/>
      <c r="M86" s="200"/>
      <c r="N86" s="200"/>
    </row>
    <row r="87" spans="2:14" x14ac:dyDescent="0.15">
      <c r="B87" s="183"/>
      <c r="C87" s="199"/>
      <c r="D87" s="195"/>
      <c r="E87" s="195"/>
      <c r="F87" s="195"/>
      <c r="G87" s="195"/>
      <c r="H87" s="195"/>
      <c r="I87" s="195"/>
      <c r="J87" s="195"/>
      <c r="K87" s="200"/>
      <c r="L87" s="200"/>
      <c r="M87" s="200"/>
      <c r="N87" s="200"/>
    </row>
    <row r="88" spans="2:14" x14ac:dyDescent="0.15">
      <c r="B88" s="183" t="s">
        <v>41</v>
      </c>
      <c r="C88" s="199"/>
      <c r="D88" s="195"/>
      <c r="E88" s="195"/>
      <c r="F88" s="195"/>
      <c r="G88" s="195"/>
      <c r="H88" s="195"/>
      <c r="I88" s="195"/>
      <c r="J88" s="195"/>
      <c r="K88" s="200"/>
      <c r="L88" s="200"/>
      <c r="M88" s="200"/>
      <c r="N88" s="200"/>
    </row>
    <row r="89" spans="2:14" x14ac:dyDescent="0.15">
      <c r="B89" s="183"/>
      <c r="C89" s="199"/>
      <c r="D89" s="195"/>
      <c r="E89" s="195"/>
      <c r="F89" s="195"/>
      <c r="G89" s="195"/>
      <c r="H89" s="195"/>
      <c r="I89" s="195"/>
      <c r="J89" s="195"/>
      <c r="K89" s="200"/>
      <c r="L89" s="200"/>
      <c r="M89" s="200"/>
      <c r="N89" s="200"/>
    </row>
    <row r="90" spans="2:14" x14ac:dyDescent="0.15">
      <c r="B90" s="183" t="s">
        <v>42</v>
      </c>
      <c r="C90" s="199">
        <v>5.4399999999999997E-2</v>
      </c>
      <c r="D90" s="195"/>
      <c r="E90" s="195"/>
      <c r="F90" s="195"/>
      <c r="G90" s="195"/>
      <c r="H90" s="195"/>
      <c r="I90" s="195"/>
      <c r="J90" s="195"/>
      <c r="K90" s="200"/>
      <c r="L90" s="200"/>
      <c r="M90" s="200"/>
      <c r="N90" s="200"/>
    </row>
    <row r="91" spans="2:14" x14ac:dyDescent="0.15">
      <c r="B91" s="183" t="s">
        <v>43</v>
      </c>
      <c r="C91" s="201">
        <v>0.9667</v>
      </c>
      <c r="D91" s="195"/>
      <c r="E91" s="195"/>
      <c r="F91" s="195"/>
      <c r="G91" s="195"/>
      <c r="H91" s="195"/>
      <c r="I91" s="195"/>
      <c r="J91" s="195"/>
      <c r="K91" s="200"/>
      <c r="L91" s="200"/>
      <c r="M91" s="200"/>
      <c r="N91" s="200"/>
    </row>
    <row r="92" spans="2:14" x14ac:dyDescent="0.15">
      <c r="B92" s="183" t="s">
        <v>44</v>
      </c>
      <c r="C92" s="199">
        <v>0.25965169999999999</v>
      </c>
      <c r="D92" s="195"/>
      <c r="E92" s="195"/>
      <c r="F92" s="202">
        <f>K121</f>
        <v>0.53805586972132791</v>
      </c>
      <c r="G92" s="195" t="s">
        <v>55</v>
      </c>
      <c r="H92" s="195"/>
      <c r="I92" s="195"/>
      <c r="J92" s="195"/>
      <c r="K92" s="203"/>
      <c r="L92" s="200"/>
      <c r="M92" s="200"/>
      <c r="N92" s="200"/>
    </row>
    <row r="93" spans="2:14" x14ac:dyDescent="0.15">
      <c r="B93" s="183" t="s">
        <v>45</v>
      </c>
      <c r="C93" s="199">
        <f>1-C92</f>
        <v>0.74034829999999996</v>
      </c>
      <c r="D93" s="195"/>
      <c r="E93" s="195"/>
      <c r="F93" s="197">
        <f>K119</f>
        <v>0.46194413027867215</v>
      </c>
      <c r="G93" s="195" t="s">
        <v>57</v>
      </c>
      <c r="H93" s="195"/>
      <c r="I93" s="195"/>
      <c r="J93" s="195"/>
      <c r="K93" s="200"/>
      <c r="L93" s="200"/>
      <c r="M93" s="200"/>
      <c r="N93" s="200"/>
    </row>
    <row r="94" spans="2:14" x14ac:dyDescent="0.15">
      <c r="B94" s="183" t="s">
        <v>50</v>
      </c>
      <c r="C94" s="204">
        <f>C92/C93</f>
        <v>0.35071560237255894</v>
      </c>
      <c r="D94" s="195"/>
      <c r="E94" s="195"/>
      <c r="F94" s="195"/>
      <c r="G94" s="195"/>
      <c r="H94" s="195"/>
      <c r="I94" s="195"/>
      <c r="J94" s="195"/>
      <c r="K94" s="200"/>
      <c r="L94" s="200"/>
      <c r="M94" s="200"/>
      <c r="N94" s="200"/>
    </row>
    <row r="95" spans="2:14" x14ac:dyDescent="0.15">
      <c r="B95" s="183" t="s">
        <v>46</v>
      </c>
      <c r="C95" s="198">
        <v>0.25</v>
      </c>
      <c r="D95" s="195"/>
      <c r="E95" s="195"/>
      <c r="F95" s="195"/>
      <c r="G95" s="195"/>
      <c r="H95" s="195"/>
      <c r="I95" s="195"/>
      <c r="J95" s="195"/>
      <c r="K95" s="200"/>
      <c r="L95" s="200"/>
      <c r="M95" s="200"/>
      <c r="N95" s="200"/>
    </row>
    <row r="96" spans="2:14" x14ac:dyDescent="0.15">
      <c r="B96" s="183" t="s">
        <v>47</v>
      </c>
      <c r="C96" s="201">
        <f>C91*(1+C94*(1-C95))</f>
        <v>1.2209775796101645</v>
      </c>
      <c r="D96" s="195"/>
      <c r="E96" s="195"/>
      <c r="F96" s="195"/>
      <c r="G96" s="195"/>
      <c r="H96" s="195"/>
      <c r="I96" s="195"/>
      <c r="J96" s="195"/>
      <c r="K96" s="200"/>
      <c r="L96" s="200"/>
      <c r="M96" s="200"/>
      <c r="N96" s="200"/>
    </row>
    <row r="97" spans="2:14" x14ac:dyDescent="0.15">
      <c r="B97" s="183" t="s">
        <v>48</v>
      </c>
      <c r="C97" s="205">
        <v>5.8999999999999997E-2</v>
      </c>
      <c r="D97" s="195"/>
      <c r="E97" s="195"/>
      <c r="F97" s="195"/>
      <c r="G97" s="195"/>
      <c r="H97" s="195"/>
      <c r="I97" s="195"/>
      <c r="J97" s="195"/>
      <c r="K97" s="200"/>
      <c r="L97" s="200"/>
      <c r="M97" s="200"/>
      <c r="N97" s="200"/>
    </row>
    <row r="98" spans="2:14" x14ac:dyDescent="0.15">
      <c r="B98" s="183"/>
      <c r="C98" s="205"/>
      <c r="D98" s="195"/>
      <c r="E98" s="195"/>
      <c r="F98" s="195"/>
      <c r="G98" s="195"/>
      <c r="H98" s="195"/>
      <c r="I98" s="195"/>
      <c r="J98" s="195"/>
      <c r="K98" s="200"/>
      <c r="L98" s="200"/>
      <c r="M98" s="200"/>
      <c r="N98" s="200"/>
    </row>
    <row r="99" spans="2:14" x14ac:dyDescent="0.15">
      <c r="B99" s="183" t="s">
        <v>49</v>
      </c>
      <c r="C99" s="204">
        <f>C90+C96*C97</f>
        <v>0.12643767719699969</v>
      </c>
      <c r="D99" s="195"/>
      <c r="E99" s="195"/>
      <c r="F99" s="195"/>
      <c r="G99" s="195"/>
      <c r="H99" s="195"/>
      <c r="I99" s="195"/>
      <c r="J99" s="195"/>
      <c r="K99" s="200"/>
      <c r="L99" s="200"/>
      <c r="M99" s="200"/>
      <c r="N99" s="200"/>
    </row>
    <row r="100" spans="2:14" x14ac:dyDescent="0.15">
      <c r="B100" s="183"/>
      <c r="C100" s="195"/>
      <c r="D100" s="195"/>
      <c r="E100" s="195"/>
      <c r="F100" s="195"/>
      <c r="G100" s="195"/>
      <c r="H100" s="195"/>
      <c r="I100" s="195"/>
      <c r="J100" s="195"/>
      <c r="K100" s="200"/>
      <c r="L100" s="200"/>
      <c r="M100" s="200"/>
      <c r="N100" s="200"/>
    </row>
    <row r="101" spans="2:14" x14ac:dyDescent="0.15">
      <c r="B101" s="183" t="s">
        <v>51</v>
      </c>
      <c r="C101" s="195"/>
      <c r="D101" s="195"/>
      <c r="E101" s="195"/>
      <c r="F101" s="195"/>
      <c r="G101" s="195"/>
      <c r="H101" s="195"/>
      <c r="I101" s="195"/>
      <c r="J101" s="195"/>
      <c r="K101" s="200"/>
      <c r="L101" s="200"/>
      <c r="M101" s="200"/>
      <c r="N101" s="200"/>
    </row>
    <row r="102" spans="2:14" x14ac:dyDescent="0.15">
      <c r="B102" s="183"/>
      <c r="C102" s="195"/>
      <c r="D102" s="195"/>
      <c r="E102" s="195"/>
      <c r="F102" s="195"/>
      <c r="G102" s="195"/>
      <c r="H102" s="195"/>
      <c r="I102" s="195"/>
      <c r="J102" s="195"/>
      <c r="K102" s="200"/>
      <c r="L102" s="200"/>
      <c r="M102" s="200"/>
      <c r="N102" s="200"/>
    </row>
    <row r="103" spans="2:14" x14ac:dyDescent="0.15">
      <c r="B103" s="183" t="s">
        <v>52</v>
      </c>
      <c r="C103" s="205">
        <v>3.4099999999999998E-2</v>
      </c>
      <c r="D103" s="195"/>
      <c r="E103" s="195"/>
      <c r="F103" s="195"/>
      <c r="G103" s="195"/>
      <c r="H103" s="195"/>
      <c r="I103" s="195"/>
      <c r="J103" s="195"/>
      <c r="K103" s="200"/>
      <c r="L103" s="200"/>
      <c r="M103" s="200"/>
      <c r="N103" s="200"/>
    </row>
    <row r="104" spans="2:14" x14ac:dyDescent="0.15">
      <c r="B104" s="183" t="s">
        <v>53</v>
      </c>
      <c r="C104" s="205"/>
      <c r="D104" s="195"/>
      <c r="E104" s="195"/>
      <c r="F104" s="195"/>
      <c r="G104" s="195"/>
      <c r="H104" s="195"/>
      <c r="I104" s="195"/>
      <c r="J104" s="195"/>
      <c r="K104" s="200"/>
      <c r="L104" s="200"/>
      <c r="M104" s="200"/>
      <c r="N104" s="200"/>
    </row>
    <row r="105" spans="2:14" x14ac:dyDescent="0.15">
      <c r="B105" s="183"/>
      <c r="C105" s="195"/>
      <c r="D105" s="195"/>
      <c r="E105" s="195"/>
      <c r="F105" s="195"/>
      <c r="G105" s="195"/>
      <c r="H105" s="195"/>
      <c r="I105" s="195"/>
      <c r="J105" s="195"/>
      <c r="K105" s="200"/>
      <c r="L105" s="200"/>
      <c r="M105" s="200"/>
      <c r="N105" s="200"/>
    </row>
    <row r="106" spans="2:14" x14ac:dyDescent="0.15">
      <c r="B106" s="183" t="s">
        <v>54</v>
      </c>
      <c r="C106" s="204">
        <f>C103+C104</f>
        <v>3.4099999999999998E-2</v>
      </c>
      <c r="D106" s="195"/>
      <c r="E106" s="195"/>
      <c r="F106" s="195"/>
      <c r="G106" s="195"/>
      <c r="H106" s="195"/>
      <c r="I106" s="195"/>
      <c r="J106" s="195"/>
      <c r="K106" s="200"/>
      <c r="L106" s="200"/>
      <c r="M106" s="200"/>
      <c r="N106" s="200"/>
    </row>
    <row r="107" spans="2:14" x14ac:dyDescent="0.15">
      <c r="B107" s="183"/>
      <c r="C107" s="195"/>
      <c r="D107" s="195"/>
      <c r="E107" s="195"/>
      <c r="F107" s="195"/>
      <c r="G107" s="195"/>
      <c r="H107" s="195"/>
      <c r="I107" s="195"/>
      <c r="J107" s="195"/>
      <c r="K107" s="200"/>
      <c r="L107" s="200"/>
      <c r="M107" s="200"/>
      <c r="N107" s="200"/>
    </row>
    <row r="108" spans="2:14" x14ac:dyDescent="0.15">
      <c r="B108" s="183" t="s">
        <v>12</v>
      </c>
      <c r="C108" s="204">
        <f>(C109/(C109+C110)*C106*(1-C95)+(C110/(C110+C109)*C99))</f>
        <v>0.10024851159624749</v>
      </c>
      <c r="D108" s="195"/>
      <c r="E108" s="195"/>
      <c r="F108" s="195"/>
      <c r="G108" s="195"/>
      <c r="H108" s="195"/>
      <c r="I108" s="195"/>
      <c r="J108" s="195"/>
      <c r="K108" s="200"/>
      <c r="L108" s="200"/>
      <c r="M108" s="200"/>
      <c r="N108" s="200"/>
    </row>
    <row r="109" spans="2:14" x14ac:dyDescent="0.15">
      <c r="B109" s="183" t="s">
        <v>55</v>
      </c>
      <c r="C109" s="205">
        <f>C92</f>
        <v>0.25965169999999999</v>
      </c>
      <c r="D109" s="195"/>
      <c r="E109" s="195"/>
      <c r="F109" s="195"/>
      <c r="G109" s="195"/>
      <c r="H109" s="195"/>
      <c r="I109" s="195"/>
      <c r="J109" s="195"/>
      <c r="K109" s="200"/>
      <c r="L109" s="200"/>
      <c r="M109" s="200"/>
      <c r="N109" s="200"/>
    </row>
    <row r="110" spans="2:14" x14ac:dyDescent="0.15">
      <c r="B110" s="183" t="s">
        <v>56</v>
      </c>
      <c r="C110" s="205">
        <f>C93</f>
        <v>0.74034829999999996</v>
      </c>
      <c r="D110" s="195"/>
      <c r="E110" s="195"/>
      <c r="F110" s="195"/>
      <c r="G110" s="195"/>
      <c r="H110" s="195"/>
      <c r="I110" s="195"/>
      <c r="J110" s="195"/>
      <c r="K110" s="200"/>
      <c r="L110" s="200"/>
      <c r="M110" s="200"/>
      <c r="N110" s="200"/>
    </row>
    <row r="111" spans="2:14" x14ac:dyDescent="0.15">
      <c r="B111" s="183"/>
      <c r="C111" s="195"/>
      <c r="D111" s="195"/>
      <c r="E111" s="195"/>
      <c r="F111" s="195"/>
      <c r="G111" s="195"/>
      <c r="H111" s="195"/>
      <c r="I111" s="195"/>
      <c r="J111" s="195"/>
      <c r="K111" s="200"/>
      <c r="L111" s="200"/>
      <c r="M111" s="200"/>
      <c r="N111" s="200"/>
    </row>
    <row r="112" spans="2:14" x14ac:dyDescent="0.15">
      <c r="B112" s="183"/>
      <c r="C112" s="195"/>
      <c r="D112" s="195"/>
      <c r="E112" s="195"/>
      <c r="F112" s="195"/>
      <c r="G112" s="195"/>
      <c r="H112" s="195"/>
      <c r="I112" s="195"/>
      <c r="J112" s="195"/>
      <c r="K112" s="200"/>
      <c r="L112" s="200"/>
      <c r="M112" s="200"/>
      <c r="N112" s="200"/>
    </row>
    <row r="113" spans="2:12" x14ac:dyDescent="0.15">
      <c r="B113" s="182" t="s">
        <v>9</v>
      </c>
      <c r="C113" s="206">
        <f>C83</f>
        <v>-0.11453455845615676</v>
      </c>
      <c r="D113" s="196"/>
      <c r="E113" s="182"/>
      <c r="F113" s="182"/>
      <c r="G113" s="182"/>
      <c r="H113" s="182"/>
      <c r="I113" s="182"/>
      <c r="J113" s="182"/>
    </row>
    <row r="114" spans="2:12" x14ac:dyDescent="0.15">
      <c r="B114" s="182" t="s">
        <v>8</v>
      </c>
      <c r="C114" s="207">
        <f>C108</f>
        <v>0.10024851159624749</v>
      </c>
      <c r="D114" s="182"/>
      <c r="E114" s="182"/>
      <c r="F114" s="182"/>
      <c r="G114" s="182"/>
      <c r="H114" s="182"/>
      <c r="I114" s="182"/>
      <c r="J114" s="182"/>
    </row>
    <row r="115" spans="2:12" x14ac:dyDescent="0.15">
      <c r="B115" s="182" t="s">
        <v>64</v>
      </c>
      <c r="C115" s="196">
        <f>C79+NPV(C114,D79:G79)+I79/(1+C114)^4</f>
        <v>6813339.3727231938</v>
      </c>
      <c r="D115" s="182"/>
      <c r="E115" s="182"/>
      <c r="F115" s="182"/>
      <c r="G115" s="182"/>
      <c r="H115" s="182"/>
      <c r="I115" s="182"/>
      <c r="J115" s="182"/>
    </row>
    <row r="116" spans="2:12" x14ac:dyDescent="0.15">
      <c r="B116" s="182"/>
      <c r="C116" s="196"/>
      <c r="D116" s="195"/>
      <c r="E116" s="182"/>
      <c r="F116" s="182"/>
      <c r="G116" s="182"/>
      <c r="H116" s="182"/>
      <c r="I116" s="182"/>
      <c r="J116" s="182"/>
    </row>
    <row r="117" spans="2:12" x14ac:dyDescent="0.15">
      <c r="B117" s="208" t="s">
        <v>31</v>
      </c>
      <c r="C117" s="182"/>
      <c r="D117" s="182"/>
      <c r="E117" s="182"/>
      <c r="F117" s="182"/>
      <c r="G117" s="182"/>
      <c r="H117" s="182"/>
      <c r="I117" s="182"/>
      <c r="J117" s="182"/>
    </row>
    <row r="118" spans="2:12" x14ac:dyDescent="0.15">
      <c r="B118" s="182"/>
      <c r="C118" s="182"/>
      <c r="D118" s="182"/>
      <c r="E118" s="182"/>
      <c r="F118" s="182"/>
      <c r="G118" s="182"/>
      <c r="H118" s="182"/>
      <c r="I118" s="182"/>
      <c r="J118" s="182"/>
      <c r="K118" s="180" t="s">
        <v>11</v>
      </c>
    </row>
    <row r="119" spans="2:12" x14ac:dyDescent="0.15">
      <c r="B119" s="183" t="s">
        <v>13</v>
      </c>
      <c r="C119" s="191">
        <f>SUM(C121:C123)</f>
        <v>6882527.3727231938</v>
      </c>
      <c r="D119" s="182"/>
      <c r="E119" s="183" t="s">
        <v>28</v>
      </c>
      <c r="F119" s="192">
        <f>F135-F126-F121</f>
        <v>3970866.3727231938</v>
      </c>
      <c r="G119" s="195">
        <f>C135-F135</f>
        <v>0</v>
      </c>
      <c r="H119" s="195"/>
      <c r="I119" s="182"/>
      <c r="J119" s="182"/>
      <c r="K119" s="209">
        <f>F119/F135</f>
        <v>0.46194413027867215</v>
      </c>
      <c r="L119" s="180" t="s">
        <v>57</v>
      </c>
    </row>
    <row r="120" spans="2:12" x14ac:dyDescent="0.15">
      <c r="B120" s="182"/>
      <c r="C120" s="182"/>
      <c r="D120" s="182"/>
      <c r="E120" s="183"/>
      <c r="F120" s="182"/>
      <c r="G120" s="182"/>
      <c r="H120" s="182"/>
      <c r="I120" s="182"/>
      <c r="J120" s="182"/>
      <c r="K120" s="209"/>
    </row>
    <row r="121" spans="2:12" x14ac:dyDescent="0.15">
      <c r="B121" s="182" t="s">
        <v>14</v>
      </c>
      <c r="C121" s="196"/>
      <c r="D121" s="182"/>
      <c r="E121" s="183" t="s">
        <v>23</v>
      </c>
      <c r="F121" s="191">
        <f>SUM(F123:F124)</f>
        <v>3790344</v>
      </c>
      <c r="G121" s="182"/>
      <c r="H121" s="182"/>
      <c r="I121" s="182"/>
      <c r="J121" s="182"/>
      <c r="K121" s="209">
        <f>(F121+F126)/F135</f>
        <v>0.53805586972132791</v>
      </c>
      <c r="L121" s="180" t="s">
        <v>55</v>
      </c>
    </row>
    <row r="122" spans="2:12" x14ac:dyDescent="0.15">
      <c r="B122" s="182" t="s">
        <v>15</v>
      </c>
      <c r="C122" s="196">
        <f>C115</f>
        <v>6813339.3727231938</v>
      </c>
      <c r="D122" s="182"/>
      <c r="E122" s="182"/>
      <c r="F122" s="182"/>
      <c r="G122" s="182"/>
      <c r="H122" s="182"/>
      <c r="I122" s="182"/>
      <c r="J122" s="182"/>
    </row>
    <row r="123" spans="2:12" x14ac:dyDescent="0.15">
      <c r="B123" s="182" t="s">
        <v>16</v>
      </c>
      <c r="C123" s="196">
        <v>69188</v>
      </c>
      <c r="D123" s="182"/>
      <c r="E123" s="182" t="s">
        <v>24</v>
      </c>
      <c r="F123" s="196"/>
      <c r="G123" s="182"/>
      <c r="H123" s="182"/>
      <c r="I123" s="182"/>
      <c r="J123" s="182"/>
    </row>
    <row r="124" spans="2:12" x14ac:dyDescent="0.15">
      <c r="B124" s="182"/>
      <c r="C124" s="182"/>
      <c r="D124" s="182"/>
      <c r="E124" s="182" t="s">
        <v>25</v>
      </c>
      <c r="F124" s="196">
        <v>3790344</v>
      </c>
      <c r="G124" s="182"/>
      <c r="H124" s="182"/>
      <c r="I124" s="182"/>
      <c r="J124" s="182"/>
    </row>
    <row r="125" spans="2:12" x14ac:dyDescent="0.15">
      <c r="B125" s="182"/>
      <c r="C125" s="182"/>
      <c r="D125" s="182"/>
      <c r="E125" s="182"/>
      <c r="F125" s="182"/>
      <c r="G125" s="182"/>
      <c r="H125" s="182"/>
      <c r="I125" s="182"/>
      <c r="J125" s="182"/>
    </row>
    <row r="126" spans="2:12" x14ac:dyDescent="0.15">
      <c r="B126" s="183" t="s">
        <v>17</v>
      </c>
      <c r="C126" s="191">
        <f>C128+C129+C132</f>
        <v>1713461</v>
      </c>
      <c r="D126" s="182"/>
      <c r="E126" s="183" t="s">
        <v>26</v>
      </c>
      <c r="F126" s="192">
        <f>SUM(F128:F130)</f>
        <v>834778</v>
      </c>
      <c r="G126" s="182"/>
      <c r="H126" s="182"/>
      <c r="I126" s="182"/>
      <c r="J126" s="182"/>
    </row>
    <row r="127" spans="2:12" x14ac:dyDescent="0.15">
      <c r="B127" s="182"/>
      <c r="C127" s="182"/>
      <c r="D127" s="182"/>
      <c r="E127" s="182"/>
      <c r="F127" s="196"/>
      <c r="G127" s="182"/>
      <c r="H127" s="182"/>
      <c r="I127" s="182"/>
      <c r="J127" s="182"/>
    </row>
    <row r="128" spans="2:12" x14ac:dyDescent="0.15">
      <c r="B128" s="182" t="s">
        <v>18</v>
      </c>
      <c r="C128" s="196">
        <v>22279</v>
      </c>
      <c r="D128" s="182"/>
      <c r="E128" s="182" t="s">
        <v>25</v>
      </c>
      <c r="F128" s="196">
        <v>448308</v>
      </c>
      <c r="G128" s="182"/>
      <c r="H128" s="182"/>
      <c r="I128" s="182"/>
      <c r="J128" s="182"/>
    </row>
    <row r="129" spans="2:10" x14ac:dyDescent="0.15">
      <c r="B129" s="182" t="s">
        <v>19</v>
      </c>
      <c r="C129" s="196">
        <f>SUM(C130:C131)</f>
        <v>519532</v>
      </c>
      <c r="D129" s="182"/>
      <c r="E129" s="182" t="s">
        <v>21</v>
      </c>
      <c r="F129" s="196">
        <f>254128+349</f>
        <v>254477</v>
      </c>
      <c r="G129" s="182"/>
      <c r="H129" s="182"/>
      <c r="I129" s="182"/>
      <c r="J129" s="182"/>
    </row>
    <row r="130" spans="2:10" x14ac:dyDescent="0.15">
      <c r="B130" s="210" t="s">
        <v>20</v>
      </c>
      <c r="C130" s="211">
        <v>197495</v>
      </c>
      <c r="D130" s="182"/>
      <c r="E130" s="182" t="s">
        <v>27</v>
      </c>
      <c r="F130" s="196">
        <v>131993</v>
      </c>
      <c r="G130" s="182"/>
      <c r="H130" s="182"/>
      <c r="I130" s="182"/>
      <c r="J130" s="182"/>
    </row>
    <row r="131" spans="2:10" x14ac:dyDescent="0.15">
      <c r="B131" s="210" t="s">
        <v>21</v>
      </c>
      <c r="C131" s="211">
        <v>322037</v>
      </c>
      <c r="D131" s="182"/>
      <c r="E131" s="182"/>
      <c r="F131" s="196"/>
      <c r="G131" s="182"/>
      <c r="H131" s="182"/>
      <c r="I131" s="182"/>
      <c r="J131" s="182"/>
    </row>
    <row r="132" spans="2:10" x14ac:dyDescent="0.15">
      <c r="B132" s="182" t="s">
        <v>22</v>
      </c>
      <c r="C132" s="196">
        <v>1171650</v>
      </c>
      <c r="D132" s="182"/>
      <c r="E132" s="182"/>
      <c r="F132" s="196"/>
      <c r="G132" s="182"/>
      <c r="H132" s="182"/>
      <c r="I132" s="182"/>
      <c r="J132" s="182"/>
    </row>
    <row r="133" spans="2:10" x14ac:dyDescent="0.15">
      <c r="B133" s="182"/>
      <c r="C133" s="182"/>
      <c r="D133" s="182"/>
      <c r="E133" s="182"/>
      <c r="F133" s="182"/>
      <c r="G133" s="182"/>
      <c r="H133" s="182"/>
      <c r="I133" s="182"/>
      <c r="J133" s="182"/>
    </row>
    <row r="134" spans="2:10" x14ac:dyDescent="0.15">
      <c r="B134" s="182"/>
      <c r="C134" s="182"/>
      <c r="D134" s="182"/>
      <c r="E134" s="182"/>
      <c r="F134" s="182"/>
      <c r="G134" s="182"/>
      <c r="H134" s="182"/>
      <c r="I134" s="182"/>
      <c r="J134" s="182"/>
    </row>
    <row r="135" spans="2:10" x14ac:dyDescent="0.15">
      <c r="B135" s="183" t="s">
        <v>29</v>
      </c>
      <c r="C135" s="191">
        <f>C119+C126</f>
        <v>8595988.3727231938</v>
      </c>
      <c r="D135" s="182"/>
      <c r="E135" s="183" t="s">
        <v>30</v>
      </c>
      <c r="F135" s="191">
        <f>C135</f>
        <v>8595988.3727231938</v>
      </c>
      <c r="G135" s="182"/>
      <c r="H135" s="182"/>
      <c r="I135" s="182"/>
      <c r="J135" s="182"/>
    </row>
    <row r="136" spans="2:10" x14ac:dyDescent="0.15">
      <c r="B136" s="182"/>
      <c r="C136" s="182"/>
      <c r="D136" s="182"/>
      <c r="E136" s="182"/>
      <c r="F136" s="182"/>
      <c r="G136" s="182"/>
      <c r="H136" s="182"/>
      <c r="I136" s="182"/>
      <c r="J136" s="182"/>
    </row>
    <row r="137" spans="2:10" x14ac:dyDescent="0.15">
      <c r="B137" s="182"/>
      <c r="C137" s="182"/>
      <c r="D137" s="182"/>
      <c r="E137" s="182"/>
      <c r="F137" s="182"/>
      <c r="G137" s="182"/>
      <c r="H137" s="182"/>
      <c r="I137" s="182"/>
      <c r="J137" s="182"/>
    </row>
    <row r="138" spans="2:10" x14ac:dyDescent="0.15">
      <c r="B138" s="182"/>
      <c r="C138" s="182"/>
      <c r="D138" s="182"/>
      <c r="E138" s="182"/>
      <c r="F138" s="182"/>
      <c r="G138" s="182"/>
      <c r="H138" s="182"/>
      <c r="I138" s="182"/>
      <c r="J138" s="182"/>
    </row>
    <row r="139" spans="2:10" x14ac:dyDescent="0.15">
      <c r="B139" s="208" t="s">
        <v>32</v>
      </c>
      <c r="C139" s="182"/>
      <c r="D139" s="182"/>
      <c r="E139" s="182"/>
      <c r="F139" s="182"/>
      <c r="G139" s="182"/>
      <c r="H139" s="182"/>
      <c r="I139" s="182"/>
      <c r="J139" s="182"/>
    </row>
    <row r="140" spans="2:10" x14ac:dyDescent="0.15">
      <c r="B140" s="182"/>
      <c r="C140" s="182"/>
      <c r="D140" s="182"/>
      <c r="E140" s="182"/>
      <c r="F140" s="196"/>
      <c r="G140" s="196"/>
      <c r="H140" s="196"/>
      <c r="I140" s="182"/>
      <c r="J140" s="182"/>
    </row>
    <row r="141" spans="2:10" x14ac:dyDescent="0.15">
      <c r="B141" s="183" t="s">
        <v>13</v>
      </c>
      <c r="C141" s="191">
        <f>SUM(C143:C145)</f>
        <v>9249700</v>
      </c>
      <c r="D141" s="182"/>
      <c r="E141" s="183" t="s">
        <v>28</v>
      </c>
      <c r="F141" s="192">
        <f>F150-F146-F143</f>
        <v>2930700</v>
      </c>
      <c r="G141" s="196"/>
      <c r="H141" s="196"/>
      <c r="I141" s="182"/>
      <c r="J141" s="182"/>
    </row>
    <row r="142" spans="2:10" x14ac:dyDescent="0.15">
      <c r="B142" s="182"/>
      <c r="C142" s="182"/>
      <c r="D142" s="182"/>
      <c r="E142" s="183"/>
      <c r="F142" s="192"/>
      <c r="G142" s="196"/>
      <c r="H142" s="196"/>
      <c r="I142" s="182"/>
      <c r="J142" s="182"/>
    </row>
    <row r="143" spans="2:10" x14ac:dyDescent="0.15">
      <c r="B143" s="182" t="s">
        <v>15</v>
      </c>
      <c r="C143" s="182">
        <v>8446000</v>
      </c>
      <c r="D143" s="182"/>
      <c r="E143" s="183" t="s">
        <v>23</v>
      </c>
      <c r="F143" s="192">
        <v>5268700</v>
      </c>
      <c r="G143" s="196"/>
      <c r="H143" s="196"/>
      <c r="I143" s="182"/>
      <c r="J143" s="182"/>
    </row>
    <row r="144" spans="2:10" x14ac:dyDescent="0.15">
      <c r="B144" s="182" t="s">
        <v>33</v>
      </c>
      <c r="C144" s="182">
        <v>803700</v>
      </c>
      <c r="D144" s="182"/>
      <c r="E144" s="183"/>
      <c r="F144" s="192"/>
      <c r="G144" s="196"/>
      <c r="H144" s="196"/>
      <c r="I144" s="182"/>
      <c r="J144" s="182"/>
    </row>
    <row r="145" spans="2:10" x14ac:dyDescent="0.15">
      <c r="B145" s="182"/>
      <c r="C145" s="182"/>
      <c r="D145" s="182"/>
      <c r="E145" s="183"/>
      <c r="F145" s="192"/>
      <c r="G145" s="196"/>
      <c r="H145" s="196"/>
      <c r="I145" s="182"/>
      <c r="J145" s="182"/>
    </row>
    <row r="146" spans="2:10" x14ac:dyDescent="0.15">
      <c r="B146" s="183" t="s">
        <v>17</v>
      </c>
      <c r="C146" s="191">
        <f>C147</f>
        <v>162000</v>
      </c>
      <c r="D146" s="182"/>
      <c r="E146" s="183" t="s">
        <v>26</v>
      </c>
      <c r="F146" s="192">
        <v>1212300</v>
      </c>
      <c r="G146" s="196"/>
      <c r="H146" s="196"/>
      <c r="I146" s="182"/>
      <c r="J146" s="182"/>
    </row>
    <row r="147" spans="2:10" x14ac:dyDescent="0.15">
      <c r="B147" s="182" t="s">
        <v>34</v>
      </c>
      <c r="C147" s="182">
        <v>162000</v>
      </c>
      <c r="D147" s="182"/>
      <c r="E147" s="182"/>
      <c r="F147" s="196"/>
      <c r="G147" s="196"/>
      <c r="H147" s="196"/>
      <c r="I147" s="182"/>
      <c r="J147" s="182"/>
    </row>
    <row r="148" spans="2:10" x14ac:dyDescent="0.15">
      <c r="B148" s="182"/>
      <c r="C148" s="182"/>
      <c r="D148" s="182"/>
      <c r="E148" s="182"/>
      <c r="F148" s="196"/>
      <c r="G148" s="196"/>
      <c r="H148" s="196"/>
      <c r="I148" s="182"/>
      <c r="J148" s="182"/>
    </row>
    <row r="149" spans="2:10" x14ac:dyDescent="0.15">
      <c r="B149" s="182"/>
      <c r="C149" s="182"/>
      <c r="D149" s="182"/>
      <c r="E149" s="182"/>
      <c r="F149" s="182"/>
      <c r="G149" s="182"/>
      <c r="H149" s="182"/>
      <c r="I149" s="182"/>
      <c r="J149" s="182"/>
    </row>
    <row r="150" spans="2:10" x14ac:dyDescent="0.15">
      <c r="B150" s="183" t="s">
        <v>29</v>
      </c>
      <c r="C150" s="191">
        <f>C146+C141</f>
        <v>9411700</v>
      </c>
      <c r="D150" s="182"/>
      <c r="E150" s="183" t="s">
        <v>30</v>
      </c>
      <c r="F150" s="191">
        <f>C150</f>
        <v>9411700</v>
      </c>
      <c r="G150" s="182"/>
      <c r="H150" s="182"/>
      <c r="I150" s="182"/>
      <c r="J150" s="182"/>
    </row>
    <row r="151" spans="2:10" x14ac:dyDescent="0.15">
      <c r="B151" s="182"/>
      <c r="C151" s="182"/>
      <c r="D151" s="182"/>
      <c r="E151" s="182"/>
      <c r="F151" s="182"/>
      <c r="G151" s="182"/>
      <c r="H151" s="182"/>
      <c r="I151" s="182"/>
      <c r="J151" s="182"/>
    </row>
    <row r="152" spans="2:10" x14ac:dyDescent="0.15">
      <c r="B152" s="182"/>
      <c r="C152" s="182"/>
      <c r="D152" s="182"/>
      <c r="E152" s="182"/>
      <c r="F152" s="182"/>
      <c r="G152" s="182"/>
      <c r="H152" s="182"/>
      <c r="I152" s="182"/>
      <c r="J152" s="182"/>
    </row>
    <row r="153" spans="2:10" x14ac:dyDescent="0.15">
      <c r="B153" s="182"/>
      <c r="C153" s="182"/>
      <c r="D153" s="182"/>
      <c r="E153" s="182"/>
      <c r="F153" s="182"/>
      <c r="G153" s="182"/>
      <c r="H153" s="182"/>
      <c r="I153" s="182"/>
      <c r="J153" s="182"/>
    </row>
    <row r="154" spans="2:10" x14ac:dyDescent="0.15">
      <c r="B154" s="183" t="s">
        <v>13</v>
      </c>
      <c r="C154" s="191">
        <f>C119+C141</f>
        <v>16132227.372723194</v>
      </c>
      <c r="D154" s="182"/>
      <c r="E154" s="183" t="s">
        <v>28</v>
      </c>
      <c r="F154" s="191">
        <f>F119+F141</f>
        <v>6901566.3727231938</v>
      </c>
      <c r="G154" s="182"/>
      <c r="H154" s="182"/>
      <c r="I154" s="182"/>
      <c r="J154" s="182"/>
    </row>
    <row r="155" spans="2:10" x14ac:dyDescent="0.15">
      <c r="B155" s="182"/>
      <c r="C155" s="183"/>
      <c r="D155" s="182"/>
      <c r="E155" s="183" t="s">
        <v>23</v>
      </c>
      <c r="F155" s="195">
        <f>F143+F121</f>
        <v>9059044</v>
      </c>
      <c r="G155" s="182"/>
      <c r="H155" s="182"/>
      <c r="I155" s="182"/>
      <c r="J155" s="182"/>
    </row>
    <row r="156" spans="2:10" x14ac:dyDescent="0.15">
      <c r="B156" s="182"/>
      <c r="C156" s="183"/>
      <c r="D156" s="182"/>
      <c r="E156" s="182"/>
      <c r="F156" s="182"/>
      <c r="G156" s="182"/>
      <c r="H156" s="182"/>
      <c r="I156" s="195"/>
      <c r="J156" s="195"/>
    </row>
    <row r="157" spans="2:10" x14ac:dyDescent="0.15">
      <c r="B157" s="183" t="s">
        <v>17</v>
      </c>
      <c r="C157" s="191">
        <f>C146+C126</f>
        <v>1875461</v>
      </c>
      <c r="D157" s="182"/>
      <c r="E157" s="183" t="s">
        <v>26</v>
      </c>
      <c r="F157" s="195">
        <f>F146+F126</f>
        <v>2047078</v>
      </c>
      <c r="G157" s="182"/>
      <c r="H157" s="182"/>
      <c r="I157" s="182"/>
      <c r="J157" s="182"/>
    </row>
    <row r="158" spans="2:10" x14ac:dyDescent="0.15">
      <c r="B158" s="182"/>
      <c r="C158" s="183"/>
      <c r="D158" s="182"/>
      <c r="E158" s="183"/>
      <c r="F158" s="182"/>
      <c r="G158" s="182"/>
      <c r="H158" s="182"/>
      <c r="I158" s="182"/>
      <c r="J158" s="182"/>
    </row>
    <row r="159" spans="2:10" x14ac:dyDescent="0.15">
      <c r="B159" s="182"/>
      <c r="C159" s="182"/>
      <c r="D159" s="182"/>
      <c r="E159" s="182"/>
      <c r="F159" s="182"/>
      <c r="G159" s="182"/>
      <c r="H159" s="182"/>
      <c r="I159" s="182"/>
      <c r="J159" s="182"/>
    </row>
    <row r="160" spans="2:10" x14ac:dyDescent="0.15">
      <c r="B160" s="183" t="s">
        <v>35</v>
      </c>
      <c r="C160" s="191">
        <f>C135+C150</f>
        <v>18007688.372723192</v>
      </c>
      <c r="D160" s="183"/>
      <c r="E160" s="183" t="s">
        <v>36</v>
      </c>
      <c r="F160" s="191">
        <f>F150+F135</f>
        <v>18007688.372723192</v>
      </c>
      <c r="G160" s="182"/>
      <c r="H160" s="182"/>
      <c r="I160" s="182"/>
      <c r="J160" s="182"/>
    </row>
    <row r="161" spans="2:10" x14ac:dyDescent="0.15">
      <c r="B161" s="182"/>
      <c r="C161" s="182"/>
      <c r="D161" s="182"/>
      <c r="E161" s="182"/>
      <c r="F161" s="182"/>
      <c r="G161" s="182"/>
      <c r="H161" s="182"/>
      <c r="I161" s="182"/>
      <c r="J161" s="182"/>
    </row>
    <row r="162" spans="2:10" x14ac:dyDescent="0.15">
      <c r="B162" s="182"/>
      <c r="C162" s="182"/>
      <c r="D162" s="182"/>
      <c r="E162" s="182"/>
      <c r="F162" s="182"/>
      <c r="G162" s="182"/>
      <c r="H162" s="182"/>
      <c r="I162" s="182"/>
      <c r="J162" s="182"/>
    </row>
    <row r="163" spans="2:10" x14ac:dyDescent="0.15">
      <c r="B163" s="182"/>
      <c r="C163" s="182"/>
      <c r="D163" s="182"/>
      <c r="E163" s="182"/>
      <c r="F163" s="182"/>
      <c r="G163" s="182"/>
      <c r="H163" s="182"/>
      <c r="I163" s="182"/>
      <c r="J163" s="182"/>
    </row>
    <row r="164" spans="2:10" x14ac:dyDescent="0.15">
      <c r="B164" s="182"/>
      <c r="C164" s="182"/>
      <c r="D164" s="182"/>
      <c r="E164" s="182"/>
      <c r="F164" s="182"/>
      <c r="G164" s="182"/>
      <c r="H164" s="182"/>
      <c r="I164" s="182"/>
      <c r="J164" s="182"/>
    </row>
  </sheetData>
  <mergeCells count="5">
    <mergeCell ref="J4:M4"/>
    <mergeCell ref="N4:S4"/>
    <mergeCell ref="T4:Y4"/>
    <mergeCell ref="Z4:AE4"/>
    <mergeCell ref="AF4:A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Results</vt:lpstr>
      <vt:lpstr>Variables</vt:lpstr>
      <vt:lpstr>Maximum Operator</vt:lpstr>
      <vt:lpstr>Minimum Operator</vt:lpstr>
      <vt:lpstr>Arithmetic Mean</vt:lpstr>
      <vt:lpstr>M1w1</vt:lpstr>
      <vt:lpstr>M1w2</vt:lpstr>
      <vt:lpstr>M1w3</vt:lpstr>
      <vt:lpstr>M1w4</vt:lpstr>
      <vt:lpstr>M1w5</vt:lpstr>
      <vt:lpstr>M2w1</vt:lpstr>
      <vt:lpstr>M2w2</vt:lpstr>
      <vt:lpstr>M2w3</vt:lpstr>
      <vt:lpstr>M2w5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</dc:creator>
  <cp:lastModifiedBy>Miquel Àngel Serra Moll</cp:lastModifiedBy>
  <cp:lastPrinted>2013-11-29T08:07:50Z</cp:lastPrinted>
  <dcterms:created xsi:type="dcterms:W3CDTF">2013-11-28T11:26:27Z</dcterms:created>
  <dcterms:modified xsi:type="dcterms:W3CDTF">2023-12-27T11:13:19Z</dcterms:modified>
</cp:coreProperties>
</file>