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quelAngelSerraMoll/Desktop/Doctorat/Article Valoració/CAEPIA/Calculations_CAEPIA/"/>
    </mc:Choice>
  </mc:AlternateContent>
  <xr:revisionPtr revIDLastSave="0" documentId="13_ncr:1_{17AE1DF6-345E-1A4D-B18C-ECDE9E7673AE}" xr6:coauthVersionLast="47" xr6:coauthVersionMax="47" xr10:uidLastSave="{00000000-0000-0000-0000-000000000000}"/>
  <bookViews>
    <workbookView xWindow="20" yWindow="680" windowWidth="28780" windowHeight="16420" activeTab="8" xr2:uid="{00000000-000D-0000-FFFF-FFFF00000000}"/>
  </bookViews>
  <sheets>
    <sheet name="Results" sheetId="20" r:id="rId1"/>
    <sheet name="Weights" sheetId="73" r:id="rId2"/>
    <sheet name="Variables" sheetId="35" r:id="rId3"/>
    <sheet name="Arithmetic Mean" sheetId="63" r:id="rId4"/>
    <sheet name="Maximum Operator" sheetId="78" r:id="rId5"/>
    <sheet name="Minimum Operator" sheetId="79" r:id="rId6"/>
    <sheet name="M2w1" sheetId="75" r:id="rId7"/>
    <sheet name="M2w2" sheetId="76" r:id="rId8"/>
    <sheet name="M2w3" sheetId="77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5" l="1"/>
  <c r="D8" i="75"/>
  <c r="G7" i="77"/>
  <c r="F7" i="77"/>
  <c r="E7" i="77"/>
  <c r="D7" i="77"/>
  <c r="C7" i="77"/>
  <c r="C8" i="77" s="1"/>
  <c r="G6" i="77"/>
  <c r="G8" i="77" s="1"/>
  <c r="G9" i="77" s="1"/>
  <c r="G14" i="77" s="1"/>
  <c r="H14" i="77" s="1"/>
  <c r="F6" i="77"/>
  <c r="E6" i="77"/>
  <c r="D6" i="77"/>
  <c r="C6" i="77"/>
  <c r="G7" i="76"/>
  <c r="F7" i="76"/>
  <c r="E7" i="76"/>
  <c r="D7" i="76"/>
  <c r="D9" i="76" s="1"/>
  <c r="D10" i="76" s="1"/>
  <c r="D11" i="76" s="1"/>
  <c r="D16" i="76" s="1"/>
  <c r="C7" i="76"/>
  <c r="G6" i="76"/>
  <c r="G9" i="76" s="1"/>
  <c r="G10" i="76" s="1"/>
  <c r="G11" i="76" s="1"/>
  <c r="G16" i="76" s="1"/>
  <c r="H16" i="76" s="1"/>
  <c r="F6" i="76"/>
  <c r="E6" i="76"/>
  <c r="E9" i="76" s="1"/>
  <c r="E10" i="76" s="1"/>
  <c r="D6" i="76"/>
  <c r="C6" i="76"/>
  <c r="D7" i="75"/>
  <c r="E7" i="75"/>
  <c r="F7" i="75"/>
  <c r="G7" i="75"/>
  <c r="C7" i="75"/>
  <c r="D6" i="75"/>
  <c r="E6" i="75"/>
  <c r="F6" i="75"/>
  <c r="G6" i="75"/>
  <c r="C6" i="75"/>
  <c r="C7" i="20"/>
  <c r="C6" i="20"/>
  <c r="F155" i="79"/>
  <c r="C146" i="79"/>
  <c r="C150" i="79" s="1"/>
  <c r="F150" i="79" s="1"/>
  <c r="C141" i="79"/>
  <c r="F129" i="79"/>
  <c r="F126" i="79" s="1"/>
  <c r="F157" i="79" s="1"/>
  <c r="C129" i="79"/>
  <c r="C126" i="79" s="1"/>
  <c r="C157" i="79" s="1"/>
  <c r="F121" i="79"/>
  <c r="C109" i="79"/>
  <c r="C106" i="79"/>
  <c r="C93" i="79"/>
  <c r="C110" i="79" s="1"/>
  <c r="C73" i="79"/>
  <c r="D69" i="79"/>
  <c r="D73" i="79" s="1"/>
  <c r="D38" i="79"/>
  <c r="C38" i="79"/>
  <c r="E29" i="79"/>
  <c r="E38" i="79" s="1"/>
  <c r="D29" i="79"/>
  <c r="G18" i="79"/>
  <c r="F18" i="79"/>
  <c r="E18" i="79"/>
  <c r="D18" i="79"/>
  <c r="G13" i="79"/>
  <c r="F13" i="79"/>
  <c r="E13" i="79"/>
  <c r="D13" i="79"/>
  <c r="F12" i="79"/>
  <c r="W11" i="79"/>
  <c r="X11" i="79" s="1"/>
  <c r="G19" i="79" s="1"/>
  <c r="V11" i="79"/>
  <c r="U11" i="79"/>
  <c r="F19" i="79" s="1"/>
  <c r="T11" i="79"/>
  <c r="S11" i="79"/>
  <c r="Q11" i="79"/>
  <c r="P11" i="79"/>
  <c r="R11" i="79" s="1"/>
  <c r="E19" i="79" s="1"/>
  <c r="O11" i="79"/>
  <c r="D19" i="79" s="1"/>
  <c r="N11" i="79"/>
  <c r="M11" i="79"/>
  <c r="K11" i="79"/>
  <c r="J11" i="79"/>
  <c r="L11" i="79" s="1"/>
  <c r="C19" i="79" s="1"/>
  <c r="W10" i="79"/>
  <c r="V10" i="79"/>
  <c r="X10" i="79" s="1"/>
  <c r="G17" i="79" s="1"/>
  <c r="T10" i="79"/>
  <c r="S10" i="79"/>
  <c r="U10" i="79" s="1"/>
  <c r="F17" i="79" s="1"/>
  <c r="Q10" i="79"/>
  <c r="R10" i="79" s="1"/>
  <c r="E17" i="79" s="1"/>
  <c r="P10" i="79"/>
  <c r="N10" i="79"/>
  <c r="M10" i="79"/>
  <c r="O10" i="79" s="1"/>
  <c r="D17" i="79" s="1"/>
  <c r="K10" i="79"/>
  <c r="L10" i="79" s="1"/>
  <c r="C17" i="79" s="1"/>
  <c r="J10" i="79"/>
  <c r="W9" i="79"/>
  <c r="X9" i="79" s="1"/>
  <c r="G16" i="79" s="1"/>
  <c r="V9" i="79"/>
  <c r="U9" i="79"/>
  <c r="F16" i="79" s="1"/>
  <c r="T9" i="79"/>
  <c r="S9" i="79"/>
  <c r="Q9" i="79"/>
  <c r="P9" i="79"/>
  <c r="R9" i="79" s="1"/>
  <c r="E16" i="79" s="1"/>
  <c r="O9" i="79"/>
  <c r="D16" i="79" s="1"/>
  <c r="N9" i="79"/>
  <c r="M9" i="79"/>
  <c r="K9" i="79"/>
  <c r="J9" i="79"/>
  <c r="L9" i="79" s="1"/>
  <c r="C16" i="79" s="1"/>
  <c r="W8" i="79"/>
  <c r="V8" i="79"/>
  <c r="X8" i="79" s="1"/>
  <c r="G11" i="79" s="1"/>
  <c r="T8" i="79"/>
  <c r="S8" i="79"/>
  <c r="U8" i="79" s="1"/>
  <c r="F11" i="79" s="1"/>
  <c r="Q8" i="79"/>
  <c r="R8" i="79" s="1"/>
  <c r="E11" i="79" s="1"/>
  <c r="P8" i="79"/>
  <c r="N8" i="79"/>
  <c r="M8" i="79"/>
  <c r="O8" i="79" s="1"/>
  <c r="D11" i="79" s="1"/>
  <c r="K8" i="79"/>
  <c r="L8" i="79" s="1"/>
  <c r="C11" i="79" s="1"/>
  <c r="J8" i="79"/>
  <c r="W7" i="79"/>
  <c r="X7" i="79" s="1"/>
  <c r="G8" i="79" s="1"/>
  <c r="V7" i="79"/>
  <c r="U7" i="79"/>
  <c r="F8" i="79" s="1"/>
  <c r="T7" i="79"/>
  <c r="S7" i="79"/>
  <c r="Q7" i="79"/>
  <c r="P7" i="79"/>
  <c r="R7" i="79" s="1"/>
  <c r="E8" i="79" s="1"/>
  <c r="O7" i="79"/>
  <c r="D8" i="79" s="1"/>
  <c r="N7" i="79"/>
  <c r="M7" i="79"/>
  <c r="K7" i="79"/>
  <c r="J7" i="79"/>
  <c r="L7" i="79" s="1"/>
  <c r="C8" i="79" s="1"/>
  <c r="C9" i="79" s="1"/>
  <c r="E7" i="79"/>
  <c r="F7" i="79" s="1"/>
  <c r="G7" i="79" s="1"/>
  <c r="D7" i="79"/>
  <c r="X6" i="79"/>
  <c r="G6" i="79" s="1"/>
  <c r="W6" i="79"/>
  <c r="V6" i="79"/>
  <c r="T6" i="79"/>
  <c r="S6" i="79"/>
  <c r="U6" i="79" s="1"/>
  <c r="F6" i="79" s="1"/>
  <c r="R6" i="79"/>
  <c r="E6" i="79" s="1"/>
  <c r="Q6" i="79"/>
  <c r="P6" i="79"/>
  <c r="N6" i="79"/>
  <c r="M6" i="79"/>
  <c r="O6" i="79" s="1"/>
  <c r="D6" i="79" s="1"/>
  <c r="K6" i="79"/>
  <c r="J6" i="79"/>
  <c r="L6" i="79" s="1"/>
  <c r="C6" i="79" s="1"/>
  <c r="G5" i="79"/>
  <c r="G9" i="79" s="1"/>
  <c r="F5" i="79"/>
  <c r="E5" i="79"/>
  <c r="D5" i="79"/>
  <c r="C146" i="78"/>
  <c r="C150" i="78" s="1"/>
  <c r="F150" i="78" s="1"/>
  <c r="C141" i="78"/>
  <c r="F129" i="78"/>
  <c r="C129" i="78"/>
  <c r="C126" i="78" s="1"/>
  <c r="C157" i="78" s="1"/>
  <c r="F126" i="78"/>
  <c r="F157" i="78" s="1"/>
  <c r="F121" i="78"/>
  <c r="C109" i="78"/>
  <c r="C106" i="78"/>
  <c r="C93" i="78"/>
  <c r="C94" i="78" s="1"/>
  <c r="C96" i="78" s="1"/>
  <c r="C99" i="78" s="1"/>
  <c r="C73" i="78"/>
  <c r="D69" i="78"/>
  <c r="D73" i="78" s="1"/>
  <c r="D38" i="78"/>
  <c r="C38" i="78"/>
  <c r="E29" i="78"/>
  <c r="E38" i="78" s="1"/>
  <c r="D29" i="78"/>
  <c r="F19" i="78"/>
  <c r="D18" i="78"/>
  <c r="E18" i="78" s="1"/>
  <c r="F18" i="78" s="1"/>
  <c r="G18" i="78" s="1"/>
  <c r="D13" i="78"/>
  <c r="E13" i="78" s="1"/>
  <c r="F13" i="78" s="1"/>
  <c r="G13" i="78" s="1"/>
  <c r="F12" i="78"/>
  <c r="W11" i="78"/>
  <c r="X11" i="78" s="1"/>
  <c r="G19" i="78" s="1"/>
  <c r="V11" i="78"/>
  <c r="U11" i="78"/>
  <c r="T11" i="78"/>
  <c r="S11" i="78"/>
  <c r="Q11" i="78"/>
  <c r="P11" i="78"/>
  <c r="R11" i="78" s="1"/>
  <c r="E19" i="78" s="1"/>
  <c r="O11" i="78"/>
  <c r="D19" i="78" s="1"/>
  <c r="N11" i="78"/>
  <c r="M11" i="78"/>
  <c r="K11" i="78"/>
  <c r="L11" i="78" s="1"/>
  <c r="C19" i="78" s="1"/>
  <c r="J11" i="78"/>
  <c r="W10" i="78"/>
  <c r="X10" i="78" s="1"/>
  <c r="G17" i="78" s="1"/>
  <c r="V10" i="78"/>
  <c r="T10" i="78"/>
  <c r="S10" i="78"/>
  <c r="U10" i="78" s="1"/>
  <c r="F17" i="78" s="1"/>
  <c r="Q10" i="78"/>
  <c r="P10" i="78"/>
  <c r="R10" i="78" s="1"/>
  <c r="E17" i="78" s="1"/>
  <c r="N10" i="78"/>
  <c r="M10" i="78"/>
  <c r="O10" i="78" s="1"/>
  <c r="D17" i="78" s="1"/>
  <c r="K10" i="78"/>
  <c r="L10" i="78" s="1"/>
  <c r="C17" i="78" s="1"/>
  <c r="J10" i="78"/>
  <c r="W9" i="78"/>
  <c r="X9" i="78" s="1"/>
  <c r="G16" i="78" s="1"/>
  <c r="V9" i="78"/>
  <c r="T9" i="78"/>
  <c r="S9" i="78"/>
  <c r="U9" i="78" s="1"/>
  <c r="F16" i="78" s="1"/>
  <c r="Q9" i="78"/>
  <c r="P9" i="78"/>
  <c r="R9" i="78" s="1"/>
  <c r="E16" i="78" s="1"/>
  <c r="O9" i="78"/>
  <c r="D16" i="78" s="1"/>
  <c r="N9" i="78"/>
  <c r="M9" i="78"/>
  <c r="K9" i="78"/>
  <c r="L9" i="78" s="1"/>
  <c r="C16" i="78" s="1"/>
  <c r="J9" i="78"/>
  <c r="W8" i="78"/>
  <c r="X8" i="78" s="1"/>
  <c r="G11" i="78" s="1"/>
  <c r="V8" i="78"/>
  <c r="T8" i="78"/>
  <c r="S8" i="78"/>
  <c r="U8" i="78" s="1"/>
  <c r="F11" i="78" s="1"/>
  <c r="Q8" i="78"/>
  <c r="P8" i="78"/>
  <c r="R8" i="78" s="1"/>
  <c r="E11" i="78" s="1"/>
  <c r="N8" i="78"/>
  <c r="M8" i="78"/>
  <c r="O8" i="78" s="1"/>
  <c r="D11" i="78" s="1"/>
  <c r="K8" i="78"/>
  <c r="L8" i="78" s="1"/>
  <c r="C11" i="78" s="1"/>
  <c r="J8" i="78"/>
  <c r="W7" i="78"/>
  <c r="X7" i="78" s="1"/>
  <c r="G8" i="78" s="1"/>
  <c r="V7" i="78"/>
  <c r="T7" i="78"/>
  <c r="S7" i="78"/>
  <c r="U7" i="78" s="1"/>
  <c r="F8" i="78" s="1"/>
  <c r="Q7" i="78"/>
  <c r="P7" i="78"/>
  <c r="R7" i="78" s="1"/>
  <c r="E8" i="78" s="1"/>
  <c r="O7" i="78"/>
  <c r="D8" i="78" s="1"/>
  <c r="N7" i="78"/>
  <c r="M7" i="78"/>
  <c r="K7" i="78"/>
  <c r="L7" i="78" s="1"/>
  <c r="C8" i="78" s="1"/>
  <c r="C9" i="78" s="1"/>
  <c r="J7" i="78"/>
  <c r="E7" i="78"/>
  <c r="F7" i="78" s="1"/>
  <c r="G7" i="78" s="1"/>
  <c r="D7" i="78"/>
  <c r="W6" i="78"/>
  <c r="V6" i="78"/>
  <c r="X6" i="78" s="1"/>
  <c r="G6" i="78" s="1"/>
  <c r="G24" i="78" s="1"/>
  <c r="T6" i="78"/>
  <c r="S6" i="78"/>
  <c r="U6" i="78" s="1"/>
  <c r="F6" i="78" s="1"/>
  <c r="R6" i="78"/>
  <c r="E6" i="78" s="1"/>
  <c r="Q6" i="78"/>
  <c r="P6" i="78"/>
  <c r="N6" i="78"/>
  <c r="O6" i="78" s="1"/>
  <c r="D6" i="78" s="1"/>
  <c r="M6" i="78"/>
  <c r="K6" i="78"/>
  <c r="J6" i="78"/>
  <c r="L6" i="78" s="1"/>
  <c r="C6" i="78" s="1"/>
  <c r="G5" i="78"/>
  <c r="G9" i="78" s="1"/>
  <c r="F5" i="78"/>
  <c r="F10" i="78" s="1"/>
  <c r="E5" i="78"/>
  <c r="D5" i="78"/>
  <c r="E8" i="77"/>
  <c r="E9" i="77" s="1"/>
  <c r="E14" i="77" s="1"/>
  <c r="F8" i="77"/>
  <c r="F9" i="77" s="1"/>
  <c r="F14" i="77" s="1"/>
  <c r="D8" i="76"/>
  <c r="E8" i="76"/>
  <c r="F8" i="76"/>
  <c r="F10" i="76" s="1"/>
  <c r="F11" i="76" s="1"/>
  <c r="F16" i="76" s="1"/>
  <c r="G8" i="76"/>
  <c r="F9" i="76"/>
  <c r="D9" i="75"/>
  <c r="D10" i="75" s="1"/>
  <c r="D11" i="75" s="1"/>
  <c r="D16" i="75" s="1"/>
  <c r="G8" i="75"/>
  <c r="F8" i="75"/>
  <c r="E8" i="75"/>
  <c r="F9" i="75"/>
  <c r="D8" i="77" l="1"/>
  <c r="D9" i="77" s="1"/>
  <c r="D14" i="77" s="1"/>
  <c r="C9" i="77"/>
  <c r="C14" i="77" s="1"/>
  <c r="C20" i="77" s="1"/>
  <c r="C10" i="20" s="1"/>
  <c r="G9" i="75"/>
  <c r="G10" i="75" s="1"/>
  <c r="G11" i="75" s="1"/>
  <c r="G16" i="75" s="1"/>
  <c r="H16" i="75" s="1"/>
  <c r="F10" i="79"/>
  <c r="C24" i="79"/>
  <c r="C27" i="79" s="1"/>
  <c r="C10" i="79"/>
  <c r="D26" i="79"/>
  <c r="G27" i="79"/>
  <c r="G10" i="79"/>
  <c r="G24" i="79"/>
  <c r="G26" i="79" s="1"/>
  <c r="D24" i="79"/>
  <c r="D27" i="79" s="1"/>
  <c r="C26" i="79"/>
  <c r="F141" i="79"/>
  <c r="E10" i="79"/>
  <c r="F26" i="79"/>
  <c r="E9" i="79"/>
  <c r="E24" i="79"/>
  <c r="D9" i="79"/>
  <c r="F24" i="79"/>
  <c r="F27" i="79" s="1"/>
  <c r="F29" i="79"/>
  <c r="D10" i="79"/>
  <c r="C94" i="79"/>
  <c r="C96" i="79" s="1"/>
  <c r="C99" i="79" s="1"/>
  <c r="C108" i="79" s="1"/>
  <c r="C114" i="79" s="1"/>
  <c r="F9" i="79"/>
  <c r="E69" i="79"/>
  <c r="G27" i="78"/>
  <c r="E26" i="78"/>
  <c r="F26" i="78"/>
  <c r="D24" i="78"/>
  <c r="G26" i="78"/>
  <c r="C24" i="78"/>
  <c r="C10" i="78"/>
  <c r="E24" i="78"/>
  <c r="F141" i="78"/>
  <c r="E9" i="78"/>
  <c r="E10" i="78"/>
  <c r="G10" i="78"/>
  <c r="F9" i="78"/>
  <c r="D9" i="78"/>
  <c r="F24" i="78"/>
  <c r="F29" i="78"/>
  <c r="F155" i="78"/>
  <c r="E69" i="78"/>
  <c r="C110" i="78"/>
  <c r="C108" i="78" s="1"/>
  <c r="C114" i="78" s="1"/>
  <c r="D10" i="78"/>
  <c r="E11" i="76"/>
  <c r="E16" i="76" s="1"/>
  <c r="C10" i="76"/>
  <c r="C11" i="76" s="1"/>
  <c r="C16" i="76" s="1"/>
  <c r="C22" i="76" s="1"/>
  <c r="F10" i="75"/>
  <c r="F11" i="75" s="1"/>
  <c r="F16" i="75" s="1"/>
  <c r="C11" i="75"/>
  <c r="C16" i="75" s="1"/>
  <c r="E9" i="75"/>
  <c r="E10" i="75" s="1"/>
  <c r="E11" i="75" s="1"/>
  <c r="E16" i="75" s="1"/>
  <c r="C9" i="20" l="1"/>
  <c r="G68" i="79"/>
  <c r="G28" i="79"/>
  <c r="D68" i="79"/>
  <c r="D70" i="79" s="1"/>
  <c r="D30" i="79"/>
  <c r="D28" i="79"/>
  <c r="F69" i="79"/>
  <c r="E73" i="79"/>
  <c r="E27" i="79"/>
  <c r="G25" i="79"/>
  <c r="G14" i="79"/>
  <c r="G15" i="79" s="1"/>
  <c r="F38" i="79"/>
  <c r="G29" i="79"/>
  <c r="G38" i="79" s="1"/>
  <c r="E26" i="79"/>
  <c r="C28" i="79"/>
  <c r="C68" i="79"/>
  <c r="C70" i="79" s="1"/>
  <c r="C30" i="79"/>
  <c r="D25" i="79"/>
  <c r="D14" i="79"/>
  <c r="D15" i="79" s="1"/>
  <c r="C25" i="79"/>
  <c r="C40" i="79"/>
  <c r="C14" i="79"/>
  <c r="C15" i="79" s="1"/>
  <c r="F30" i="79"/>
  <c r="F28" i="79"/>
  <c r="F68" i="79"/>
  <c r="F25" i="79"/>
  <c r="F14" i="79"/>
  <c r="F15" i="79" s="1"/>
  <c r="F30" i="78"/>
  <c r="F68" i="78"/>
  <c r="F70" i="78" s="1"/>
  <c r="C40" i="78"/>
  <c r="C14" i="78"/>
  <c r="C15" i="78" s="1"/>
  <c r="C25" i="78"/>
  <c r="G28" i="78"/>
  <c r="G68" i="78"/>
  <c r="F69" i="78"/>
  <c r="E73" i="78"/>
  <c r="D27" i="78"/>
  <c r="E30" i="78"/>
  <c r="E28" i="78"/>
  <c r="E68" i="78"/>
  <c r="E70" i="78" s="1"/>
  <c r="F25" i="78"/>
  <c r="F14" i="78"/>
  <c r="F15" i="78" s="1"/>
  <c r="F27" i="78"/>
  <c r="F28" i="78" s="1"/>
  <c r="G14" i="78"/>
  <c r="G15" i="78" s="1"/>
  <c r="F38" i="78"/>
  <c r="G29" i="78"/>
  <c r="G38" i="78" s="1"/>
  <c r="G25" i="78"/>
  <c r="E25" i="78"/>
  <c r="E14" i="78"/>
  <c r="E15" i="78" s="1"/>
  <c r="C27" i="78"/>
  <c r="E27" i="78"/>
  <c r="C26" i="78"/>
  <c r="D26" i="78"/>
  <c r="C22" i="75"/>
  <c r="C8" i="20" s="1"/>
  <c r="E30" i="79" l="1"/>
  <c r="E28" i="79"/>
  <c r="E68" i="79"/>
  <c r="E70" i="79" s="1"/>
  <c r="D40" i="79"/>
  <c r="C75" i="79"/>
  <c r="F70" i="79"/>
  <c r="D31" i="79"/>
  <c r="D32" i="79" s="1"/>
  <c r="D37" i="79" s="1"/>
  <c r="D39" i="79" s="1"/>
  <c r="D41" i="79" s="1"/>
  <c r="E25" i="79"/>
  <c r="G69" i="79"/>
  <c r="G73" i="79" s="1"/>
  <c r="F73" i="79"/>
  <c r="D71" i="79"/>
  <c r="D72" i="79"/>
  <c r="D74" i="79" s="1"/>
  <c r="C31" i="79"/>
  <c r="C32" i="79" s="1"/>
  <c r="C37" i="79" s="1"/>
  <c r="C39" i="79" s="1"/>
  <c r="C41" i="79" s="1"/>
  <c r="C71" i="79"/>
  <c r="C72" i="79" s="1"/>
  <c r="C74" i="79" s="1"/>
  <c r="C76" i="79" s="1"/>
  <c r="C79" i="79" s="1"/>
  <c r="F31" i="79"/>
  <c r="F32" i="79"/>
  <c r="F37" i="79" s="1"/>
  <c r="F39" i="79" s="1"/>
  <c r="E14" i="79"/>
  <c r="E15" i="79" s="1"/>
  <c r="G30" i="79"/>
  <c r="F31" i="78"/>
  <c r="F32" i="78" s="1"/>
  <c r="F37" i="78" s="1"/>
  <c r="F39" i="78" s="1"/>
  <c r="E31" i="78"/>
  <c r="E32" i="78" s="1"/>
  <c r="E37" i="78" s="1"/>
  <c r="E39" i="78" s="1"/>
  <c r="D68" i="78"/>
  <c r="D70" i="78" s="1"/>
  <c r="D28" i="78"/>
  <c r="D30" i="78"/>
  <c r="C75" i="78"/>
  <c r="D40" i="78"/>
  <c r="C68" i="78"/>
  <c r="C70" i="78" s="1"/>
  <c r="C30" i="78"/>
  <c r="C28" i="78"/>
  <c r="F71" i="78"/>
  <c r="F72" i="78"/>
  <c r="G69" i="78"/>
  <c r="G73" i="78" s="1"/>
  <c r="F73" i="78"/>
  <c r="D14" i="78"/>
  <c r="D15" i="78" s="1"/>
  <c r="E71" i="78"/>
  <c r="E72" i="78"/>
  <c r="E74" i="78" s="1"/>
  <c r="G30" i="78"/>
  <c r="D25" i="78"/>
  <c r="C81" i="79" l="1"/>
  <c r="D76" i="79"/>
  <c r="D79" i="79" s="1"/>
  <c r="D81" i="79" s="1"/>
  <c r="D82" i="79" s="1"/>
  <c r="E71" i="79"/>
  <c r="E72" i="79"/>
  <c r="E74" i="79" s="1"/>
  <c r="G31" i="79"/>
  <c r="G32" i="79" s="1"/>
  <c r="G37" i="79" s="1"/>
  <c r="G39" i="79" s="1"/>
  <c r="E40" i="79"/>
  <c r="D75" i="79"/>
  <c r="G70" i="79"/>
  <c r="F71" i="79"/>
  <c r="F72" i="79"/>
  <c r="F74" i="79" s="1"/>
  <c r="E31" i="79"/>
  <c r="E32" i="79" s="1"/>
  <c r="E37" i="79" s="1"/>
  <c r="E39" i="79" s="1"/>
  <c r="E41" i="79" s="1"/>
  <c r="C31" i="78"/>
  <c r="C32" i="78" s="1"/>
  <c r="C37" i="78" s="1"/>
  <c r="C39" i="78" s="1"/>
  <c r="C41" i="78" s="1"/>
  <c r="D31" i="78"/>
  <c r="D32" i="78" s="1"/>
  <c r="D37" i="78" s="1"/>
  <c r="D39" i="78" s="1"/>
  <c r="D41" i="78" s="1"/>
  <c r="F74" i="78"/>
  <c r="G31" i="78"/>
  <c r="G32" i="78" s="1"/>
  <c r="G37" i="78" s="1"/>
  <c r="G39" i="78" s="1"/>
  <c r="D71" i="78"/>
  <c r="D72" i="78" s="1"/>
  <c r="D74" i="78" s="1"/>
  <c r="D76" i="78" s="1"/>
  <c r="D79" i="78" s="1"/>
  <c r="D81" i="78" s="1"/>
  <c r="G70" i="78"/>
  <c r="C71" i="78"/>
  <c r="C72" i="78"/>
  <c r="C74" i="78" s="1"/>
  <c r="C76" i="78" s="1"/>
  <c r="C79" i="78" s="1"/>
  <c r="D75" i="78"/>
  <c r="E40" i="78"/>
  <c r="G71" i="79" l="1"/>
  <c r="G72" i="79" s="1"/>
  <c r="G74" i="79" s="1"/>
  <c r="E76" i="79"/>
  <c r="E79" i="79" s="1"/>
  <c r="E81" i="79" s="1"/>
  <c r="E82" i="79" s="1"/>
  <c r="F40" i="79"/>
  <c r="E75" i="79"/>
  <c r="G71" i="78"/>
  <c r="G72" i="78" s="1"/>
  <c r="G74" i="78" s="1"/>
  <c r="C81" i="78"/>
  <c r="D82" i="78" s="1"/>
  <c r="F40" i="78"/>
  <c r="E75" i="78"/>
  <c r="E76" i="78" s="1"/>
  <c r="E79" i="78" s="1"/>
  <c r="E81" i="78" s="1"/>
  <c r="E82" i="78" s="1"/>
  <c r="E41" i="78"/>
  <c r="F75" i="79" l="1"/>
  <c r="F76" i="79" s="1"/>
  <c r="F79" i="79" s="1"/>
  <c r="F81" i="79" s="1"/>
  <c r="F82" i="79" s="1"/>
  <c r="G40" i="79"/>
  <c r="F41" i="79"/>
  <c r="G40" i="78"/>
  <c r="F75" i="78"/>
  <c r="F76" i="78" s="1"/>
  <c r="F79" i="78" s="1"/>
  <c r="F81" i="78" s="1"/>
  <c r="F82" i="78" s="1"/>
  <c r="F41" i="78"/>
  <c r="G75" i="79" l="1"/>
  <c r="G76" i="79" s="1"/>
  <c r="G79" i="79" s="1"/>
  <c r="G41" i="79"/>
  <c r="H41" i="79" s="1"/>
  <c r="C49" i="79" s="1"/>
  <c r="G75" i="78"/>
  <c r="G76" i="78" s="1"/>
  <c r="G79" i="78" s="1"/>
  <c r="G41" i="78"/>
  <c r="H41" i="78" s="1"/>
  <c r="C49" i="78" s="1"/>
  <c r="G81" i="79" l="1"/>
  <c r="G82" i="79" s="1"/>
  <c r="C83" i="79" s="1"/>
  <c r="C113" i="79" s="1"/>
  <c r="C67" i="79"/>
  <c r="G81" i="78"/>
  <c r="G82" i="78" s="1"/>
  <c r="C83" i="78" s="1"/>
  <c r="C113" i="78" s="1"/>
  <c r="C67" i="78"/>
  <c r="I79" i="79" l="1"/>
  <c r="C115" i="79" s="1"/>
  <c r="C122" i="79" s="1"/>
  <c r="C119" i="79" s="1"/>
  <c r="I79" i="78"/>
  <c r="C115" i="78" s="1"/>
  <c r="C122" i="78" s="1"/>
  <c r="C119" i="78" s="1"/>
  <c r="C135" i="79" l="1"/>
  <c r="C154" i="79"/>
  <c r="C135" i="78"/>
  <c r="C154" i="78"/>
  <c r="C160" i="79" l="1"/>
  <c r="F135" i="79"/>
  <c r="G119" i="79"/>
  <c r="C160" i="78"/>
  <c r="F135" i="78"/>
  <c r="G119" i="78"/>
  <c r="F119" i="79" l="1"/>
  <c r="K121" i="79"/>
  <c r="F92" i="79" s="1"/>
  <c r="F160" i="79"/>
  <c r="F119" i="78"/>
  <c r="K121" i="78"/>
  <c r="F92" i="78" s="1"/>
  <c r="F160" i="78"/>
  <c r="K119" i="79" l="1"/>
  <c r="F93" i="79" s="1"/>
  <c r="F154" i="79"/>
  <c r="F154" i="78"/>
  <c r="K119" i="78"/>
  <c r="F93" i="78" s="1"/>
  <c r="C5" i="20" l="1"/>
  <c r="X11" i="63"/>
  <c r="X10" i="63"/>
  <c r="X9" i="63"/>
  <c r="X8" i="63"/>
  <c r="X7" i="63"/>
  <c r="X6" i="63"/>
  <c r="U11" i="63"/>
  <c r="U10" i="63"/>
  <c r="U9" i="63"/>
  <c r="U8" i="63"/>
  <c r="U7" i="63"/>
  <c r="U6" i="63"/>
  <c r="R11" i="63"/>
  <c r="R10" i="63"/>
  <c r="R9" i="63"/>
  <c r="R8" i="63"/>
  <c r="R7" i="63"/>
  <c r="R6" i="63"/>
  <c r="O11" i="63"/>
  <c r="O10" i="63"/>
  <c r="O9" i="63"/>
  <c r="O8" i="63"/>
  <c r="O7" i="63"/>
  <c r="O6" i="63"/>
  <c r="L7" i="63"/>
  <c r="L8" i="63"/>
  <c r="L9" i="63"/>
  <c r="L10" i="63"/>
  <c r="L11" i="63"/>
  <c r="L6" i="63"/>
  <c r="C146" i="63"/>
  <c r="C150" i="63" s="1"/>
  <c r="F150" i="63" s="1"/>
  <c r="C141" i="63"/>
  <c r="F129" i="63"/>
  <c r="F126" i="63" s="1"/>
  <c r="F157" i="63" s="1"/>
  <c r="C129" i="63"/>
  <c r="C126" i="63" s="1"/>
  <c r="C157" i="63" s="1"/>
  <c r="F121" i="63"/>
  <c r="C110" i="63"/>
  <c r="C109" i="63"/>
  <c r="C108" i="63" s="1"/>
  <c r="C114" i="63" s="1"/>
  <c r="C106" i="63"/>
  <c r="C93" i="63"/>
  <c r="C94" i="63" s="1"/>
  <c r="C96" i="63" s="1"/>
  <c r="C99" i="63" s="1"/>
  <c r="C73" i="63"/>
  <c r="D69" i="63"/>
  <c r="D73" i="63" s="1"/>
  <c r="D38" i="63"/>
  <c r="C38" i="63"/>
  <c r="E29" i="63"/>
  <c r="E38" i="63" s="1"/>
  <c r="D29" i="63"/>
  <c r="E18" i="63"/>
  <c r="F18" i="63" s="1"/>
  <c r="G18" i="63" s="1"/>
  <c r="D18" i="63"/>
  <c r="E17" i="63"/>
  <c r="E13" i="63"/>
  <c r="F13" i="63" s="1"/>
  <c r="G13" i="63" s="1"/>
  <c r="D13" i="63"/>
  <c r="F12" i="63"/>
  <c r="W11" i="63"/>
  <c r="G19" i="63" s="1"/>
  <c r="V11" i="63"/>
  <c r="F19" i="63"/>
  <c r="T11" i="63"/>
  <c r="S11" i="63"/>
  <c r="Q11" i="63"/>
  <c r="P11" i="63"/>
  <c r="E19" i="63" s="1"/>
  <c r="D19" i="63"/>
  <c r="N11" i="63"/>
  <c r="M11" i="63"/>
  <c r="K11" i="63"/>
  <c r="C19" i="63" s="1"/>
  <c r="J11" i="63"/>
  <c r="E11" i="63"/>
  <c r="W10" i="63"/>
  <c r="G17" i="63" s="1"/>
  <c r="V10" i="63"/>
  <c r="T10" i="63"/>
  <c r="S10" i="63"/>
  <c r="F17" i="63" s="1"/>
  <c r="Q10" i="63"/>
  <c r="P10" i="63"/>
  <c r="N10" i="63"/>
  <c r="M10" i="63"/>
  <c r="D17" i="63" s="1"/>
  <c r="K10" i="63"/>
  <c r="J10" i="63"/>
  <c r="W9" i="63"/>
  <c r="G16" i="63" s="1"/>
  <c r="V9" i="63"/>
  <c r="F16" i="63"/>
  <c r="T9" i="63"/>
  <c r="S9" i="63"/>
  <c r="Q9" i="63"/>
  <c r="P9" i="63"/>
  <c r="E16" i="63" s="1"/>
  <c r="D16" i="63"/>
  <c r="N9" i="63"/>
  <c r="M9" i="63"/>
  <c r="K9" i="63"/>
  <c r="C16" i="63" s="1"/>
  <c r="J9" i="63"/>
  <c r="W8" i="63"/>
  <c r="G11" i="63" s="1"/>
  <c r="V8" i="63"/>
  <c r="T8" i="63"/>
  <c r="S8" i="63"/>
  <c r="F11" i="63" s="1"/>
  <c r="Q8" i="63"/>
  <c r="P8" i="63"/>
  <c r="N8" i="63"/>
  <c r="M8" i="63"/>
  <c r="K8" i="63"/>
  <c r="C11" i="63" s="1"/>
  <c r="J8" i="63"/>
  <c r="W7" i="63"/>
  <c r="V7" i="63"/>
  <c r="F8" i="63"/>
  <c r="T7" i="63"/>
  <c r="S7" i="63"/>
  <c r="Q7" i="63"/>
  <c r="P7" i="63"/>
  <c r="D8" i="63"/>
  <c r="N7" i="63"/>
  <c r="M7" i="63"/>
  <c r="K7" i="63"/>
  <c r="C8" i="63" s="1"/>
  <c r="C9" i="63" s="1"/>
  <c r="J7" i="63"/>
  <c r="E7" i="63"/>
  <c r="F7" i="63" s="1"/>
  <c r="G7" i="63" s="1"/>
  <c r="D7" i="63"/>
  <c r="G6" i="63"/>
  <c r="W6" i="63"/>
  <c r="V6" i="63"/>
  <c r="T6" i="63"/>
  <c r="S6" i="63"/>
  <c r="E6" i="63"/>
  <c r="Q6" i="63"/>
  <c r="P6" i="63"/>
  <c r="N6" i="63"/>
  <c r="M6" i="63"/>
  <c r="K6" i="63"/>
  <c r="J6" i="63"/>
  <c r="G5" i="63"/>
  <c r="F5" i="63"/>
  <c r="E5" i="63"/>
  <c r="D5" i="63"/>
  <c r="G8" i="63" l="1"/>
  <c r="G24" i="63" s="1"/>
  <c r="F6" i="63"/>
  <c r="E8" i="63"/>
  <c r="E9" i="63"/>
  <c r="D6" i="63"/>
  <c r="D11" i="63"/>
  <c r="C17" i="63"/>
  <c r="C6" i="63"/>
  <c r="G27" i="63"/>
  <c r="D24" i="63"/>
  <c r="F10" i="63"/>
  <c r="G10" i="63"/>
  <c r="G9" i="63"/>
  <c r="F27" i="63"/>
  <c r="E10" i="63"/>
  <c r="E24" i="63"/>
  <c r="E27" i="63" s="1"/>
  <c r="C24" i="63"/>
  <c r="C27" i="63" s="1"/>
  <c r="C10" i="63"/>
  <c r="G26" i="63"/>
  <c r="G14" i="63" s="1"/>
  <c r="G15" i="63" s="1"/>
  <c r="F141" i="63"/>
  <c r="D9" i="63"/>
  <c r="F24" i="63"/>
  <c r="F26" i="63" s="1"/>
  <c r="F29" i="63"/>
  <c r="F9" i="63"/>
  <c r="F155" i="63"/>
  <c r="E69" i="63"/>
  <c r="D10" i="63"/>
  <c r="E26" i="63" l="1"/>
  <c r="D27" i="63"/>
  <c r="F69" i="63"/>
  <c r="E73" i="63"/>
  <c r="C40" i="63"/>
  <c r="C26" i="63"/>
  <c r="C25" i="63" s="1"/>
  <c r="E30" i="63"/>
  <c r="E28" i="63"/>
  <c r="E68" i="63"/>
  <c r="E70" i="63" s="1"/>
  <c r="F30" i="63"/>
  <c r="F28" i="63"/>
  <c r="F68" i="63"/>
  <c r="F70" i="63" s="1"/>
  <c r="G29" i="63"/>
  <c r="G38" i="63" s="1"/>
  <c r="F38" i="63"/>
  <c r="G68" i="63"/>
  <c r="G28" i="63"/>
  <c r="D26" i="63"/>
  <c r="F25" i="63"/>
  <c r="F14" i="63"/>
  <c r="F15" i="63" s="1"/>
  <c r="E25" i="63"/>
  <c r="E14" i="63"/>
  <c r="E15" i="63" s="1"/>
  <c r="G25" i="63"/>
  <c r="C14" i="63" l="1"/>
  <c r="C15" i="63" s="1"/>
  <c r="F71" i="63"/>
  <c r="F72" i="63"/>
  <c r="C75" i="63"/>
  <c r="D40" i="63"/>
  <c r="D68" i="63"/>
  <c r="D70" i="63" s="1"/>
  <c r="D30" i="63"/>
  <c r="D28" i="63"/>
  <c r="F31" i="63"/>
  <c r="F32" i="63" s="1"/>
  <c r="F37" i="63" s="1"/>
  <c r="F39" i="63" s="1"/>
  <c r="G30" i="63"/>
  <c r="E31" i="63"/>
  <c r="E32" i="63" s="1"/>
  <c r="E37" i="63" s="1"/>
  <c r="E39" i="63" s="1"/>
  <c r="D14" i="63"/>
  <c r="D15" i="63" s="1"/>
  <c r="E71" i="63"/>
  <c r="E72" i="63" s="1"/>
  <c r="E74" i="63" s="1"/>
  <c r="G69" i="63"/>
  <c r="G73" i="63" s="1"/>
  <c r="F73" i="63"/>
  <c r="C68" i="63"/>
  <c r="C70" i="63" s="1"/>
  <c r="C30" i="63"/>
  <c r="C28" i="63"/>
  <c r="D25" i="63"/>
  <c r="D31" i="63" l="1"/>
  <c r="D32" i="63" s="1"/>
  <c r="D37" i="63" s="1"/>
  <c r="D39" i="63" s="1"/>
  <c r="D41" i="63" s="1"/>
  <c r="C71" i="63"/>
  <c r="C72" i="63"/>
  <c r="C74" i="63" s="1"/>
  <c r="C76" i="63" s="1"/>
  <c r="C79" i="63" s="1"/>
  <c r="D71" i="63"/>
  <c r="D72" i="63" s="1"/>
  <c r="D74" i="63" s="1"/>
  <c r="C31" i="63"/>
  <c r="C32" i="63" s="1"/>
  <c r="C37" i="63" s="1"/>
  <c r="C39" i="63" s="1"/>
  <c r="C41" i="63" s="1"/>
  <c r="E40" i="63"/>
  <c r="D75" i="63"/>
  <c r="G70" i="63"/>
  <c r="G31" i="63"/>
  <c r="G32" i="63" s="1"/>
  <c r="G37" i="63" s="1"/>
  <c r="G39" i="63" s="1"/>
  <c r="F74" i="63"/>
  <c r="D76" i="63" l="1"/>
  <c r="D79" i="63" s="1"/>
  <c r="D81" i="63" s="1"/>
  <c r="C81" i="63"/>
  <c r="G71" i="63"/>
  <c r="G72" i="63" s="1"/>
  <c r="G74" i="63" s="1"/>
  <c r="E75" i="63"/>
  <c r="E76" i="63" s="1"/>
  <c r="E79" i="63" s="1"/>
  <c r="E81" i="63" s="1"/>
  <c r="E82" i="63" s="1"/>
  <c r="F40" i="63"/>
  <c r="E41" i="63"/>
  <c r="D82" i="63" l="1"/>
  <c r="G40" i="63"/>
  <c r="F75" i="63"/>
  <c r="F76" i="63" s="1"/>
  <c r="F79" i="63" s="1"/>
  <c r="F81" i="63" s="1"/>
  <c r="F82" i="63" s="1"/>
  <c r="F41" i="63"/>
  <c r="G75" i="63" l="1"/>
  <c r="G76" i="63" s="1"/>
  <c r="G79" i="63" s="1"/>
  <c r="G41" i="63"/>
  <c r="H41" i="63" s="1"/>
  <c r="C49" i="63" s="1"/>
  <c r="G81" i="63" l="1"/>
  <c r="G82" i="63" s="1"/>
  <c r="C83" i="63" s="1"/>
  <c r="C113" i="63" s="1"/>
  <c r="C67" i="63"/>
  <c r="I79" i="63" l="1"/>
  <c r="C115" i="63" s="1"/>
  <c r="C122" i="63" s="1"/>
  <c r="C119" i="63" s="1"/>
  <c r="C154" i="63" l="1"/>
  <c r="C135" i="63"/>
  <c r="C160" i="63" l="1"/>
  <c r="F135" i="63"/>
  <c r="G119" i="63" s="1"/>
  <c r="F119" i="63" l="1"/>
  <c r="K121" i="63"/>
  <c r="F92" i="63" s="1"/>
  <c r="F160" i="63"/>
  <c r="F154" i="63" l="1"/>
  <c r="K119" i="63"/>
  <c r="F93" i="63" s="1"/>
</calcChain>
</file>

<file path=xl/sharedStrings.xml><?xml version="1.0" encoding="utf-8"?>
<sst xmlns="http://schemas.openxmlformats.org/spreadsheetml/2006/main" count="670" uniqueCount="148">
  <si>
    <t>EBITDA</t>
  </si>
  <si>
    <t>AMORTIZ</t>
  </si>
  <si>
    <t>BAIT</t>
  </si>
  <si>
    <t>IS</t>
  </si>
  <si>
    <t>BDIT</t>
  </si>
  <si>
    <t>CF OPERATIVO</t>
  </si>
  <si>
    <t>CF LIBRE</t>
  </si>
  <si>
    <t>INVERSIONES</t>
  </si>
  <si>
    <t>k</t>
  </si>
  <si>
    <t>G</t>
  </si>
  <si>
    <t>CF LIBRE NOSOTROS</t>
  </si>
  <si>
    <t>%</t>
  </si>
  <si>
    <t>WACC</t>
  </si>
  <si>
    <t>TOTAL INMOVILIZADO</t>
  </si>
  <si>
    <t>Inmovilizado inmaterial</t>
  </si>
  <si>
    <t>Inmovilizado material</t>
  </si>
  <si>
    <t>Inmovilizado financiero</t>
  </si>
  <si>
    <t>TOTAL ACTIVO CORRIENTE</t>
  </si>
  <si>
    <t>Existencias</t>
  </si>
  <si>
    <t>Deudores</t>
  </si>
  <si>
    <t>Clientes</t>
  </si>
  <si>
    <t>AAPP</t>
  </si>
  <si>
    <t>Tesorería</t>
  </si>
  <si>
    <t>PASIVO NO CORRIENTE</t>
  </si>
  <si>
    <t>Provisiones LP</t>
  </si>
  <si>
    <t>Deudas entidades credito</t>
  </si>
  <si>
    <t>PASIVO CORRIENTE</t>
  </si>
  <si>
    <t>Otras deudas no comerciales</t>
  </si>
  <si>
    <t>FONDOS PROPIOS</t>
  </si>
  <si>
    <t>ACTIVO</t>
  </si>
  <si>
    <t>PASIVO</t>
  </si>
  <si>
    <t>BALANCE HOTEL</t>
  </si>
  <si>
    <t>BALANCE SOLAR 1,A.II</t>
  </si>
  <si>
    <t>Deudores no corrientes</t>
  </si>
  <si>
    <t>Deudores varios</t>
  </si>
  <si>
    <t>TOTAL ACTIVO 1 Y 2</t>
  </si>
  <si>
    <t>TOTAL PASIVO 1 Y 2</t>
  </si>
  <si>
    <t>Para determinar el crecimiento de flujos</t>
  </si>
  <si>
    <t>% de crecimiento</t>
  </si>
  <si>
    <t>Media de crecimiento</t>
  </si>
  <si>
    <t>DETERMINACIÓN DEL COSTE DE CAPITAL</t>
  </si>
  <si>
    <t>COSTE RECURSOS PROPIOS</t>
  </si>
  <si>
    <t>Tasa libre de riesgo</t>
  </si>
  <si>
    <t>Beta desapalancada</t>
  </si>
  <si>
    <t>Porcetaje de deuda</t>
  </si>
  <si>
    <t>Porcentaje de capital</t>
  </si>
  <si>
    <t>Tasa impositiva</t>
  </si>
  <si>
    <t>Beta apalancada</t>
  </si>
  <si>
    <t>Prima de riesgo</t>
  </si>
  <si>
    <t>Ke</t>
  </si>
  <si>
    <t>Ratio D/C</t>
  </si>
  <si>
    <t>COSTE DE LA DEUDA</t>
  </si>
  <si>
    <t>Coste neto de los RRAA</t>
  </si>
  <si>
    <t>Aumento coste RRAA</t>
  </si>
  <si>
    <t>TOTAL</t>
  </si>
  <si>
    <t>D</t>
  </si>
  <si>
    <t>C</t>
  </si>
  <si>
    <t>RRPP</t>
  </si>
  <si>
    <t>CF Operativo</t>
  </si>
  <si>
    <t>20XX</t>
  </si>
  <si>
    <t>20XX+1</t>
  </si>
  <si>
    <t>20XX+2</t>
  </si>
  <si>
    <t>20XX+3</t>
  </si>
  <si>
    <t>20XX+4</t>
  </si>
  <si>
    <t>VAN 20XX</t>
  </si>
  <si>
    <t>GOP</t>
  </si>
  <si>
    <t>VAN</t>
  </si>
  <si>
    <t>Arithmetic Mean</t>
  </si>
  <si>
    <t>Rooms</t>
  </si>
  <si>
    <t>Pax/room</t>
  </si>
  <si>
    <t>Days</t>
  </si>
  <si>
    <t>Occupancy rate (%)</t>
  </si>
  <si>
    <t>Occupied rooms</t>
  </si>
  <si>
    <t>Stays</t>
  </si>
  <si>
    <t>Average income per stay</t>
  </si>
  <si>
    <t xml:space="preserve">GOP/Sales (%) </t>
  </si>
  <si>
    <t>Fees, Insurance, Other Taxes / Sales (%)</t>
  </si>
  <si>
    <t>Corporate Tax (%)</t>
  </si>
  <si>
    <t>Investment growth (%)</t>
  </si>
  <si>
    <t>Year 1</t>
  </si>
  <si>
    <t>Year 2</t>
  </si>
  <si>
    <t>Year 3</t>
  </si>
  <si>
    <t>Year 4</t>
  </si>
  <si>
    <t>Total revenue</t>
  </si>
  <si>
    <t>Total expenses</t>
  </si>
  <si>
    <t>EBIT</t>
  </si>
  <si>
    <t>EAT</t>
  </si>
  <si>
    <t>H</t>
  </si>
  <si>
    <t>min</t>
  </si>
  <si>
    <t>NPV</t>
  </si>
  <si>
    <t>Investments</t>
  </si>
  <si>
    <t>Depreciation</t>
  </si>
  <si>
    <t>Fees, Insurances, other Taxes / Sales (%)</t>
  </si>
  <si>
    <t xml:space="preserve"> </t>
  </si>
  <si>
    <t>ALFA 0</t>
  </si>
  <si>
    <t>ALFA 1</t>
  </si>
  <si>
    <t>ALFA 2</t>
  </si>
  <si>
    <t>ALFA 3</t>
  </si>
  <si>
    <t>ALFA 4</t>
  </si>
  <si>
    <t>ALFA VR</t>
  </si>
  <si>
    <t>Year 5</t>
  </si>
  <si>
    <t>Residual Value</t>
  </si>
  <si>
    <t>SUMMARY RESULTS</t>
  </si>
  <si>
    <t>VARIABLES SUMMARY</t>
  </si>
  <si>
    <t>PF</t>
  </si>
  <si>
    <t>OF</t>
  </si>
  <si>
    <t>Pessimistic Forecast</t>
  </si>
  <si>
    <t>Optimistic Forecast</t>
  </si>
  <si>
    <t>Income increase</t>
  </si>
  <si>
    <t>Inflation Costs</t>
  </si>
  <si>
    <t>Consumption</t>
  </si>
  <si>
    <t>Consumption/Sales</t>
  </si>
  <si>
    <t>OP</t>
  </si>
  <si>
    <t>Mid-Point</t>
  </si>
  <si>
    <t>ALL VARIABLES</t>
  </si>
  <si>
    <t>VARIABLES WITH OPTIMISTIC AND PESSIMISTIC FORECAST</t>
  </si>
  <si>
    <t>EBITDA, GOP, BAIT and BDIT COMPUTATION</t>
  </si>
  <si>
    <t>CASH-FLOW COMPUTATION</t>
  </si>
  <si>
    <t xml:space="preserve">Fees, Insurance, Other Taxes </t>
  </si>
  <si>
    <t>Corporate Tax</t>
  </si>
  <si>
    <t>Cost of capital (k)</t>
  </si>
  <si>
    <t>Assets Book Value (A)</t>
  </si>
  <si>
    <t xml:space="preserve">Cash-flow growth (q) </t>
  </si>
  <si>
    <t>Cash-flow (Q)</t>
  </si>
  <si>
    <t>NET PRESENT VALUE COMPUTATION</t>
  </si>
  <si>
    <t>w</t>
  </si>
  <si>
    <t>M1w1</t>
  </si>
  <si>
    <t>M1w2</t>
  </si>
  <si>
    <t>M1w3</t>
  </si>
  <si>
    <t>w'</t>
  </si>
  <si>
    <t>Terminal Value</t>
  </si>
  <si>
    <t xml:space="preserve">CASH-FLOW COMPUTATION </t>
  </si>
  <si>
    <r>
      <t>Q</t>
    </r>
    <r>
      <rPr>
        <b/>
        <vertAlign val="subscript"/>
        <sz val="10"/>
        <rFont val="Arial"/>
        <family val="2"/>
      </rPr>
      <t>1</t>
    </r>
  </si>
  <si>
    <r>
      <t>Q</t>
    </r>
    <r>
      <rPr>
        <b/>
        <vertAlign val="subscript"/>
        <sz val="10"/>
        <rFont val="Arial"/>
        <family val="2"/>
      </rPr>
      <t>2</t>
    </r>
  </si>
  <si>
    <r>
      <t>Q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</si>
  <si>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vertAlign val="subscript"/>
        <sz val="10"/>
        <rFont val="Arial"/>
        <family val="2"/>
      </rPr>
      <t>4</t>
    </r>
  </si>
  <si>
    <r>
      <t>Q</t>
    </r>
    <r>
      <rPr>
        <b/>
        <vertAlign val="subscript"/>
        <sz val="10"/>
        <rFont val="Arial"/>
        <family val="2"/>
      </rPr>
      <t>5</t>
    </r>
  </si>
  <si>
    <r>
      <t>n</t>
    </r>
    <r>
      <rPr>
        <b/>
        <vertAlign val="subscript"/>
        <sz val="11"/>
        <color theme="1"/>
        <rFont val="Calibri (Cuerpo)"/>
      </rPr>
      <t>1</t>
    </r>
  </si>
  <si>
    <t>Pesimistic</t>
  </si>
  <si>
    <r>
      <t>n</t>
    </r>
    <r>
      <rPr>
        <b/>
        <vertAlign val="subscript"/>
        <sz val="11"/>
        <color theme="1"/>
        <rFont val="Calibri (Cuerpo)"/>
      </rPr>
      <t>2</t>
    </r>
    <r>
      <rPr>
        <sz val="12"/>
        <color theme="1"/>
        <rFont val="Calibri"/>
        <family val="2"/>
        <scheme val="minor"/>
      </rPr>
      <t/>
    </r>
  </si>
  <si>
    <t>Optimistic</t>
  </si>
  <si>
    <r>
      <t>n</t>
    </r>
    <r>
      <rPr>
        <b/>
        <vertAlign val="subscript"/>
        <sz val="11"/>
        <color theme="1"/>
        <rFont val="Calibri (Cuerpo)"/>
      </rPr>
      <t>3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</si>
  <si>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4</t>
    </r>
    <r>
      <rPr>
        <sz val="12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</si>
  <si>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1"/>
        <color theme="1"/>
        <rFont val="Calibri (Cuerpo)"/>
      </rPr>
      <t>5</t>
    </r>
    <r>
      <rPr>
        <sz val="12"/>
        <color theme="1"/>
        <rFont val="Calibri"/>
        <family val="2"/>
        <scheme val="minor"/>
      </rPr>
      <t/>
    </r>
  </si>
  <si>
    <t>CASH-FLOW</t>
  </si>
  <si>
    <t>Product</t>
  </si>
  <si>
    <t>Maximum Operator</t>
  </si>
  <si>
    <t>Minimum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</si>
</sst>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.00\ [$€]_-;\-* #,##0.00\ [$€]_-;_-* &quot;-&quot;??\ [$€]_-;_-@_-"/>
    <numFmt numFmtId="166" formatCode="0.0000%"/>
    <numFmt numFmtId="167" formatCode="0.0000"/>
    <numFmt numFmtId="168" formatCode="0.000000%"/>
    <numFmt numFmtId="169" formatCode="#,##0.000"/>
    <numFmt numFmtId="170" formatCode="#,##0.00000000"/>
  </numFmts>
  <fonts count="6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0"/>
      <color indexed="12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000000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b/>
      <u/>
      <sz val="11"/>
      <color theme="0"/>
      <name val="Arial"/>
      <family val="2"/>
    </font>
    <font>
      <sz val="10"/>
      <color rgb="FFFF0000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 (Cuerpo)"/>
    </font>
    <font>
      <b/>
      <vertAlign val="subscript"/>
      <sz val="10"/>
      <name val="Arial"/>
      <family val="2"/>
    </font>
    <font>
      <b/>
      <vertAlign val="subscript"/>
      <sz val="11"/>
      <color theme="1"/>
      <name val="Calibri (Cuerpo)"/>
    </font>
    <font>
      <b/>
      <sz val="12"/>
      <color indexed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5" fontId="4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4" fontId="4" fillId="0" borderId="0"/>
    <xf numFmtId="0" fontId="5" fillId="23" borderId="4" applyNumberFormat="0" applyFont="0" applyAlignment="0" applyProtection="0"/>
    <xf numFmtId="9" fontId="4" fillId="0" borderId="0" applyFont="0" applyFill="0" applyBorder="0" applyAlignment="0" applyProtection="0"/>
    <xf numFmtId="0" fontId="16" fillId="16" borderId="5" applyNumberFormat="0" applyAlignment="0" applyProtection="0"/>
    <xf numFmtId="4" fontId="17" fillId="23" borderId="0" applyNumberFormat="0" applyProtection="0">
      <alignment horizontal="left" vertical="center" indent="1"/>
    </xf>
    <xf numFmtId="4" fontId="17" fillId="24" borderId="6">
      <alignment horizontal="right" vertical="center"/>
    </xf>
    <xf numFmtId="4" fontId="17" fillId="25" borderId="6" applyNumberFormat="0" applyProtection="0">
      <alignment horizontal="right" vertical="center"/>
    </xf>
    <xf numFmtId="4" fontId="18" fillId="24" borderId="6">
      <alignment horizontal="left" vertical="center" indent="1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12" fillId="0" borderId="9" applyNumberFormat="0" applyFill="0" applyAlignment="0" applyProtection="0"/>
    <xf numFmtId="0" fontId="24" fillId="0" borderId="10" applyNumberFormat="0" applyFill="0" applyAlignment="0" applyProtection="0"/>
    <xf numFmtId="43" fontId="3" fillId="0" borderId="0" applyFont="0" applyFill="0" applyBorder="0" applyAlignment="0" applyProtection="0"/>
  </cellStyleXfs>
  <cellXfs count="346">
    <xf numFmtId="0" fontId="0" fillId="0" borderId="0" xfId="0"/>
    <xf numFmtId="0" fontId="25" fillId="0" borderId="12" xfId="0" applyFont="1" applyBorder="1"/>
    <xf numFmtId="4" fontId="4" fillId="0" borderId="0" xfId="37"/>
    <xf numFmtId="3" fontId="27" fillId="0" borderId="0" xfId="37" applyNumberFormat="1" applyFont="1"/>
    <xf numFmtId="3" fontId="4" fillId="0" borderId="0" xfId="37" applyNumberFormat="1"/>
    <xf numFmtId="4" fontId="30" fillId="0" borderId="0" xfId="37" applyFont="1"/>
    <xf numFmtId="4" fontId="32" fillId="0" borderId="0" xfId="37" applyFont="1"/>
    <xf numFmtId="4" fontId="4" fillId="0" borderId="0" xfId="37" quotePrefix="1"/>
    <xf numFmtId="4" fontId="28" fillId="0" borderId="0" xfId="37" applyFont="1"/>
    <xf numFmtId="4" fontId="31" fillId="0" borderId="0" xfId="37" applyFont="1"/>
    <xf numFmtId="3" fontId="30" fillId="0" borderId="0" xfId="37" applyNumberFormat="1" applyFont="1"/>
    <xf numFmtId="9" fontId="4" fillId="0" borderId="0" xfId="37" applyNumberFormat="1"/>
    <xf numFmtId="3" fontId="30" fillId="0" borderId="0" xfId="37" quotePrefix="1" applyNumberFormat="1" applyFont="1"/>
    <xf numFmtId="4" fontId="33" fillId="31" borderId="17" xfId="37" applyFont="1" applyFill="1" applyBorder="1" applyAlignment="1">
      <alignment horizontal="center" vertical="center"/>
    </xf>
    <xf numFmtId="169" fontId="34" fillId="0" borderId="0" xfId="37" applyNumberFormat="1" applyFont="1" applyAlignment="1">
      <alignment horizontal="center" vertical="center"/>
    </xf>
    <xf numFmtId="4" fontId="29" fillId="0" borderId="24" xfId="37" applyFont="1" applyBorder="1"/>
    <xf numFmtId="8" fontId="0" fillId="0" borderId="0" xfId="0" applyNumberFormat="1"/>
    <xf numFmtId="0" fontId="0" fillId="0" borderId="0" xfId="0" applyAlignment="1">
      <alignment horizontal="left" vertical="top"/>
    </xf>
    <xf numFmtId="169" fontId="27" fillId="0" borderId="0" xfId="2" applyNumberFormat="1" applyFont="1" applyBorder="1"/>
    <xf numFmtId="4" fontId="34" fillId="0" borderId="14" xfId="37" applyFont="1" applyBorder="1" applyAlignment="1">
      <alignment horizontal="center"/>
    </xf>
    <xf numFmtId="4" fontId="34" fillId="0" borderId="33" xfId="37" applyFont="1" applyBorder="1" applyAlignment="1">
      <alignment horizontal="center"/>
    </xf>
    <xf numFmtId="4" fontId="4" fillId="0" borderId="45" xfId="37" applyBorder="1" applyAlignment="1">
      <alignment vertical="center"/>
    </xf>
    <xf numFmtId="4" fontId="4" fillId="0" borderId="41" xfId="37" applyBorder="1"/>
    <xf numFmtId="169" fontId="27" fillId="0" borderId="0" xfId="37" applyNumberFormat="1" applyFont="1"/>
    <xf numFmtId="4" fontId="4" fillId="0" borderId="45" xfId="37" applyBorder="1"/>
    <xf numFmtId="169" fontId="36" fillId="0" borderId="0" xfId="37" applyNumberFormat="1" applyFont="1"/>
    <xf numFmtId="3" fontId="27" fillId="0" borderId="0" xfId="37" applyNumberFormat="1" applyFont="1" applyAlignment="1">
      <alignment horizontal="center"/>
    </xf>
    <xf numFmtId="4" fontId="29" fillId="0" borderId="28" xfId="37" applyFont="1" applyBorder="1"/>
    <xf numFmtId="3" fontId="38" fillId="0" borderId="0" xfId="37" applyNumberFormat="1" applyFont="1" applyAlignment="1">
      <alignment horizontal="center"/>
    </xf>
    <xf numFmtId="4" fontId="39" fillId="0" borderId="43" xfId="37" applyFont="1" applyBorder="1"/>
    <xf numFmtId="4" fontId="40" fillId="0" borderId="44" xfId="37" applyFont="1" applyBorder="1"/>
    <xf numFmtId="4" fontId="39" fillId="0" borderId="44" xfId="37" applyFont="1" applyBorder="1"/>
    <xf numFmtId="3" fontId="40" fillId="0" borderId="44" xfId="37" applyNumberFormat="1" applyFont="1" applyBorder="1" applyAlignment="1">
      <alignment horizontal="center"/>
    </xf>
    <xf numFmtId="4" fontId="4" fillId="0" borderId="0" xfId="37" applyAlignment="1">
      <alignment vertical="center"/>
    </xf>
    <xf numFmtId="4" fontId="4" fillId="0" borderId="30" xfId="37" applyBorder="1"/>
    <xf numFmtId="4" fontId="34" fillId="0" borderId="33" xfId="37" applyFont="1" applyBorder="1" applyAlignment="1">
      <alignment horizontal="center" vertical="center"/>
    </xf>
    <xf numFmtId="4" fontId="40" fillId="0" borderId="0" xfId="37" applyFont="1"/>
    <xf numFmtId="169" fontId="34" fillId="0" borderId="41" xfId="37" applyNumberFormat="1" applyFont="1" applyBorder="1" applyAlignment="1">
      <alignment horizontal="center" vertical="center"/>
    </xf>
    <xf numFmtId="4" fontId="41" fillId="0" borderId="23" xfId="37" applyFont="1" applyBorder="1" applyAlignment="1">
      <alignment vertical="center"/>
    </xf>
    <xf numFmtId="4" fontId="39" fillId="30" borderId="23" xfId="37" applyFont="1" applyFill="1" applyBorder="1" applyAlignment="1">
      <alignment horizontal="center" vertical="center"/>
    </xf>
    <xf numFmtId="4" fontId="39" fillId="0" borderId="0" xfId="37" applyFont="1" applyAlignment="1">
      <alignment horizontal="center" vertical="center"/>
    </xf>
    <xf numFmtId="4" fontId="39" fillId="0" borderId="25" xfId="37" applyFont="1" applyBorder="1"/>
    <xf numFmtId="4" fontId="40" fillId="0" borderId="28" xfId="37" applyFont="1" applyBorder="1" applyAlignment="1">
      <alignment horizontal="center"/>
    </xf>
    <xf numFmtId="4" fontId="40" fillId="0" borderId="31" xfId="37" applyFont="1" applyBorder="1" applyAlignment="1">
      <alignment horizontal="center"/>
    </xf>
    <xf numFmtId="4" fontId="40" fillId="0" borderId="0" xfId="37" applyFont="1" applyAlignment="1">
      <alignment horizontal="center"/>
    </xf>
    <xf numFmtId="4" fontId="40" fillId="0" borderId="14" xfId="37" applyFont="1" applyBorder="1" applyAlignment="1">
      <alignment horizontal="center"/>
    </xf>
    <xf numFmtId="4" fontId="40" fillId="0" borderId="33" xfId="37" applyFont="1" applyBorder="1" applyAlignment="1">
      <alignment horizontal="center"/>
    </xf>
    <xf numFmtId="4" fontId="40" fillId="0" borderId="23" xfId="37" applyFont="1" applyBorder="1" applyAlignment="1">
      <alignment horizontal="center"/>
    </xf>
    <xf numFmtId="4" fontId="39" fillId="27" borderId="26" xfId="37" applyFont="1" applyFill="1" applyBorder="1"/>
    <xf numFmtId="4" fontId="40" fillId="27" borderId="29" xfId="37" applyFont="1" applyFill="1" applyBorder="1" applyAlignment="1">
      <alignment horizontal="center"/>
    </xf>
    <xf numFmtId="4" fontId="40" fillId="27" borderId="32" xfId="37" applyFont="1" applyFill="1" applyBorder="1" applyAlignment="1">
      <alignment horizontal="center"/>
    </xf>
    <xf numFmtId="4" fontId="39" fillId="0" borderId="26" xfId="37" applyFont="1" applyBorder="1"/>
    <xf numFmtId="3" fontId="40" fillId="0" borderId="29" xfId="37" applyNumberFormat="1" applyFont="1" applyBorder="1" applyAlignment="1">
      <alignment horizontal="center"/>
    </xf>
    <xf numFmtId="3" fontId="40" fillId="0" borderId="32" xfId="37" applyNumberFormat="1" applyFont="1" applyBorder="1" applyAlignment="1">
      <alignment horizontal="center"/>
    </xf>
    <xf numFmtId="3" fontId="40" fillId="0" borderId="0" xfId="37" applyNumberFormat="1" applyFont="1" applyAlignment="1">
      <alignment horizontal="center"/>
    </xf>
    <xf numFmtId="4" fontId="39" fillId="27" borderId="26" xfId="37" applyFont="1" applyFill="1" applyBorder="1" applyAlignment="1">
      <alignment vertical="center" wrapText="1"/>
    </xf>
    <xf numFmtId="10" fontId="40" fillId="27" borderId="29" xfId="2" applyNumberFormat="1" applyFont="1" applyFill="1" applyBorder="1" applyAlignment="1">
      <alignment horizontal="center" vertical="center"/>
    </xf>
    <xf numFmtId="10" fontId="40" fillId="27" borderId="32" xfId="2" applyNumberFormat="1" applyFont="1" applyFill="1" applyBorder="1" applyAlignment="1">
      <alignment horizontal="center" vertical="center"/>
    </xf>
    <xf numFmtId="10" fontId="40" fillId="0" borderId="0" xfId="2" applyNumberFormat="1" applyFont="1" applyFill="1" applyBorder="1" applyAlignment="1">
      <alignment horizontal="center" vertical="center"/>
    </xf>
    <xf numFmtId="4" fontId="39" fillId="0" borderId="26" xfId="37" applyFont="1" applyBorder="1" applyAlignment="1">
      <alignment vertical="center" wrapText="1"/>
    </xf>
    <xf numFmtId="3" fontId="40" fillId="0" borderId="29" xfId="37" applyNumberFormat="1" applyFont="1" applyBorder="1" applyAlignment="1">
      <alignment horizontal="center" vertical="center"/>
    </xf>
    <xf numFmtId="3" fontId="40" fillId="0" borderId="32" xfId="37" applyNumberFormat="1" applyFont="1" applyBorder="1" applyAlignment="1">
      <alignment horizontal="center" vertical="center"/>
    </xf>
    <xf numFmtId="3" fontId="40" fillId="0" borderId="0" xfId="37" applyNumberFormat="1" applyFont="1" applyAlignment="1">
      <alignment horizontal="center" vertical="center"/>
    </xf>
    <xf numFmtId="2" fontId="40" fillId="27" borderId="29" xfId="37" applyNumberFormat="1" applyFont="1" applyFill="1" applyBorder="1" applyAlignment="1">
      <alignment horizontal="center"/>
    </xf>
    <xf numFmtId="2" fontId="40" fillId="27" borderId="32" xfId="37" applyNumberFormat="1" applyFont="1" applyFill="1" applyBorder="1" applyAlignment="1">
      <alignment horizontal="center"/>
    </xf>
    <xf numFmtId="2" fontId="40" fillId="0" borderId="0" xfId="37" applyNumberFormat="1" applyFont="1" applyAlignment="1">
      <alignment horizontal="center"/>
    </xf>
    <xf numFmtId="10" fontId="40" fillId="0" borderId="0" xfId="37" applyNumberFormat="1" applyFont="1" applyAlignment="1">
      <alignment horizontal="center"/>
    </xf>
    <xf numFmtId="10" fontId="40" fillId="27" borderId="29" xfId="2" applyNumberFormat="1" applyFont="1" applyFill="1" applyBorder="1" applyAlignment="1">
      <alignment horizontal="center"/>
    </xf>
    <xf numFmtId="10" fontId="40" fillId="27" borderId="32" xfId="2" applyNumberFormat="1" applyFont="1" applyFill="1" applyBorder="1" applyAlignment="1">
      <alignment horizontal="center"/>
    </xf>
    <xf numFmtId="10" fontId="40" fillId="0" borderId="0" xfId="2" applyNumberFormat="1" applyFont="1" applyFill="1" applyBorder="1" applyAlignment="1">
      <alignment horizontal="center"/>
    </xf>
    <xf numFmtId="10" fontId="40" fillId="27" borderId="29" xfId="37" applyNumberFormat="1" applyFont="1" applyFill="1" applyBorder="1" applyAlignment="1">
      <alignment horizontal="center" vertical="center"/>
    </xf>
    <xf numFmtId="10" fontId="40" fillId="27" borderId="32" xfId="37" applyNumberFormat="1" applyFont="1" applyFill="1" applyBorder="1" applyAlignment="1">
      <alignment horizontal="center" vertical="center"/>
    </xf>
    <xf numFmtId="10" fontId="40" fillId="0" borderId="0" xfId="37" applyNumberFormat="1" applyFont="1" applyAlignment="1">
      <alignment horizontal="center" vertical="center"/>
    </xf>
    <xf numFmtId="169" fontId="40" fillId="0" borderId="0" xfId="2" applyNumberFormat="1" applyFont="1" applyBorder="1" applyAlignment="1">
      <alignment horizontal="center" vertical="center"/>
    </xf>
    <xf numFmtId="9" fontId="40" fillId="0" borderId="29" xfId="37" applyNumberFormat="1" applyFont="1" applyBorder="1" applyAlignment="1">
      <alignment horizontal="center"/>
    </xf>
    <xf numFmtId="9" fontId="40" fillId="0" borderId="32" xfId="37" applyNumberFormat="1" applyFont="1" applyBorder="1" applyAlignment="1">
      <alignment horizontal="center"/>
    </xf>
    <xf numFmtId="9" fontId="40" fillId="0" borderId="0" xfId="37" applyNumberFormat="1" applyFont="1" applyAlignment="1">
      <alignment horizontal="center"/>
    </xf>
    <xf numFmtId="169" fontId="39" fillId="0" borderId="0" xfId="2" applyNumberFormat="1" applyFont="1" applyBorder="1" applyAlignment="1">
      <alignment horizontal="center" vertical="center"/>
    </xf>
    <xf numFmtId="4" fontId="39" fillId="27" borderId="27" xfId="37" applyFont="1" applyFill="1" applyBorder="1" applyAlignment="1">
      <alignment vertical="center" wrapText="1"/>
    </xf>
    <xf numFmtId="10" fontId="40" fillId="27" borderId="30" xfId="2" applyNumberFormat="1" applyFont="1" applyFill="1" applyBorder="1" applyAlignment="1">
      <alignment horizontal="center"/>
    </xf>
    <xf numFmtId="10" fontId="40" fillId="27" borderId="20" xfId="2" applyNumberFormat="1" applyFont="1" applyFill="1" applyBorder="1" applyAlignment="1">
      <alignment horizontal="center"/>
    </xf>
    <xf numFmtId="4" fontId="39" fillId="26" borderId="23" xfId="37" applyFont="1" applyFill="1" applyBorder="1" applyAlignment="1">
      <alignment horizontal="center" vertical="center"/>
    </xf>
    <xf numFmtId="4" fontId="39" fillId="27" borderId="23" xfId="37" applyFont="1" applyFill="1" applyBorder="1" applyAlignment="1">
      <alignment horizontal="center" vertical="center"/>
    </xf>
    <xf numFmtId="4" fontId="39" fillId="31" borderId="23" xfId="37" applyFont="1" applyFill="1" applyBorder="1" applyAlignment="1">
      <alignment horizontal="center" vertical="center"/>
    </xf>
    <xf numFmtId="4" fontId="40" fillId="0" borderId="34" xfId="37" applyFont="1" applyBorder="1" applyAlignment="1">
      <alignment horizontal="left" vertical="center"/>
    </xf>
    <xf numFmtId="3" fontId="40" fillId="0" borderId="21" xfId="37" applyNumberFormat="1" applyFont="1" applyBorder="1" applyAlignment="1">
      <alignment horizontal="center" vertical="center"/>
    </xf>
    <xf numFmtId="3" fontId="40" fillId="0" borderId="35" xfId="37" applyNumberFormat="1" applyFont="1" applyBorder="1" applyAlignment="1">
      <alignment horizontal="center" vertical="center"/>
    </xf>
    <xf numFmtId="4" fontId="40" fillId="0" borderId="36" xfId="37" applyFont="1" applyBorder="1" applyAlignment="1">
      <alignment horizontal="left" vertical="center"/>
    </xf>
    <xf numFmtId="3" fontId="40" fillId="0" borderId="22" xfId="37" applyNumberFormat="1" applyFont="1" applyBorder="1" applyAlignment="1">
      <alignment horizontal="center" vertical="center"/>
    </xf>
    <xf numFmtId="3" fontId="40" fillId="0" borderId="37" xfId="37" applyNumberFormat="1" applyFont="1" applyBorder="1" applyAlignment="1">
      <alignment horizontal="center" vertical="center"/>
    </xf>
    <xf numFmtId="4" fontId="39" fillId="0" borderId="36" xfId="37" applyFont="1" applyBorder="1" applyAlignment="1">
      <alignment horizontal="left" vertical="center"/>
    </xf>
    <xf numFmtId="4" fontId="39" fillId="0" borderId="38" xfId="37" applyFont="1" applyBorder="1" applyAlignment="1">
      <alignment horizontal="left" vertical="center"/>
    </xf>
    <xf numFmtId="3" fontId="40" fillId="0" borderId="39" xfId="37" applyNumberFormat="1" applyFont="1" applyBorder="1" applyAlignment="1">
      <alignment horizontal="center" vertical="center"/>
    </xf>
    <xf numFmtId="3" fontId="40" fillId="0" borderId="40" xfId="37" applyNumberFormat="1" applyFont="1" applyBorder="1" applyAlignment="1">
      <alignment horizontal="center" vertical="center"/>
    </xf>
    <xf numFmtId="4" fontId="39" fillId="32" borderId="15" xfId="37" applyFont="1" applyFill="1" applyBorder="1" applyAlignment="1">
      <alignment horizontal="center" vertical="center"/>
    </xf>
    <xf numFmtId="0" fontId="45" fillId="0" borderId="0" xfId="0" applyFont="1"/>
    <xf numFmtId="0" fontId="46" fillId="0" borderId="0" xfId="0" applyFont="1"/>
    <xf numFmtId="0" fontId="38" fillId="0" borderId="0" xfId="0" applyFont="1"/>
    <xf numFmtId="3" fontId="46" fillId="0" borderId="0" xfId="1" applyNumberFormat="1" applyFont="1" applyFill="1" applyBorder="1"/>
    <xf numFmtId="3" fontId="38" fillId="0" borderId="0" xfId="1" applyNumberFormat="1" applyFont="1" applyFill="1" applyBorder="1"/>
    <xf numFmtId="3" fontId="38" fillId="0" borderId="0" xfId="0" applyNumberFormat="1" applyFont="1"/>
    <xf numFmtId="3" fontId="46" fillId="0" borderId="0" xfId="0" applyNumberFormat="1" applyFont="1"/>
    <xf numFmtId="0" fontId="47" fillId="0" borderId="0" xfId="0" applyFont="1" applyAlignment="1">
      <alignment wrapText="1"/>
    </xf>
    <xf numFmtId="44" fontId="38" fillId="0" borderId="0" xfId="0" applyNumberFormat="1" applyFont="1" applyAlignment="1">
      <alignment horizontal="center" vertical="top"/>
    </xf>
    <xf numFmtId="9" fontId="47" fillId="0" borderId="0" xfId="0" applyNumberFormat="1" applyFont="1" applyAlignment="1">
      <alignment horizontal="center" vertical="top" wrapText="1"/>
    </xf>
    <xf numFmtId="44" fontId="38" fillId="0" borderId="0" xfId="0" applyNumberFormat="1" applyFont="1"/>
    <xf numFmtId="44" fontId="38" fillId="0" borderId="0" xfId="1" applyFont="1" applyFill="1" applyBorder="1"/>
    <xf numFmtId="0" fontId="48" fillId="0" borderId="0" xfId="0" applyFont="1"/>
    <xf numFmtId="0" fontId="48" fillId="28" borderId="0" xfId="0" applyFont="1" applyFill="1"/>
    <xf numFmtId="44" fontId="46" fillId="0" borderId="0" xfId="0" applyNumberFormat="1" applyFont="1"/>
    <xf numFmtId="44" fontId="46" fillId="0" borderId="0" xfId="1" applyFont="1" applyFill="1" applyBorder="1"/>
    <xf numFmtId="166" fontId="46" fillId="0" borderId="0" xfId="0" applyNumberFormat="1" applyFont="1"/>
    <xf numFmtId="9" fontId="46" fillId="0" borderId="0" xfId="0" applyNumberFormat="1" applyFont="1"/>
    <xf numFmtId="166" fontId="38" fillId="0" borderId="0" xfId="0" applyNumberFormat="1" applyFont="1"/>
    <xf numFmtId="44" fontId="45" fillId="0" borderId="0" xfId="0" applyNumberFormat="1" applyFont="1"/>
    <xf numFmtId="167" fontId="38" fillId="0" borderId="0" xfId="0" applyNumberFormat="1" applyFont="1"/>
    <xf numFmtId="168" fontId="46" fillId="0" borderId="0" xfId="0" applyNumberFormat="1" applyFont="1"/>
    <xf numFmtId="166" fontId="45" fillId="0" borderId="0" xfId="0" applyNumberFormat="1" applyFont="1"/>
    <xf numFmtId="10" fontId="38" fillId="0" borderId="0" xfId="0" applyNumberFormat="1" applyFont="1"/>
    <xf numFmtId="10" fontId="46" fillId="0" borderId="0" xfId="0" applyNumberFormat="1" applyFont="1"/>
    <xf numFmtId="164" fontId="46" fillId="0" borderId="0" xfId="0" applyNumberFormat="1" applyFont="1"/>
    <xf numFmtId="10" fontId="46" fillId="0" borderId="0" xfId="2" applyNumberFormat="1" applyFont="1" applyFill="1" applyBorder="1"/>
    <xf numFmtId="0" fontId="49" fillId="0" borderId="0" xfId="0" applyFont="1"/>
    <xf numFmtId="164" fontId="45" fillId="0" borderId="0" xfId="0" applyNumberFormat="1" applyFont="1"/>
    <xf numFmtId="0" fontId="46" fillId="0" borderId="0" xfId="0" applyFont="1" applyAlignment="1">
      <alignment horizontal="right"/>
    </xf>
    <xf numFmtId="44" fontId="46" fillId="0" borderId="0" xfId="1" applyFont="1" applyFill="1" applyBorder="1" applyAlignment="1">
      <alignment horizontal="left"/>
    </xf>
    <xf numFmtId="3" fontId="39" fillId="0" borderId="0" xfId="37" applyNumberFormat="1" applyFont="1" applyAlignment="1">
      <alignment horizontal="center"/>
    </xf>
    <xf numFmtId="3" fontId="30" fillId="0" borderId="41" xfId="37" applyNumberFormat="1" applyFont="1" applyBorder="1"/>
    <xf numFmtId="3" fontId="4" fillId="0" borderId="41" xfId="37" applyNumberFormat="1" applyBorder="1"/>
    <xf numFmtId="3" fontId="39" fillId="33" borderId="23" xfId="37" applyNumberFormat="1" applyFont="1" applyFill="1" applyBorder="1" applyAlignment="1">
      <alignment horizontal="center"/>
    </xf>
    <xf numFmtId="3" fontId="50" fillId="0" borderId="0" xfId="37" applyNumberFormat="1" applyFont="1"/>
    <xf numFmtId="0" fontId="51" fillId="0" borderId="0" xfId="0" applyFont="1" applyAlignment="1">
      <alignment wrapText="1"/>
    </xf>
    <xf numFmtId="44" fontId="48" fillId="0" borderId="0" xfId="0" applyNumberFormat="1" applyFont="1" applyAlignment="1">
      <alignment horizontal="center" vertical="top"/>
    </xf>
    <xf numFmtId="9" fontId="51" fillId="0" borderId="0" xfId="0" applyNumberFormat="1" applyFont="1" applyAlignment="1">
      <alignment horizontal="center" vertical="top" wrapText="1"/>
    </xf>
    <xf numFmtId="8" fontId="45" fillId="0" borderId="0" xfId="0" applyNumberFormat="1" applyFont="1"/>
    <xf numFmtId="3" fontId="40" fillId="0" borderId="47" xfId="37" applyNumberFormat="1" applyFont="1" applyBorder="1" applyAlignment="1">
      <alignment horizontal="center"/>
    </xf>
    <xf numFmtId="3" fontId="40" fillId="0" borderId="48" xfId="37" applyNumberFormat="1" applyFont="1" applyBorder="1" applyAlignment="1">
      <alignment horizontal="center"/>
    </xf>
    <xf numFmtId="164" fontId="39" fillId="0" borderId="0" xfId="2" applyNumberFormat="1" applyFont="1" applyFill="1" applyBorder="1" applyAlignment="1">
      <alignment horizontal="center"/>
    </xf>
    <xf numFmtId="4" fontId="33" fillId="0" borderId="46" xfId="37" applyFont="1" applyBorder="1" applyAlignment="1">
      <alignment horizontal="left" vertical="center"/>
    </xf>
    <xf numFmtId="14" fontId="27" fillId="0" borderId="12" xfId="37" applyNumberFormat="1" applyFont="1" applyBorder="1" applyAlignment="1">
      <alignment horizontal="left" vertical="center"/>
    </xf>
    <xf numFmtId="4" fontId="33" fillId="0" borderId="29" xfId="37" applyFont="1" applyBorder="1" applyAlignment="1">
      <alignment horizontal="left" vertical="center" wrapText="1"/>
    </xf>
    <xf numFmtId="4" fontId="27" fillId="0" borderId="12" xfId="37" applyFont="1" applyBorder="1" applyAlignment="1">
      <alignment horizontal="left" vertical="center"/>
    </xf>
    <xf numFmtId="4" fontId="33" fillId="0" borderId="29" xfId="37" applyFont="1" applyBorder="1" applyAlignment="1">
      <alignment horizontal="left" vertical="center"/>
    </xf>
    <xf numFmtId="10" fontId="36" fillId="0" borderId="12" xfId="2" applyNumberFormat="1" applyFont="1" applyFill="1" applyBorder="1" applyAlignment="1">
      <alignment horizontal="left" vertical="center"/>
    </xf>
    <xf numFmtId="4" fontId="33" fillId="0" borderId="42" xfId="37" applyFont="1" applyBorder="1" applyAlignment="1">
      <alignment horizontal="left" vertical="center" wrapText="1"/>
    </xf>
    <xf numFmtId="169" fontId="40" fillId="0" borderId="41" xfId="37" applyNumberFormat="1" applyFont="1" applyBorder="1" applyAlignment="1">
      <alignment horizontal="center" vertical="center"/>
    </xf>
    <xf numFmtId="3" fontId="40" fillId="0" borderId="49" xfId="37" applyNumberFormat="1" applyFont="1" applyBorder="1" applyAlignment="1">
      <alignment horizontal="center"/>
    </xf>
    <xf numFmtId="4" fontId="33" fillId="27" borderId="17" xfId="37" applyFont="1" applyFill="1" applyBorder="1" applyAlignment="1">
      <alignment horizontal="center" vertical="center"/>
    </xf>
    <xf numFmtId="4" fontId="33" fillId="30" borderId="17" xfId="37" applyFont="1" applyFill="1" applyBorder="1" applyAlignment="1">
      <alignment horizontal="center" vertical="center"/>
    </xf>
    <xf numFmtId="169" fontId="34" fillId="34" borderId="12" xfId="37" applyNumberFormat="1" applyFont="1" applyFill="1" applyBorder="1" applyAlignment="1">
      <alignment horizontal="center" vertical="center"/>
    </xf>
    <xf numFmtId="169" fontId="34" fillId="34" borderId="0" xfId="37" applyNumberFormat="1" applyFont="1" applyFill="1" applyAlignment="1">
      <alignment horizontal="center" vertical="center"/>
    </xf>
    <xf numFmtId="169" fontId="34" fillId="34" borderId="0" xfId="2" applyNumberFormat="1" applyFont="1" applyFill="1" applyBorder="1" applyAlignment="1">
      <alignment horizontal="center" vertical="center"/>
    </xf>
    <xf numFmtId="169" fontId="34" fillId="34" borderId="11" xfId="2" applyNumberFormat="1" applyFont="1" applyFill="1" applyBorder="1" applyAlignment="1">
      <alignment horizontal="center" vertical="center"/>
    </xf>
    <xf numFmtId="169" fontId="40" fillId="34" borderId="12" xfId="37" applyNumberFormat="1" applyFont="1" applyFill="1" applyBorder="1" applyAlignment="1">
      <alignment horizontal="center" vertical="center"/>
    </xf>
    <xf numFmtId="169" fontId="40" fillId="34" borderId="12" xfId="2" applyNumberFormat="1" applyFont="1" applyFill="1" applyBorder="1" applyAlignment="1">
      <alignment horizontal="center" vertical="center"/>
    </xf>
    <xf numFmtId="169" fontId="40" fillId="34" borderId="13" xfId="2" applyNumberFormat="1" applyFont="1" applyFill="1" applyBorder="1" applyAlignment="1">
      <alignment horizontal="center" vertical="center"/>
    </xf>
    <xf numFmtId="4" fontId="33" fillId="26" borderId="17" xfId="37" applyFont="1" applyFill="1" applyBorder="1" applyAlignment="1">
      <alignment horizontal="center" vertical="center"/>
    </xf>
    <xf numFmtId="169" fontId="34" fillId="34" borderId="17" xfId="37" applyNumberFormat="1" applyFont="1" applyFill="1" applyBorder="1" applyAlignment="1">
      <alignment horizontal="center" vertical="center"/>
    </xf>
    <xf numFmtId="169" fontId="34" fillId="34" borderId="17" xfId="37" quotePrefix="1" applyNumberFormat="1" applyFont="1" applyFill="1" applyBorder="1" applyAlignment="1">
      <alignment horizontal="center" vertical="center"/>
    </xf>
    <xf numFmtId="169" fontId="35" fillId="34" borderId="0" xfId="37" applyNumberFormat="1" applyFont="1" applyFill="1" applyAlignment="1">
      <alignment horizontal="center" vertical="center"/>
    </xf>
    <xf numFmtId="169" fontId="34" fillId="35" borderId="18" xfId="37" applyNumberFormat="1" applyFont="1" applyFill="1" applyBorder="1" applyAlignment="1">
      <alignment horizontal="center" vertical="center"/>
    </xf>
    <xf numFmtId="169" fontId="34" fillId="35" borderId="19" xfId="37" applyNumberFormat="1" applyFont="1" applyFill="1" applyBorder="1" applyAlignment="1">
      <alignment horizontal="center" vertical="center"/>
    </xf>
    <xf numFmtId="169" fontId="34" fillId="35" borderId="19" xfId="2" applyNumberFormat="1" applyFont="1" applyFill="1" applyBorder="1" applyAlignment="1">
      <alignment horizontal="center" vertical="center"/>
    </xf>
    <xf numFmtId="169" fontId="35" fillId="35" borderId="19" xfId="37" applyNumberFormat="1" applyFont="1" applyFill="1" applyBorder="1" applyAlignment="1">
      <alignment horizontal="center" vertical="center"/>
    </xf>
    <xf numFmtId="169" fontId="34" fillId="35" borderId="20" xfId="2" applyNumberFormat="1" applyFont="1" applyFill="1" applyBorder="1" applyAlignment="1">
      <alignment horizontal="center" vertical="center"/>
    </xf>
    <xf numFmtId="169" fontId="34" fillId="35" borderId="18" xfId="37" quotePrefix="1" applyNumberFormat="1" applyFont="1" applyFill="1" applyBorder="1" applyAlignment="1">
      <alignment horizontal="center" vertical="center"/>
    </xf>
    <xf numFmtId="169" fontId="34" fillId="34" borderId="16" xfId="37" applyNumberFormat="1" applyFont="1" applyFill="1" applyBorder="1" applyAlignment="1">
      <alignment horizontal="center" vertical="center"/>
    </xf>
    <xf numFmtId="169" fontId="34" fillId="34" borderId="12" xfId="2" applyNumberFormat="1" applyFont="1" applyFill="1" applyBorder="1" applyAlignment="1">
      <alignment horizontal="center" vertical="center"/>
    </xf>
    <xf numFmtId="0" fontId="34" fillId="34" borderId="12" xfId="2" applyNumberFormat="1" applyFont="1" applyFill="1" applyBorder="1" applyAlignment="1">
      <alignment horizontal="center" vertical="center"/>
    </xf>
    <xf numFmtId="169" fontId="35" fillId="34" borderId="12" xfId="37" applyNumberFormat="1" applyFont="1" applyFill="1" applyBorder="1" applyAlignment="1">
      <alignment horizontal="center" vertical="center"/>
    </xf>
    <xf numFmtId="169" fontId="34" fillId="34" borderId="13" xfId="2" applyNumberFormat="1" applyFont="1" applyFill="1" applyBorder="1" applyAlignment="1">
      <alignment horizontal="center" vertical="center"/>
    </xf>
    <xf numFmtId="169" fontId="34" fillId="34" borderId="16" xfId="37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34" fillId="0" borderId="15" xfId="37" applyFont="1" applyBorder="1" applyAlignment="1">
      <alignment horizontal="center"/>
    </xf>
    <xf numFmtId="4" fontId="39" fillId="0" borderId="50" xfId="37" applyFont="1" applyBorder="1" applyAlignment="1">
      <alignment vertical="center" wrapText="1"/>
    </xf>
    <xf numFmtId="0" fontId="42" fillId="0" borderId="23" xfId="0" applyFont="1" applyBorder="1"/>
    <xf numFmtId="10" fontId="30" fillId="0" borderId="0" xfId="2" applyNumberFormat="1" applyFont="1" applyFill="1" applyBorder="1"/>
    <xf numFmtId="169" fontId="40" fillId="0" borderId="0" xfId="2" applyNumberFormat="1" applyFont="1" applyFill="1" applyBorder="1" applyAlignment="1">
      <alignment horizontal="center" vertical="center"/>
    </xf>
    <xf numFmtId="169" fontId="44" fillId="0" borderId="0" xfId="37" applyNumberFormat="1" applyFont="1" applyAlignment="1">
      <alignment horizontal="center" vertical="center"/>
    </xf>
    <xf numFmtId="169" fontId="43" fillId="0" borderId="0" xfId="37" applyNumberFormat="1" applyFont="1" applyAlignment="1">
      <alignment horizontal="center" vertical="center"/>
    </xf>
    <xf numFmtId="169" fontId="43" fillId="0" borderId="0" xfId="37" applyNumberFormat="1" applyFont="1" applyAlignment="1">
      <alignment horizontal="center"/>
    </xf>
    <xf numFmtId="169" fontId="39" fillId="0" borderId="0" xfId="37" applyNumberFormat="1" applyFont="1" applyAlignment="1">
      <alignment horizontal="center" vertical="center"/>
    </xf>
    <xf numFmtId="169" fontId="40" fillId="0" borderId="0" xfId="37" applyNumberFormat="1" applyFont="1" applyAlignment="1">
      <alignment horizontal="center" vertical="center"/>
    </xf>
    <xf numFmtId="169" fontId="40" fillId="0" borderId="0" xfId="37" applyNumberFormat="1" applyFont="1" applyAlignment="1">
      <alignment horizontal="center"/>
    </xf>
    <xf numFmtId="169" fontId="40" fillId="0" borderId="30" xfId="37" applyNumberFormat="1" applyFont="1" applyBorder="1" applyAlignment="1">
      <alignment horizontal="center" vertical="center"/>
    </xf>
    <xf numFmtId="4" fontId="39" fillId="0" borderId="0" xfId="37" applyFont="1"/>
    <xf numFmtId="0" fontId="53" fillId="0" borderId="0" xfId="0" applyFont="1"/>
    <xf numFmtId="4" fontId="52" fillId="0" borderId="0" xfId="37" applyFont="1"/>
    <xf numFmtId="0" fontId="37" fillId="0" borderId="16" xfId="0" applyFont="1" applyBorder="1"/>
    <xf numFmtId="43" fontId="45" fillId="0" borderId="18" xfId="52" applyFont="1" applyFill="1" applyBorder="1"/>
    <xf numFmtId="0" fontId="37" fillId="0" borderId="12" xfId="0" applyFont="1" applyBorder="1"/>
    <xf numFmtId="164" fontId="45" fillId="0" borderId="19" xfId="0" applyNumberFormat="1" applyFont="1" applyBorder="1"/>
    <xf numFmtId="4" fontId="40" fillId="0" borderId="13" xfId="37" applyFont="1" applyBorder="1"/>
    <xf numFmtId="164" fontId="54" fillId="0" borderId="20" xfId="2" applyNumberFormat="1" applyFont="1" applyFill="1" applyBorder="1"/>
    <xf numFmtId="0" fontId="48" fillId="29" borderId="14" xfId="0" applyFont="1" applyFill="1" applyBorder="1"/>
    <xf numFmtId="0" fontId="40" fillId="0" borderId="0" xfId="0" applyFont="1" applyAlignment="1">
      <alignment horizontal="center"/>
    </xf>
    <xf numFmtId="0" fontId="54" fillId="0" borderId="0" xfId="0" applyFont="1"/>
    <xf numFmtId="43" fontId="54" fillId="0" borderId="0" xfId="52" applyFont="1" applyFill="1" applyBorder="1"/>
    <xf numFmtId="164" fontId="54" fillId="0" borderId="0" xfId="0" applyNumberFormat="1" applyFont="1"/>
    <xf numFmtId="8" fontId="40" fillId="0" borderId="0" xfId="0" applyNumberFormat="1" applyFont="1"/>
    <xf numFmtId="3" fontId="40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0" fontId="26" fillId="0" borderId="0" xfId="0" applyFont="1"/>
    <xf numFmtId="4" fontId="39" fillId="0" borderId="30" xfId="37" applyFont="1" applyBorder="1"/>
    <xf numFmtId="3" fontId="39" fillId="0" borderId="30" xfId="37" applyNumberFormat="1" applyFont="1" applyBorder="1" applyAlignment="1">
      <alignment horizontal="center"/>
    </xf>
    <xf numFmtId="8" fontId="52" fillId="29" borderId="15" xfId="0" applyNumberFormat="1" applyFont="1" applyFill="1" applyBorder="1"/>
    <xf numFmtId="10" fontId="40" fillId="0" borderId="29" xfId="37" applyNumberFormat="1" applyFont="1" applyBorder="1" applyAlignment="1">
      <alignment horizontal="center"/>
    </xf>
    <xf numFmtId="10" fontId="40" fillId="0" borderId="32" xfId="37" applyNumberFormat="1" applyFont="1" applyBorder="1" applyAlignment="1">
      <alignment horizontal="center"/>
    </xf>
    <xf numFmtId="4" fontId="39" fillId="27" borderId="28" xfId="37" applyFont="1" applyFill="1" applyBorder="1"/>
    <xf numFmtId="4" fontId="39" fillId="27" borderId="29" xfId="37" applyFont="1" applyFill="1" applyBorder="1" applyAlignment="1">
      <alignment vertical="center" wrapText="1"/>
    </xf>
    <xf numFmtId="4" fontId="39" fillId="27" borderId="29" xfId="37" applyFont="1" applyFill="1" applyBorder="1" applyAlignment="1">
      <alignment horizontal="left" vertical="center"/>
    </xf>
    <xf numFmtId="4" fontId="39" fillId="27" borderId="29" xfId="37" applyFont="1" applyFill="1" applyBorder="1"/>
    <xf numFmtId="4" fontId="39" fillId="27" borderId="42" xfId="37" applyFont="1" applyFill="1" applyBorder="1" applyAlignment="1">
      <alignment vertical="center" wrapText="1"/>
    </xf>
    <xf numFmtId="0" fontId="25" fillId="0" borderId="16" xfId="0" applyFont="1" applyBorder="1" applyAlignment="1">
      <alignment horizontal="left" vertical="top"/>
    </xf>
    <xf numFmtId="0" fontId="25" fillId="0" borderId="16" xfId="0" applyFont="1" applyBorder="1"/>
    <xf numFmtId="0" fontId="25" fillId="0" borderId="13" xfId="0" applyFont="1" applyBorder="1"/>
    <xf numFmtId="4" fontId="33" fillId="26" borderId="33" xfId="37" applyFont="1" applyFill="1" applyBorder="1" applyAlignment="1">
      <alignment horizontal="center" vertical="center"/>
    </xf>
    <xf numFmtId="8" fontId="25" fillId="0" borderId="41" xfId="0" applyNumberFormat="1" applyFont="1" applyBorder="1"/>
    <xf numFmtId="8" fontId="25" fillId="0" borderId="45" xfId="0" applyNumberFormat="1" applyFont="1" applyBorder="1"/>
    <xf numFmtId="8" fontId="25" fillId="0" borderId="30" xfId="0" applyNumberFormat="1" applyFont="1" applyBorder="1"/>
    <xf numFmtId="0" fontId="52" fillId="0" borderId="0" xfId="0" applyFont="1"/>
    <xf numFmtId="4" fontId="27" fillId="0" borderId="0" xfId="37" applyFont="1"/>
    <xf numFmtId="169" fontId="0" fillId="0" borderId="0" xfId="0" applyNumberFormat="1"/>
    <xf numFmtId="4" fontId="55" fillId="0" borderId="45" xfId="37" applyFont="1" applyBorder="1" applyAlignment="1">
      <alignment vertical="center"/>
    </xf>
    <xf numFmtId="4" fontId="33" fillId="26" borderId="15" xfId="37" applyFont="1" applyFill="1" applyBorder="1" applyAlignment="1">
      <alignment horizontal="center" vertical="center"/>
    </xf>
    <xf numFmtId="4" fontId="33" fillId="27" borderId="23" xfId="37" applyFont="1" applyFill="1" applyBorder="1" applyAlignment="1">
      <alignment horizontal="center" vertical="center"/>
    </xf>
    <xf numFmtId="4" fontId="33" fillId="30" borderId="23" xfId="37" applyFont="1" applyFill="1" applyBorder="1" applyAlignment="1">
      <alignment horizontal="center" vertical="center"/>
    </xf>
    <xf numFmtId="4" fontId="33" fillId="31" borderId="23" xfId="37" applyFont="1" applyFill="1" applyBorder="1" applyAlignment="1">
      <alignment horizontal="center" vertical="center"/>
    </xf>
    <xf numFmtId="4" fontId="33" fillId="32" borderId="15" xfId="37" applyFont="1" applyFill="1" applyBorder="1" applyAlignment="1">
      <alignment horizontal="center" vertical="center"/>
    </xf>
    <xf numFmtId="0" fontId="25" fillId="0" borderId="0" xfId="0" applyFont="1"/>
    <xf numFmtId="1" fontId="0" fillId="0" borderId="0" xfId="0" applyNumberFormat="1"/>
    <xf numFmtId="4" fontId="27" fillId="0" borderId="33" xfId="37" applyFont="1" applyBorder="1" applyAlignment="1">
      <alignment horizontal="center"/>
    </xf>
    <xf numFmtId="4" fontId="27" fillId="0" borderId="23" xfId="37" applyFont="1" applyBorder="1" applyAlignment="1">
      <alignment horizontal="center"/>
    </xf>
    <xf numFmtId="4" fontId="27" fillId="0" borderId="15" xfId="37" applyFont="1" applyBorder="1" applyAlignment="1">
      <alignment horizontal="center"/>
    </xf>
    <xf numFmtId="0" fontId="25" fillId="0" borderId="45" xfId="0" applyFont="1" applyBorder="1"/>
    <xf numFmtId="0" fontId="0" fillId="0" borderId="18" xfId="0" applyBorder="1"/>
    <xf numFmtId="169" fontId="4" fillId="0" borderId="0" xfId="37" applyNumberFormat="1"/>
    <xf numFmtId="1" fontId="4" fillId="0" borderId="0" xfId="37" applyNumberFormat="1"/>
    <xf numFmtId="4" fontId="27" fillId="0" borderId="41" xfId="37" applyFont="1" applyBorder="1"/>
    <xf numFmtId="0" fontId="25" fillId="0" borderId="41" xfId="0" applyFont="1" applyBorder="1"/>
    <xf numFmtId="0" fontId="0" fillId="0" borderId="19" xfId="0" applyBorder="1"/>
    <xf numFmtId="14" fontId="27" fillId="0" borderId="41" xfId="37" applyNumberFormat="1" applyFont="1" applyBorder="1"/>
    <xf numFmtId="4" fontId="27" fillId="0" borderId="30" xfId="37" applyFont="1" applyBorder="1"/>
    <xf numFmtId="4" fontId="27" fillId="0" borderId="30" xfId="37" applyFont="1" applyBorder="1" applyAlignment="1">
      <alignment horizontal="center"/>
    </xf>
    <xf numFmtId="4" fontId="27" fillId="0" borderId="20" xfId="37" applyFont="1" applyBorder="1" applyAlignment="1">
      <alignment horizontal="center"/>
    </xf>
    <xf numFmtId="0" fontId="25" fillId="0" borderId="30" xfId="0" applyFont="1" applyBorder="1"/>
    <xf numFmtId="0" fontId="0" fillId="0" borderId="20" xfId="0" applyBorder="1"/>
    <xf numFmtId="4" fontId="33" fillId="0" borderId="0" xfId="37" applyFont="1" applyAlignment="1">
      <alignment vertical="center"/>
    </xf>
    <xf numFmtId="4" fontId="33" fillId="0" borderId="0" xfId="37" applyFont="1" applyAlignment="1">
      <alignment horizontal="center" vertical="center"/>
    </xf>
    <xf numFmtId="4" fontId="34" fillId="0" borderId="0" xfId="37" applyFont="1" applyAlignment="1">
      <alignment horizontal="center"/>
    </xf>
    <xf numFmtId="4" fontId="33" fillId="0" borderId="0" xfId="37" applyFont="1" applyAlignment="1">
      <alignment horizontal="center"/>
    </xf>
    <xf numFmtId="169" fontId="33" fillId="0" borderId="0" xfId="37" applyNumberFormat="1" applyFont="1" applyAlignment="1">
      <alignment horizontal="center" vertical="center"/>
    </xf>
    <xf numFmtId="169" fontId="34" fillId="0" borderId="0" xfId="37" quotePrefix="1" applyNumberFormat="1" applyFont="1" applyAlignment="1">
      <alignment horizontal="center" vertical="center"/>
    </xf>
    <xf numFmtId="169" fontId="34" fillId="0" borderId="0" xfId="37" applyNumberFormat="1" applyFont="1" applyAlignment="1">
      <alignment horizontal="center"/>
    </xf>
    <xf numFmtId="4" fontId="4" fillId="36" borderId="0" xfId="37" applyFill="1"/>
    <xf numFmtId="14" fontId="4" fillId="0" borderId="0" xfId="37" applyNumberFormat="1"/>
    <xf numFmtId="4" fontId="33" fillId="0" borderId="16" xfId="37" applyFont="1" applyBorder="1"/>
    <xf numFmtId="4" fontId="29" fillId="0" borderId="23" xfId="37" applyFont="1" applyBorder="1"/>
    <xf numFmtId="3" fontId="4" fillId="0" borderId="51" xfId="37" applyNumberFormat="1" applyBorder="1" applyAlignment="1">
      <alignment horizontal="center"/>
    </xf>
    <xf numFmtId="3" fontId="4" fillId="0" borderId="52" xfId="37" applyNumberFormat="1" applyBorder="1" applyAlignment="1">
      <alignment horizontal="center"/>
    </xf>
    <xf numFmtId="3" fontId="4" fillId="0" borderId="53" xfId="37" applyNumberFormat="1" applyBorder="1" applyAlignment="1">
      <alignment horizontal="center"/>
    </xf>
    <xf numFmtId="3" fontId="39" fillId="0" borderId="23" xfId="37" applyNumberFormat="1" applyFont="1" applyBorder="1" applyAlignment="1">
      <alignment horizontal="center"/>
    </xf>
    <xf numFmtId="4" fontId="33" fillId="0" borderId="0" xfId="37" applyFont="1" applyAlignment="1">
      <alignment vertical="center" wrapText="1"/>
    </xf>
    <xf numFmtId="3" fontId="34" fillId="0" borderId="0" xfId="37" applyNumberFormat="1" applyFont="1" applyAlignment="1">
      <alignment horizontal="center" vertical="center"/>
    </xf>
    <xf numFmtId="0" fontId="45" fillId="0" borderId="45" xfId="0" applyFont="1" applyBorder="1"/>
    <xf numFmtId="2" fontId="34" fillId="0" borderId="0" xfId="37" applyNumberFormat="1" applyFont="1" applyAlignment="1">
      <alignment horizontal="center"/>
    </xf>
    <xf numFmtId="164" fontId="45" fillId="0" borderId="41" xfId="0" applyNumberFormat="1" applyFont="1" applyBorder="1"/>
    <xf numFmtId="10" fontId="34" fillId="0" borderId="0" xfId="37" applyNumberFormat="1" applyFont="1" applyAlignment="1">
      <alignment horizontal="center"/>
    </xf>
    <xf numFmtId="10" fontId="30" fillId="0" borderId="0" xfId="2" applyNumberFormat="1" applyFont="1" applyFill="1"/>
    <xf numFmtId="169" fontId="58" fillId="0" borderId="0" xfId="37" applyNumberFormat="1" applyFont="1" applyAlignment="1">
      <alignment horizontal="center" vertical="center"/>
    </xf>
    <xf numFmtId="169" fontId="35" fillId="0" borderId="0" xfId="37" applyNumberFormat="1" applyFont="1" applyAlignment="1">
      <alignment horizontal="center" vertical="center"/>
    </xf>
    <xf numFmtId="169" fontId="35" fillId="0" borderId="0" xfId="37" applyNumberFormat="1" applyFont="1" applyAlignment="1">
      <alignment horizontal="center"/>
    </xf>
    <xf numFmtId="164" fontId="4" fillId="0" borderId="30" xfId="2" applyNumberFormat="1" applyFont="1" applyFill="1" applyBorder="1"/>
    <xf numFmtId="9" fontId="45" fillId="0" borderId="0" xfId="0" applyNumberFormat="1" applyFont="1"/>
    <xf numFmtId="0" fontId="59" fillId="29" borderId="23" xfId="0" applyFont="1" applyFill="1" applyBorder="1"/>
    <xf numFmtId="8" fontId="52" fillId="29" borderId="23" xfId="0" applyNumberFormat="1" applyFont="1" applyFill="1" applyBorder="1"/>
    <xf numFmtId="170" fontId="34" fillId="0" borderId="0" xfId="37" applyNumberFormat="1" applyFont="1" applyAlignment="1">
      <alignment horizontal="center" vertical="center"/>
    </xf>
    <xf numFmtId="169" fontId="34" fillId="0" borderId="0" xfId="2" applyNumberFormat="1" applyFont="1" applyFill="1" applyAlignment="1">
      <alignment horizontal="center" vertical="center"/>
    </xf>
    <xf numFmtId="169" fontId="33" fillId="0" borderId="0" xfId="2" applyNumberFormat="1" applyFont="1" applyFill="1" applyAlignment="1">
      <alignment horizontal="center" vertical="center"/>
    </xf>
    <xf numFmtId="169" fontId="34" fillId="0" borderId="0" xfId="2" applyNumberFormat="1" applyFont="1" applyFill="1" applyAlignment="1">
      <alignment horizontal="center"/>
    </xf>
    <xf numFmtId="3" fontId="34" fillId="0" borderId="0" xfId="37" applyNumberFormat="1" applyFont="1" applyAlignment="1">
      <alignment horizontal="center"/>
    </xf>
    <xf numFmtId="169" fontId="27" fillId="0" borderId="0" xfId="2" applyNumberFormat="1" applyFont="1" applyFill="1"/>
    <xf numFmtId="9" fontId="34" fillId="0" borderId="0" xfId="37" applyNumberFormat="1" applyFont="1" applyAlignment="1">
      <alignment horizontal="center"/>
    </xf>
    <xf numFmtId="10" fontId="34" fillId="0" borderId="0" xfId="2" applyNumberFormat="1" applyFont="1" applyFill="1" applyBorder="1" applyAlignment="1">
      <alignment horizontal="center"/>
    </xf>
    <xf numFmtId="4" fontId="60" fillId="0" borderId="0" xfId="37" applyFont="1"/>
    <xf numFmtId="4" fontId="29" fillId="0" borderId="0" xfId="37" applyFont="1"/>
    <xf numFmtId="4" fontId="34" fillId="0" borderId="0" xfId="37" applyFont="1" applyAlignment="1">
      <alignment horizontal="left" vertical="center"/>
    </xf>
    <xf numFmtId="4" fontId="33" fillId="0" borderId="0" xfId="37" applyFont="1" applyAlignment="1">
      <alignment horizontal="left" vertical="center"/>
    </xf>
    <xf numFmtId="3" fontId="4" fillId="0" borderId="0" xfId="37" applyNumberFormat="1" applyAlignment="1">
      <alignment horizontal="center"/>
    </xf>
    <xf numFmtId="0" fontId="2" fillId="0" borderId="0" xfId="0" applyFont="1" applyAlignment="1">
      <alignment horizontal="center"/>
    </xf>
    <xf numFmtId="3" fontId="26" fillId="0" borderId="0" xfId="37" applyNumberFormat="1" applyFont="1" applyAlignment="1">
      <alignment horizontal="center"/>
    </xf>
    <xf numFmtId="3" fontId="0" fillId="0" borderId="0" xfId="1" applyNumberFormat="1" applyFont="1" applyFill="1" applyBorder="1"/>
    <xf numFmtId="3" fontId="25" fillId="0" borderId="0" xfId="1" applyNumberFormat="1" applyFont="1" applyFill="1" applyBorder="1"/>
    <xf numFmtId="3" fontId="25" fillId="0" borderId="0" xfId="0" applyNumberFormat="1" applyFont="1"/>
    <xf numFmtId="3" fontId="0" fillId="0" borderId="0" xfId="0" applyNumberFormat="1"/>
    <xf numFmtId="0" fontId="61" fillId="0" borderId="0" xfId="0" applyFont="1" applyAlignment="1">
      <alignment wrapText="1"/>
    </xf>
    <xf numFmtId="44" fontId="25" fillId="0" borderId="0" xfId="0" applyNumberFormat="1" applyFont="1" applyAlignment="1">
      <alignment horizontal="center" vertical="top"/>
    </xf>
    <xf numFmtId="9" fontId="61" fillId="0" borderId="0" xfId="0" applyNumberFormat="1" applyFont="1" applyAlignment="1">
      <alignment horizontal="center" vertical="top" wrapText="1"/>
    </xf>
    <xf numFmtId="44" fontId="25" fillId="0" borderId="0" xfId="0" applyNumberFormat="1" applyFont="1"/>
    <xf numFmtId="44" fontId="25" fillId="0" borderId="0" xfId="1" applyFont="1" applyFill="1" applyBorder="1"/>
    <xf numFmtId="0" fontId="25" fillId="28" borderId="0" xfId="0" applyFont="1" applyFill="1"/>
    <xf numFmtId="44" fontId="0" fillId="0" borderId="0" xfId="0" applyNumberFormat="1"/>
    <xf numFmtId="44" fontId="0" fillId="0" borderId="0" xfId="1" applyFont="1" applyFill="1" applyBorder="1"/>
    <xf numFmtId="166" fontId="0" fillId="0" borderId="0" xfId="0" applyNumberFormat="1"/>
    <xf numFmtId="9" fontId="0" fillId="0" borderId="0" xfId="0" applyNumberFormat="1"/>
    <xf numFmtId="166" fontId="25" fillId="0" borderId="0" xfId="0" applyNumberFormat="1" applyFont="1"/>
    <xf numFmtId="167" fontId="25" fillId="0" borderId="0" xfId="0" applyNumberFormat="1" applyFont="1"/>
    <xf numFmtId="168" fontId="0" fillId="0" borderId="0" xfId="0" applyNumberFormat="1"/>
    <xf numFmtId="10" fontId="25" fillId="0" borderId="0" xfId="0" applyNumberFormat="1" applyFont="1"/>
    <xf numFmtId="10" fontId="0" fillId="0" borderId="0" xfId="0" applyNumberFormat="1"/>
    <xf numFmtId="164" fontId="0" fillId="0" borderId="0" xfId="0" applyNumberFormat="1"/>
    <xf numFmtId="10" fontId="0" fillId="0" borderId="0" xfId="2" applyNumberFormat="1" applyFont="1" applyFill="1" applyBorder="1"/>
    <xf numFmtId="0" fontId="62" fillId="0" borderId="0" xfId="0" applyFont="1"/>
    <xf numFmtId="0" fontId="0" fillId="0" borderId="0" xfId="0" applyAlignment="1">
      <alignment horizontal="right"/>
    </xf>
    <xf numFmtId="44" fontId="0" fillId="0" borderId="0" xfId="1" applyFont="1" applyFill="1" applyBorder="1" applyAlignment="1">
      <alignment horizontal="left"/>
    </xf>
    <xf numFmtId="4" fontId="33" fillId="30" borderId="33" xfId="37" applyFont="1" applyFill="1" applyBorder="1" applyAlignment="1">
      <alignment horizontal="center" vertical="center"/>
    </xf>
    <xf numFmtId="4" fontId="33" fillId="32" borderId="23" xfId="37" applyFont="1" applyFill="1" applyBorder="1" applyAlignment="1">
      <alignment horizontal="center" vertical="center"/>
    </xf>
    <xf numFmtId="169" fontId="34" fillId="0" borderId="12" xfId="37" applyNumberFormat="1" applyFont="1" applyBorder="1" applyAlignment="1">
      <alignment horizontal="center" vertical="center"/>
    </xf>
    <xf numFmtId="4" fontId="27" fillId="0" borderId="11" xfId="37" applyFont="1" applyBorder="1" applyAlignment="1">
      <alignment horizontal="center"/>
    </xf>
    <xf numFmtId="169" fontId="34" fillId="0" borderId="45" xfId="37" applyNumberFormat="1" applyFont="1" applyBorder="1" applyAlignment="1">
      <alignment horizontal="center" vertical="center"/>
    </xf>
    <xf numFmtId="4" fontId="33" fillId="31" borderId="16" xfId="37" applyFont="1" applyFill="1" applyBorder="1" applyAlignment="1">
      <alignment horizontal="center" vertical="center"/>
    </xf>
    <xf numFmtId="4" fontId="33" fillId="31" borderId="17" xfId="37" applyFont="1" applyFill="1" applyBorder="1" applyAlignment="1">
      <alignment horizontal="center" vertical="center"/>
    </xf>
    <xf numFmtId="4" fontId="33" fillId="32" borderId="16" xfId="37" applyFont="1" applyFill="1" applyBorder="1" applyAlignment="1">
      <alignment horizontal="center" vertical="center"/>
    </xf>
    <xf numFmtId="4" fontId="33" fillId="32" borderId="18" xfId="37" applyFont="1" applyFill="1" applyBorder="1" applyAlignment="1">
      <alignment horizontal="center" vertical="center"/>
    </xf>
    <xf numFmtId="4" fontId="33" fillId="26" borderId="14" xfId="37" applyFont="1" applyFill="1" applyBorder="1" applyAlignment="1">
      <alignment horizontal="center" vertical="center"/>
    </xf>
    <xf numFmtId="4" fontId="33" fillId="26" borderId="33" xfId="37" applyFont="1" applyFill="1" applyBorder="1" applyAlignment="1">
      <alignment horizontal="center" vertical="center"/>
    </xf>
    <xf numFmtId="4" fontId="33" fillId="27" borderId="16" xfId="37" applyFont="1" applyFill="1" applyBorder="1" applyAlignment="1">
      <alignment horizontal="center" vertical="center"/>
    </xf>
    <xf numFmtId="4" fontId="33" fillId="27" borderId="17" xfId="37" applyFont="1" applyFill="1" applyBorder="1" applyAlignment="1">
      <alignment horizontal="center" vertical="center"/>
    </xf>
    <xf numFmtId="4" fontId="33" fillId="30" borderId="16" xfId="37" applyFont="1" applyFill="1" applyBorder="1" applyAlignment="1">
      <alignment horizontal="center" vertical="center"/>
    </xf>
    <xf numFmtId="4" fontId="33" fillId="30" borderId="17" xfId="37" applyFont="1" applyFill="1" applyBorder="1" applyAlignment="1">
      <alignment horizontal="center" vertical="center"/>
    </xf>
    <xf numFmtId="4" fontId="39" fillId="26" borderId="14" xfId="37" applyFont="1" applyFill="1" applyBorder="1" applyAlignment="1">
      <alignment horizontal="center" vertical="center"/>
    </xf>
    <xf numFmtId="4" fontId="39" fillId="26" borderId="33" xfId="37" applyFont="1" applyFill="1" applyBorder="1" applyAlignment="1">
      <alignment horizontal="center" vertical="center"/>
    </xf>
    <xf numFmtId="4" fontId="39" fillId="26" borderId="15" xfId="37" applyFont="1" applyFill="1" applyBorder="1" applyAlignment="1">
      <alignment horizontal="center" vertical="center"/>
    </xf>
    <xf numFmtId="4" fontId="39" fillId="27" borderId="14" xfId="37" applyFont="1" applyFill="1" applyBorder="1" applyAlignment="1">
      <alignment horizontal="center" vertical="center"/>
    </xf>
    <xf numFmtId="4" fontId="39" fillId="27" borderId="33" xfId="37" applyFont="1" applyFill="1" applyBorder="1" applyAlignment="1">
      <alignment horizontal="center" vertical="center"/>
    </xf>
    <xf numFmtId="4" fontId="39" fillId="27" borderId="15" xfId="37" applyFont="1" applyFill="1" applyBorder="1" applyAlignment="1">
      <alignment horizontal="center" vertical="center"/>
    </xf>
    <xf numFmtId="4" fontId="39" fillId="30" borderId="14" xfId="37" applyFont="1" applyFill="1" applyBorder="1" applyAlignment="1">
      <alignment horizontal="center" vertical="center"/>
    </xf>
    <xf numFmtId="4" fontId="39" fillId="30" borderId="33" xfId="37" applyFont="1" applyFill="1" applyBorder="1" applyAlignment="1">
      <alignment horizontal="center" vertical="center"/>
    </xf>
    <xf numFmtId="4" fontId="39" fillId="30" borderId="15" xfId="37" applyFont="1" applyFill="1" applyBorder="1" applyAlignment="1">
      <alignment horizontal="center" vertical="center"/>
    </xf>
    <xf numFmtId="4" fontId="39" fillId="31" borderId="14" xfId="37" applyFont="1" applyFill="1" applyBorder="1" applyAlignment="1">
      <alignment horizontal="center" vertical="center"/>
    </xf>
    <xf numFmtId="4" fontId="39" fillId="31" borderId="33" xfId="37" applyFont="1" applyFill="1" applyBorder="1" applyAlignment="1">
      <alignment horizontal="center" vertical="center"/>
    </xf>
    <xf numFmtId="4" fontId="39" fillId="31" borderId="15" xfId="37" applyFont="1" applyFill="1" applyBorder="1" applyAlignment="1">
      <alignment horizontal="center" vertical="center"/>
    </xf>
    <xf numFmtId="4" fontId="39" fillId="32" borderId="14" xfId="37" applyFont="1" applyFill="1" applyBorder="1" applyAlignment="1">
      <alignment horizontal="center" vertical="center"/>
    </xf>
    <xf numFmtId="4" fontId="39" fillId="32" borderId="33" xfId="37" applyFont="1" applyFill="1" applyBorder="1" applyAlignment="1">
      <alignment horizontal="center" vertical="center"/>
    </xf>
    <xf numFmtId="4" fontId="39" fillId="32" borderId="15" xfId="37" applyFont="1" applyFill="1" applyBorder="1" applyAlignment="1">
      <alignment horizontal="center" vertical="center"/>
    </xf>
    <xf numFmtId="4" fontId="33" fillId="0" borderId="0" xfId="37" applyFont="1" applyAlignment="1">
      <alignment horizontal="center" vertical="center"/>
    </xf>
  </cellXfs>
  <cellStyles count="53">
    <cellStyle name="20% - Énfasis1 2" xfId="4" xr:uid="{00000000-0005-0000-0000-000000000000}"/>
    <cellStyle name="20% - Énfasis2 2" xfId="5" xr:uid="{00000000-0005-0000-0000-000001000000}"/>
    <cellStyle name="20% - Énfasis3 2" xfId="6" xr:uid="{00000000-0005-0000-0000-000002000000}"/>
    <cellStyle name="20% - Énfasis4 2" xfId="7" xr:uid="{00000000-0005-0000-0000-000003000000}"/>
    <cellStyle name="20% - Énfasis5 2" xfId="8" xr:uid="{00000000-0005-0000-0000-000004000000}"/>
    <cellStyle name="20% - Énfasis6 2" xfId="9" xr:uid="{00000000-0005-0000-0000-000005000000}"/>
    <cellStyle name="40% - Énfasis1 2" xfId="10" xr:uid="{00000000-0005-0000-0000-000006000000}"/>
    <cellStyle name="40% - Énfasis2 2" xfId="11" xr:uid="{00000000-0005-0000-0000-000007000000}"/>
    <cellStyle name="40% - Énfasis3 2" xfId="12" xr:uid="{00000000-0005-0000-0000-000008000000}"/>
    <cellStyle name="40% - Énfasis4 2" xfId="13" xr:uid="{00000000-0005-0000-0000-000009000000}"/>
    <cellStyle name="40% - Énfasis5 2" xfId="14" xr:uid="{00000000-0005-0000-0000-00000A000000}"/>
    <cellStyle name="40% - Énfasis6 2" xfId="15" xr:uid="{00000000-0005-0000-0000-00000B000000}"/>
    <cellStyle name="60% - Énfasis1 2" xfId="16" xr:uid="{00000000-0005-0000-0000-00000C000000}"/>
    <cellStyle name="60% - Énfasis2 2" xfId="17" xr:uid="{00000000-0005-0000-0000-00000D000000}"/>
    <cellStyle name="60% - Énfasis3 2" xfId="18" xr:uid="{00000000-0005-0000-0000-00000E000000}"/>
    <cellStyle name="60% - Énfasis4 2" xfId="19" xr:uid="{00000000-0005-0000-0000-00000F000000}"/>
    <cellStyle name="60% - Énfasis5 2" xfId="20" xr:uid="{00000000-0005-0000-0000-000010000000}"/>
    <cellStyle name="60% - Énfasis6 2" xfId="21" xr:uid="{00000000-0005-0000-0000-000011000000}"/>
    <cellStyle name="Buena 2" xfId="22" xr:uid="{00000000-0005-0000-0000-000012000000}"/>
    <cellStyle name="Cálculo 2" xfId="23" xr:uid="{00000000-0005-0000-0000-000013000000}"/>
    <cellStyle name="Celda de comprobación 2" xfId="24" xr:uid="{00000000-0005-0000-0000-000014000000}"/>
    <cellStyle name="Celda vinculada 2" xfId="25" xr:uid="{00000000-0005-0000-0000-000015000000}"/>
    <cellStyle name="Encabezado 4 2" xfId="26" xr:uid="{00000000-0005-0000-0000-000016000000}"/>
    <cellStyle name="Énfasis1 2" xfId="27" xr:uid="{00000000-0005-0000-0000-000017000000}"/>
    <cellStyle name="Énfasis2 2" xfId="28" xr:uid="{00000000-0005-0000-0000-000018000000}"/>
    <cellStyle name="Énfasis3 2" xfId="29" xr:uid="{00000000-0005-0000-0000-000019000000}"/>
    <cellStyle name="Énfasis4 2" xfId="30" xr:uid="{00000000-0005-0000-0000-00001A000000}"/>
    <cellStyle name="Énfasis5 2" xfId="31" xr:uid="{00000000-0005-0000-0000-00001B000000}"/>
    <cellStyle name="Énfasis6 2" xfId="32" xr:uid="{00000000-0005-0000-0000-00001C000000}"/>
    <cellStyle name="Entrada 2" xfId="33" xr:uid="{00000000-0005-0000-0000-00001D000000}"/>
    <cellStyle name="Euro" xfId="34" xr:uid="{00000000-0005-0000-0000-00001E000000}"/>
    <cellStyle name="Incorrecto 2" xfId="35" xr:uid="{00000000-0005-0000-0000-00001F000000}"/>
    <cellStyle name="Millares" xfId="52" builtinId="3"/>
    <cellStyle name="Moneda" xfId="1" builtinId="4"/>
    <cellStyle name="Neutral 2" xfId="36" xr:uid="{00000000-0005-0000-0000-000021000000}"/>
    <cellStyle name="Normal" xfId="0" builtinId="0"/>
    <cellStyle name="Normal 2" xfId="3" xr:uid="{00000000-0005-0000-0000-000023000000}"/>
    <cellStyle name="Normal_Alcudia Beach" xfId="37" xr:uid="{00000000-0005-0000-0000-000024000000}"/>
    <cellStyle name="Notas 2" xfId="38" xr:uid="{00000000-0005-0000-0000-000025000000}"/>
    <cellStyle name="Porcentaje" xfId="2" builtinId="5"/>
    <cellStyle name="Porcentaje 2" xfId="39" xr:uid="{00000000-0005-0000-0000-000027000000}"/>
    <cellStyle name="Salida 2" xfId="40" xr:uid="{00000000-0005-0000-0000-000028000000}"/>
    <cellStyle name="SAPBEXchaText" xfId="41" xr:uid="{00000000-0005-0000-0000-000029000000}"/>
    <cellStyle name="SAPBEXformats" xfId="42" xr:uid="{00000000-0005-0000-0000-00002A000000}"/>
    <cellStyle name="SAPBEXstdData" xfId="43" xr:uid="{00000000-0005-0000-0000-00002B000000}"/>
    <cellStyle name="SAPBEXstdItem" xfId="44" xr:uid="{00000000-0005-0000-0000-00002C000000}"/>
    <cellStyle name="Texto de advertencia 2" xfId="45" xr:uid="{00000000-0005-0000-0000-00002D000000}"/>
    <cellStyle name="Texto explicativo 2" xfId="46" xr:uid="{00000000-0005-0000-0000-00002E000000}"/>
    <cellStyle name="Título 1 2" xfId="48" xr:uid="{00000000-0005-0000-0000-00002F000000}"/>
    <cellStyle name="Título 2 2" xfId="49" xr:uid="{00000000-0005-0000-0000-000030000000}"/>
    <cellStyle name="Título 3 2" xfId="50" xr:uid="{00000000-0005-0000-0000-000031000000}"/>
    <cellStyle name="Título 4" xfId="47" xr:uid="{00000000-0005-0000-0000-000032000000}"/>
    <cellStyle name="Total 2" xfId="51" xr:uid="{00000000-0005-0000-0000-000033000000}"/>
  </cellStyles>
  <dxfs count="0"/>
  <tableStyles count="0" defaultTableStyle="TableStyleMedium2" defaultPivotStyle="PivotStyleLight16"/>
  <colors>
    <mruColors>
      <color rgb="FFFF4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812800</xdr:colOff>
      <xdr:row>6</xdr:row>
      <xdr:rowOff>25400</xdr:rowOff>
    </xdr:from>
    <xdr:to>
      <xdr:col>9</xdr:col>
      <xdr:colOff>381000</xdr:colOff>
      <xdr:row>21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63E241-6510-A4CA-B1E6-9E10F0C5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1168400"/>
          <a:ext cx="6172200" cy="2971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quelAngelSerraMoll/Desktop/Doctorat/Article%20Valoracio&#769;/CAEPIA/Calculations_CAEPIA/Calculations_AIMS.xlsx" TargetMode="External"/><Relationship Id="rId1" Type="http://schemas.openxmlformats.org/officeDocument/2006/relationships/externalLinkPath" Target="Calculations_A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  <sheetName val="Variables"/>
      <sheetName val="Maximum Operator"/>
      <sheetName val="Minimum Operator"/>
      <sheetName val="Arithmetic Mean"/>
      <sheetName val="M1w1"/>
      <sheetName val="M1w2"/>
      <sheetName val="M1w3"/>
      <sheetName val="M1w4"/>
      <sheetName val="M1w5"/>
      <sheetName val="M2w1"/>
      <sheetName val="M2w2"/>
      <sheetName val="M2w5"/>
    </sheetNames>
    <sheetDataSet>
      <sheetData sheetId="0"/>
      <sheetData sheetId="1">
        <row r="9">
          <cell r="C9">
            <v>2.8</v>
          </cell>
          <cell r="D9">
            <v>3.1</v>
          </cell>
          <cell r="F9">
            <v>2.7949999999999999</v>
          </cell>
          <cell r="G9">
            <v>3.11</v>
          </cell>
          <cell r="I9">
            <v>2.79</v>
          </cell>
          <cell r="J9">
            <v>3.12</v>
          </cell>
          <cell r="L9">
            <v>2.78</v>
          </cell>
          <cell r="M9">
            <v>3.13</v>
          </cell>
          <cell r="O9">
            <v>2.77</v>
          </cell>
          <cell r="P9">
            <v>3.15</v>
          </cell>
        </row>
        <row r="11">
          <cell r="C11">
            <v>0.78</v>
          </cell>
          <cell r="D11">
            <v>0.81</v>
          </cell>
          <cell r="F11">
            <v>0.77</v>
          </cell>
          <cell r="G11">
            <v>0.82</v>
          </cell>
          <cell r="I11">
            <v>0.76500000000000001</v>
          </cell>
          <cell r="J11">
            <v>0.82499999999999996</v>
          </cell>
          <cell r="L11">
            <v>0.76</v>
          </cell>
          <cell r="M11">
            <v>0.83</v>
          </cell>
          <cell r="O11">
            <v>0.75</v>
          </cell>
          <cell r="P11">
            <v>0.83499999999999996</v>
          </cell>
        </row>
        <row r="15">
          <cell r="C15">
            <v>35.5</v>
          </cell>
          <cell r="D15">
            <v>37</v>
          </cell>
          <cell r="F15">
            <v>36</v>
          </cell>
          <cell r="G15">
            <v>38</v>
          </cell>
          <cell r="I15">
            <v>36.25</v>
          </cell>
          <cell r="J15">
            <v>38.5</v>
          </cell>
          <cell r="L15">
            <v>36.5</v>
          </cell>
          <cell r="M15">
            <v>39</v>
          </cell>
          <cell r="O15">
            <v>36.75</v>
          </cell>
          <cell r="P15">
            <v>39.5</v>
          </cell>
        </row>
        <row r="24">
          <cell r="C24">
            <v>0.22500000000000001</v>
          </cell>
          <cell r="D24">
            <v>0.27</v>
          </cell>
          <cell r="F24">
            <v>0.22</v>
          </cell>
          <cell r="G24">
            <v>0.28000000000000003</v>
          </cell>
          <cell r="I24">
            <v>0.215</v>
          </cell>
          <cell r="J24">
            <v>0.28499999999999998</v>
          </cell>
          <cell r="L24">
            <v>0.21249999999999999</v>
          </cell>
          <cell r="M24">
            <v>0.28999999999999998</v>
          </cell>
          <cell r="O24">
            <v>0.21</v>
          </cell>
          <cell r="P24">
            <v>0.3</v>
          </cell>
        </row>
        <row r="26">
          <cell r="C26">
            <v>0.04</v>
          </cell>
          <cell r="D26">
            <v>0.02</v>
          </cell>
          <cell r="F26">
            <v>0.04</v>
          </cell>
          <cell r="G26">
            <v>0.02</v>
          </cell>
          <cell r="I26">
            <v>0.04</v>
          </cell>
          <cell r="J26">
            <v>0.02</v>
          </cell>
          <cell r="L26">
            <v>0.04</v>
          </cell>
          <cell r="M26">
            <v>0.02</v>
          </cell>
          <cell r="O26">
            <v>0.04</v>
          </cell>
          <cell r="P26">
            <v>0.02</v>
          </cell>
        </row>
        <row r="29">
          <cell r="C29">
            <v>0.04</v>
          </cell>
          <cell r="D29">
            <v>0.01</v>
          </cell>
          <cell r="F29">
            <v>0.04</v>
          </cell>
          <cell r="G29">
            <v>0.01</v>
          </cell>
          <cell r="I29">
            <v>0.04</v>
          </cell>
          <cell r="J29">
            <v>0.01</v>
          </cell>
          <cell r="L29">
            <v>0.04</v>
          </cell>
          <cell r="M29">
            <v>0.01</v>
          </cell>
          <cell r="O29">
            <v>0.04</v>
          </cell>
          <cell r="P29">
            <v>0.01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DD5E-C2BE-5E45-BB75-97AD1CFAD64F}">
  <dimension ref="B2:C16"/>
  <sheetViews>
    <sheetView zoomScale="138" workbookViewId="0">
      <selection activeCell="D11" sqref="D11"/>
    </sheetView>
  </sheetViews>
  <sheetFormatPr baseColWidth="10" defaultRowHeight="15" x14ac:dyDescent="0.2"/>
  <cols>
    <col min="1" max="3" width="16" customWidth="1"/>
    <col min="4" max="8" width="20.83203125" bestFit="1" customWidth="1"/>
  </cols>
  <sheetData>
    <row r="2" spans="2:3" ht="16" x14ac:dyDescent="0.2">
      <c r="B2" s="186" t="s">
        <v>102</v>
      </c>
    </row>
    <row r="4" spans="2:3" ht="16" thickBot="1" x14ac:dyDescent="0.25"/>
    <row r="5" spans="2:3" ht="16" thickBot="1" x14ac:dyDescent="0.25">
      <c r="B5" s="213" t="s">
        <v>67</v>
      </c>
      <c r="C5" s="218">
        <f>'Arithmetic Mean'!C49</f>
        <v>6923138.1845897548</v>
      </c>
    </row>
    <row r="6" spans="2:3" ht="16" thickBot="1" x14ac:dyDescent="0.25">
      <c r="B6" s="213" t="s">
        <v>146</v>
      </c>
      <c r="C6" s="218">
        <f>'Maximum Operator'!C49</f>
        <v>15412651.120335624</v>
      </c>
    </row>
    <row r="7" spans="2:3" ht="16" thickBot="1" x14ac:dyDescent="0.25">
      <c r="B7" s="213" t="s">
        <v>147</v>
      </c>
      <c r="C7" s="218">
        <f>'Minimum Operator'!C49</f>
        <v>50642.14331837371</v>
      </c>
    </row>
    <row r="8" spans="2:3" x14ac:dyDescent="0.2">
      <c r="B8" s="214" t="s">
        <v>126</v>
      </c>
      <c r="C8" s="218">
        <f>M2w1!C22</f>
        <v>4583834.5869528055</v>
      </c>
    </row>
    <row r="9" spans="2:3" x14ac:dyDescent="0.2">
      <c r="B9" s="1" t="s">
        <v>127</v>
      </c>
      <c r="C9" s="217">
        <f>M2w2!C22</f>
        <v>3286214.2705365214</v>
      </c>
    </row>
    <row r="10" spans="2:3" ht="16" thickBot="1" x14ac:dyDescent="0.25">
      <c r="B10" s="215" t="s">
        <v>128</v>
      </c>
      <c r="C10" s="219">
        <f>M2w3!C20</f>
        <v>2945672.1648947224</v>
      </c>
    </row>
    <row r="11" spans="2:3" x14ac:dyDescent="0.2">
      <c r="C11" s="16"/>
    </row>
    <row r="12" spans="2:3" x14ac:dyDescent="0.2">
      <c r="C12" s="16"/>
    </row>
    <row r="13" spans="2:3" x14ac:dyDescent="0.2">
      <c r="C13" s="16"/>
    </row>
    <row r="14" spans="2:3" x14ac:dyDescent="0.2">
      <c r="B14" s="17"/>
      <c r="C14" s="16"/>
    </row>
    <row r="15" spans="2:3" x14ac:dyDescent="0.2">
      <c r="B15" s="17"/>
      <c r="C15" s="16"/>
    </row>
    <row r="16" spans="2:3" x14ac:dyDescent="0.2">
      <c r="B16" s="17"/>
      <c r="C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20E-0DCC-8840-8D60-5B8D1ACC54C0}">
  <dimension ref="A1"/>
  <sheetViews>
    <sheetView workbookViewId="0">
      <selection activeCell="J31" sqref="J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68D0-DE90-144C-8DB4-E7A51B1E5168}">
  <dimension ref="B5:P33"/>
  <sheetViews>
    <sheetView zoomScale="130" zoomScaleNormal="130" workbookViewId="0">
      <selection activeCell="G34" sqref="G34"/>
    </sheetView>
  </sheetViews>
  <sheetFormatPr baseColWidth="10" defaultRowHeight="15" x14ac:dyDescent="0.2"/>
  <cols>
    <col min="2" max="2" width="34.5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</cols>
  <sheetData>
    <row r="5" spans="2:16" ht="16" x14ac:dyDescent="0.2">
      <c r="B5" s="186" t="s">
        <v>103</v>
      </c>
    </row>
    <row r="6" spans="2:16" ht="16" thickBot="1" x14ac:dyDescent="0.25"/>
    <row r="7" spans="2:16" ht="17" thickBot="1" x14ac:dyDescent="0.25">
      <c r="B7" s="24"/>
      <c r="C7" s="324" t="s">
        <v>79</v>
      </c>
      <c r="D7" s="325"/>
      <c r="E7" s="156"/>
      <c r="F7" s="326" t="s">
        <v>80</v>
      </c>
      <c r="G7" s="327"/>
      <c r="H7" s="147"/>
      <c r="I7" s="328" t="s">
        <v>81</v>
      </c>
      <c r="J7" s="329"/>
      <c r="K7" s="148"/>
      <c r="L7" s="320" t="s">
        <v>82</v>
      </c>
      <c r="M7" s="321"/>
      <c r="N7" s="13"/>
      <c r="O7" s="322" t="s">
        <v>100</v>
      </c>
      <c r="P7" s="323"/>
    </row>
    <row r="8" spans="2:16" ht="17" thickBot="1" x14ac:dyDescent="0.25">
      <c r="B8" s="34"/>
      <c r="C8" s="19" t="s">
        <v>104</v>
      </c>
      <c r="D8" s="20" t="s">
        <v>105</v>
      </c>
      <c r="E8" s="20"/>
      <c r="F8" s="19" t="s">
        <v>104</v>
      </c>
      <c r="G8" s="20" t="s">
        <v>105</v>
      </c>
      <c r="H8" s="35"/>
      <c r="I8" s="19" t="s">
        <v>104</v>
      </c>
      <c r="J8" s="20" t="s">
        <v>105</v>
      </c>
      <c r="K8" s="35"/>
      <c r="L8" s="19" t="s">
        <v>104</v>
      </c>
      <c r="M8" s="20" t="s">
        <v>105</v>
      </c>
      <c r="N8" s="35"/>
      <c r="O8" s="19" t="s">
        <v>104</v>
      </c>
      <c r="P8" s="173" t="s">
        <v>105</v>
      </c>
    </row>
    <row r="9" spans="2:16" ht="16" x14ac:dyDescent="0.2">
      <c r="B9" s="138" t="s">
        <v>69</v>
      </c>
      <c r="C9" s="166">
        <v>2.8</v>
      </c>
      <c r="D9" s="160">
        <v>3.1</v>
      </c>
      <c r="E9" s="157"/>
      <c r="F9" s="171">
        <v>2.7949999999999999</v>
      </c>
      <c r="G9" s="165">
        <v>3.11</v>
      </c>
      <c r="H9" s="158"/>
      <c r="I9" s="171">
        <v>2.79</v>
      </c>
      <c r="J9" s="165">
        <v>3.12</v>
      </c>
      <c r="K9" s="158"/>
      <c r="L9" s="171">
        <v>2.78</v>
      </c>
      <c r="M9" s="165">
        <v>3.13</v>
      </c>
      <c r="N9" s="158"/>
      <c r="O9" s="158">
        <v>2.77</v>
      </c>
      <c r="P9" s="160">
        <v>3.15</v>
      </c>
    </row>
    <row r="10" spans="2:16" ht="16" hidden="1" x14ac:dyDescent="0.2">
      <c r="B10" s="139"/>
      <c r="C10" s="149"/>
      <c r="D10" s="161"/>
      <c r="E10" s="150"/>
      <c r="F10" s="149"/>
      <c r="G10" s="161"/>
      <c r="H10" s="150"/>
      <c r="I10" s="149"/>
      <c r="J10" s="161"/>
      <c r="K10" s="150"/>
      <c r="L10" s="149"/>
      <c r="M10" s="161"/>
      <c r="N10" s="150"/>
      <c r="O10" s="150"/>
      <c r="P10" s="161"/>
    </row>
    <row r="11" spans="2:16" ht="17" x14ac:dyDescent="0.2">
      <c r="B11" s="140" t="s">
        <v>71</v>
      </c>
      <c r="C11" s="167">
        <v>0.78</v>
      </c>
      <c r="D11" s="162">
        <v>0.81</v>
      </c>
      <c r="E11" s="151"/>
      <c r="F11" s="167">
        <v>0.77</v>
      </c>
      <c r="G11" s="162">
        <v>0.82</v>
      </c>
      <c r="H11" s="151"/>
      <c r="I11" s="167">
        <v>0.76500000000000001</v>
      </c>
      <c r="J11" s="162">
        <v>0.82499999999999996</v>
      </c>
      <c r="K11" s="151"/>
      <c r="L11" s="167">
        <v>0.76</v>
      </c>
      <c r="M11" s="162">
        <v>0.83</v>
      </c>
      <c r="N11" s="151"/>
      <c r="O11" s="151">
        <v>0.75</v>
      </c>
      <c r="P11" s="162">
        <v>0.83499999999999996</v>
      </c>
    </row>
    <row r="12" spans="2:16" ht="16" hidden="1" x14ac:dyDescent="0.2">
      <c r="B12" s="141"/>
      <c r="C12" s="149"/>
      <c r="D12" s="161"/>
      <c r="E12" s="150"/>
      <c r="F12" s="149"/>
      <c r="G12" s="161"/>
      <c r="H12" s="150"/>
      <c r="I12" s="149"/>
      <c r="J12" s="161"/>
      <c r="K12" s="150"/>
      <c r="L12" s="149"/>
      <c r="M12" s="161"/>
      <c r="N12" s="150"/>
      <c r="O12" s="150"/>
      <c r="P12" s="161"/>
    </row>
    <row r="13" spans="2:16" ht="16" hidden="1" x14ac:dyDescent="0.2">
      <c r="B13" s="141"/>
      <c r="C13" s="149"/>
      <c r="D13" s="161"/>
      <c r="E13" s="150"/>
      <c r="F13" s="149"/>
      <c r="G13" s="161"/>
      <c r="H13" s="150"/>
      <c r="I13" s="149"/>
      <c r="J13" s="161"/>
      <c r="K13" s="150"/>
      <c r="L13" s="149"/>
      <c r="M13" s="161"/>
      <c r="N13" s="150"/>
      <c r="O13" s="150"/>
      <c r="P13" s="161"/>
    </row>
    <row r="14" spans="2:16" ht="16" hidden="1" x14ac:dyDescent="0.2">
      <c r="B14" s="141"/>
      <c r="C14" s="149"/>
      <c r="D14" s="161"/>
      <c r="E14" s="150"/>
      <c r="F14" s="149"/>
      <c r="G14" s="161"/>
      <c r="H14" s="150"/>
      <c r="I14" s="149"/>
      <c r="J14" s="161"/>
      <c r="K14" s="150"/>
      <c r="L14" s="149"/>
      <c r="M14" s="161"/>
      <c r="N14" s="150"/>
      <c r="O14" s="150"/>
      <c r="P14" s="161"/>
    </row>
    <row r="15" spans="2:16" ht="16" x14ac:dyDescent="0.2">
      <c r="B15" s="142" t="s">
        <v>74</v>
      </c>
      <c r="C15" s="168">
        <v>35.5</v>
      </c>
      <c r="D15" s="161">
        <v>37</v>
      </c>
      <c r="E15" s="150"/>
      <c r="F15" s="149">
        <v>36</v>
      </c>
      <c r="G15" s="161">
        <v>38</v>
      </c>
      <c r="H15" s="150"/>
      <c r="I15" s="149">
        <v>36.25</v>
      </c>
      <c r="J15" s="161">
        <v>38.5</v>
      </c>
      <c r="K15" s="150"/>
      <c r="L15" s="149">
        <v>36.5</v>
      </c>
      <c r="M15" s="161">
        <v>39</v>
      </c>
      <c r="N15" s="150"/>
      <c r="O15" s="150">
        <v>36.75</v>
      </c>
      <c r="P15" s="161">
        <v>39.5</v>
      </c>
    </row>
    <row r="16" spans="2:16" ht="16" hidden="1" x14ac:dyDescent="0.2">
      <c r="B16" s="143"/>
      <c r="C16" s="169"/>
      <c r="D16" s="163"/>
      <c r="E16" s="159"/>
      <c r="F16" s="169"/>
      <c r="G16" s="163"/>
      <c r="H16" s="159"/>
      <c r="I16" s="169"/>
      <c r="J16" s="163"/>
      <c r="K16" s="159"/>
      <c r="L16" s="169"/>
      <c r="M16" s="163"/>
      <c r="N16" s="159"/>
      <c r="O16" s="159"/>
      <c r="P16" s="163"/>
    </row>
    <row r="17" spans="2:16" ht="16" hidden="1" x14ac:dyDescent="0.2">
      <c r="B17" s="141"/>
      <c r="C17" s="149"/>
      <c r="D17" s="161"/>
      <c r="E17" s="150"/>
      <c r="F17" s="149"/>
      <c r="G17" s="161"/>
      <c r="H17" s="150"/>
      <c r="I17" s="149"/>
      <c r="J17" s="161"/>
      <c r="K17" s="150"/>
      <c r="L17" s="149"/>
      <c r="M17" s="161"/>
      <c r="N17" s="150"/>
      <c r="O17" s="150"/>
      <c r="P17" s="161"/>
    </row>
    <row r="18" spans="2:16" ht="16" hidden="1" x14ac:dyDescent="0.2">
      <c r="B18" s="141"/>
      <c r="C18" s="149"/>
      <c r="D18" s="161"/>
      <c r="E18" s="150"/>
      <c r="F18" s="149"/>
      <c r="G18" s="161"/>
      <c r="H18" s="150"/>
      <c r="I18" s="149"/>
      <c r="J18" s="161"/>
      <c r="K18" s="150"/>
      <c r="L18" s="149"/>
      <c r="M18" s="161"/>
      <c r="N18" s="150"/>
      <c r="O18" s="150"/>
      <c r="P18" s="161"/>
    </row>
    <row r="19" spans="2:16" ht="16" hidden="1" x14ac:dyDescent="0.2">
      <c r="B19" s="141"/>
      <c r="C19" s="149"/>
      <c r="D19" s="161"/>
      <c r="E19" s="150"/>
      <c r="F19" s="149"/>
      <c r="G19" s="161"/>
      <c r="H19" s="150"/>
      <c r="I19" s="149"/>
      <c r="J19" s="161"/>
      <c r="K19" s="150"/>
      <c r="L19" s="149"/>
      <c r="M19" s="161"/>
      <c r="N19" s="150"/>
      <c r="O19" s="150"/>
      <c r="P19" s="161"/>
    </row>
    <row r="20" spans="2:16" ht="16" hidden="1" x14ac:dyDescent="0.2">
      <c r="B20" s="141"/>
      <c r="C20" s="149"/>
      <c r="D20" s="161"/>
      <c r="E20" s="150"/>
      <c r="F20" s="149"/>
      <c r="G20" s="161"/>
      <c r="H20" s="150"/>
      <c r="I20" s="149"/>
      <c r="J20" s="161"/>
      <c r="K20" s="150"/>
      <c r="L20" s="149"/>
      <c r="M20" s="161"/>
      <c r="N20" s="150"/>
      <c r="O20" s="150"/>
      <c r="P20" s="161"/>
    </row>
    <row r="21" spans="2:16" ht="16" hidden="1" x14ac:dyDescent="0.2">
      <c r="B21" s="141"/>
      <c r="C21" s="149"/>
      <c r="D21" s="161"/>
      <c r="E21" s="150"/>
      <c r="F21" s="149"/>
      <c r="G21" s="161"/>
      <c r="H21" s="150"/>
      <c r="I21" s="149"/>
      <c r="J21" s="161"/>
      <c r="K21" s="150"/>
      <c r="L21" s="149"/>
      <c r="M21" s="161"/>
      <c r="N21" s="150"/>
      <c r="O21" s="150"/>
      <c r="P21" s="161"/>
    </row>
    <row r="22" spans="2:16" ht="16" hidden="1" x14ac:dyDescent="0.2">
      <c r="B22" s="141"/>
      <c r="C22" s="149"/>
      <c r="D22" s="161"/>
      <c r="E22" s="150"/>
      <c r="F22" s="149"/>
      <c r="G22" s="161"/>
      <c r="H22" s="150"/>
      <c r="I22" s="149"/>
      <c r="J22" s="161"/>
      <c r="K22" s="150"/>
      <c r="L22" s="149"/>
      <c r="M22" s="161"/>
      <c r="N22" s="150"/>
      <c r="O22" s="150"/>
      <c r="P22" s="161"/>
    </row>
    <row r="23" spans="2:16" ht="16" hidden="1" x14ac:dyDescent="0.2">
      <c r="B23" s="141"/>
      <c r="C23" s="149"/>
      <c r="D23" s="161"/>
      <c r="E23" s="150"/>
      <c r="F23" s="149"/>
      <c r="G23" s="161"/>
      <c r="H23" s="150"/>
      <c r="I23" s="149"/>
      <c r="J23" s="161"/>
      <c r="K23" s="150"/>
      <c r="L23" s="149"/>
      <c r="M23" s="161"/>
      <c r="N23" s="150"/>
      <c r="O23" s="150"/>
      <c r="P23" s="161"/>
    </row>
    <row r="24" spans="2:16" ht="16" x14ac:dyDescent="0.2">
      <c r="B24" s="142" t="s">
        <v>75</v>
      </c>
      <c r="C24" s="167">
        <v>0.22500000000000001</v>
      </c>
      <c r="D24" s="162">
        <v>0.27</v>
      </c>
      <c r="E24" s="151"/>
      <c r="F24" s="167">
        <v>0.22</v>
      </c>
      <c r="G24" s="162">
        <v>0.28000000000000003</v>
      </c>
      <c r="H24" s="151"/>
      <c r="I24" s="167">
        <v>0.215</v>
      </c>
      <c r="J24" s="162">
        <v>0.28499999999999998</v>
      </c>
      <c r="K24" s="151"/>
      <c r="L24" s="167">
        <v>0.21249999999999999</v>
      </c>
      <c r="M24" s="162">
        <v>0.28999999999999998</v>
      </c>
      <c r="N24" s="151"/>
      <c r="O24" s="151">
        <v>0.21</v>
      </c>
      <c r="P24" s="162">
        <v>0.3</v>
      </c>
    </row>
    <row r="25" spans="2:16" ht="16" hidden="1" x14ac:dyDescent="0.2">
      <c r="B25" s="141"/>
      <c r="C25" s="149"/>
      <c r="D25" s="161"/>
      <c r="E25" s="150"/>
      <c r="F25" s="149"/>
      <c r="G25" s="161"/>
      <c r="H25" s="150"/>
      <c r="I25" s="149"/>
      <c r="J25" s="161"/>
      <c r="K25" s="150"/>
      <c r="L25" s="149"/>
      <c r="M25" s="161"/>
      <c r="N25" s="150"/>
      <c r="O25" s="150"/>
      <c r="P25" s="161"/>
    </row>
    <row r="26" spans="2:16" ht="34" x14ac:dyDescent="0.2">
      <c r="B26" s="140" t="s">
        <v>92</v>
      </c>
      <c r="C26" s="167">
        <v>0.04</v>
      </c>
      <c r="D26" s="162">
        <v>0.02</v>
      </c>
      <c r="E26" s="151"/>
      <c r="F26" s="167">
        <v>0.04</v>
      </c>
      <c r="G26" s="162">
        <v>0.02</v>
      </c>
      <c r="H26" s="151"/>
      <c r="I26" s="167">
        <v>0.04</v>
      </c>
      <c r="J26" s="162">
        <v>0.02</v>
      </c>
      <c r="K26" s="151"/>
      <c r="L26" s="167">
        <v>0.04</v>
      </c>
      <c r="M26" s="162">
        <v>0.02</v>
      </c>
      <c r="N26" s="151"/>
      <c r="O26" s="151">
        <v>0.04</v>
      </c>
      <c r="P26" s="162">
        <v>0.02</v>
      </c>
    </row>
    <row r="27" spans="2:16" ht="16" hidden="1" x14ac:dyDescent="0.2">
      <c r="B27" s="141"/>
      <c r="C27" s="167"/>
      <c r="D27" s="162"/>
      <c r="E27" s="151"/>
      <c r="F27" s="167"/>
      <c r="G27" s="162"/>
      <c r="H27" s="151"/>
      <c r="I27" s="167"/>
      <c r="J27" s="162"/>
      <c r="K27" s="151"/>
      <c r="L27" s="167"/>
      <c r="M27" s="162"/>
      <c r="N27" s="151"/>
      <c r="O27" s="151"/>
      <c r="P27" s="162"/>
    </row>
    <row r="28" spans="2:16" ht="16" hidden="1" x14ac:dyDescent="0.2">
      <c r="B28" s="141"/>
      <c r="C28" s="167"/>
      <c r="D28" s="162"/>
      <c r="E28" s="151"/>
      <c r="F28" s="167"/>
      <c r="G28" s="162"/>
      <c r="H28" s="151"/>
      <c r="I28" s="167"/>
      <c r="J28" s="162"/>
      <c r="K28" s="151"/>
      <c r="L28" s="167"/>
      <c r="M28" s="162"/>
      <c r="N28" s="151"/>
      <c r="O28" s="151"/>
      <c r="P28" s="162"/>
    </row>
    <row r="29" spans="2:16" ht="18" thickBot="1" x14ac:dyDescent="0.25">
      <c r="B29" s="144" t="s">
        <v>78</v>
      </c>
      <c r="C29" s="170">
        <v>0.04</v>
      </c>
      <c r="D29" s="164">
        <v>0.01</v>
      </c>
      <c r="E29" s="152"/>
      <c r="F29" s="170">
        <v>0.04</v>
      </c>
      <c r="G29" s="164">
        <v>0.01</v>
      </c>
      <c r="H29" s="152"/>
      <c r="I29" s="170">
        <v>0.04</v>
      </c>
      <c r="J29" s="164">
        <v>0.01</v>
      </c>
      <c r="K29" s="152"/>
      <c r="L29" s="170">
        <v>0.04</v>
      </c>
      <c r="M29" s="164">
        <v>0.01</v>
      </c>
      <c r="N29" s="152"/>
      <c r="O29" s="152">
        <v>0.04</v>
      </c>
      <c r="P29" s="164">
        <v>0.01</v>
      </c>
    </row>
    <row r="32" spans="2:16" x14ac:dyDescent="0.2">
      <c r="C32" s="172" t="s">
        <v>104</v>
      </c>
      <c r="D32" t="s">
        <v>106</v>
      </c>
    </row>
    <row r="33" spans="3:4" x14ac:dyDescent="0.2">
      <c r="C33" s="172" t="s">
        <v>105</v>
      </c>
      <c r="D33" t="s">
        <v>107</v>
      </c>
    </row>
  </sheetData>
  <mergeCells count="5">
    <mergeCell ref="L7:M7"/>
    <mergeCell ref="O7:P7"/>
    <mergeCell ref="C7:D7"/>
    <mergeCell ref="F7:G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5CFC-424F-1340-BD45-4AFFFFCFD114}">
  <dimension ref="A2:AL164"/>
  <sheetViews>
    <sheetView topLeftCell="A20" zoomScale="120" zoomScaleNormal="120" workbookViewId="0">
      <selection activeCell="I14" sqref="I14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2.95</v>
      </c>
      <c r="D6" s="49">
        <f>O6</f>
        <v>2.9524999999999997</v>
      </c>
      <c r="E6" s="49">
        <f>R6</f>
        <v>2.9550000000000001</v>
      </c>
      <c r="F6" s="49">
        <f>U6</f>
        <v>2.9550000000000001</v>
      </c>
      <c r="G6" s="50">
        <f>X6</f>
        <v>2.96</v>
      </c>
      <c r="H6" s="44"/>
      <c r="I6" s="208" t="s">
        <v>69</v>
      </c>
      <c r="J6" s="153">
        <f>Variables!C9</f>
        <v>2.8</v>
      </c>
      <c r="K6" s="153">
        <f>Variables!D9</f>
        <v>3.1</v>
      </c>
      <c r="L6" s="145">
        <f>AVERAGE(J6:K6)</f>
        <v>2.95</v>
      </c>
      <c r="M6" s="153">
        <f>Variables!F9</f>
        <v>2.7949999999999999</v>
      </c>
      <c r="N6" s="153">
        <f>Variables!G9</f>
        <v>3.11</v>
      </c>
      <c r="O6" s="145">
        <f>AVERAGE(M6:N6)</f>
        <v>2.9524999999999997</v>
      </c>
      <c r="P6" s="153">
        <f>Variables!I9</f>
        <v>2.79</v>
      </c>
      <c r="Q6" s="153">
        <f>Variables!J9</f>
        <v>3.12</v>
      </c>
      <c r="R6" s="145">
        <f>AVERAGE(P6:Q6)</f>
        <v>2.9550000000000001</v>
      </c>
      <c r="S6" s="153">
        <f>Variables!L9</f>
        <v>2.78</v>
      </c>
      <c r="T6" s="153">
        <f>Variables!M9</f>
        <v>3.13</v>
      </c>
      <c r="U6" s="145">
        <f>AVERAGE(S6:T6)</f>
        <v>2.9550000000000001</v>
      </c>
      <c r="V6" s="153">
        <f>Variables!O9</f>
        <v>2.77</v>
      </c>
      <c r="W6" s="153">
        <f>Variables!P9</f>
        <v>3.15</v>
      </c>
      <c r="X6" s="145">
        <f>AVERAGE(V6:W6)</f>
        <v>2.96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Variables!C11</f>
        <v>0.78</v>
      </c>
      <c r="K7" s="154">
        <f>Variables!D11</f>
        <v>0.81</v>
      </c>
      <c r="L7" s="145">
        <f t="shared" ref="L7:L11" si="2">AVERAGE(J7:K7)</f>
        <v>0.79500000000000004</v>
      </c>
      <c r="M7" s="154">
        <f>Variables!F11</f>
        <v>0.77</v>
      </c>
      <c r="N7" s="154">
        <f>Variables!G11</f>
        <v>0.82</v>
      </c>
      <c r="O7" s="145">
        <f t="shared" ref="O7:O11" si="3">AVERAGE(M7:N7)</f>
        <v>0.79499999999999993</v>
      </c>
      <c r="P7" s="154">
        <f>Variables!I11</f>
        <v>0.76500000000000001</v>
      </c>
      <c r="Q7" s="154">
        <f>Variables!J11</f>
        <v>0.82499999999999996</v>
      </c>
      <c r="R7" s="145">
        <f t="shared" ref="R7:R11" si="4">AVERAGE(P7:Q7)</f>
        <v>0.79499999999999993</v>
      </c>
      <c r="S7" s="154">
        <f>Variables!L11</f>
        <v>0.76</v>
      </c>
      <c r="T7" s="154">
        <f>Variables!M11</f>
        <v>0.83</v>
      </c>
      <c r="U7" s="145">
        <f t="shared" ref="U7:U11" si="5">AVERAGE(S7:T7)</f>
        <v>0.79499999999999993</v>
      </c>
      <c r="V7" s="154">
        <f>Variables!O11</f>
        <v>0.75</v>
      </c>
      <c r="W7" s="154">
        <f>Variables!P11</f>
        <v>0.83499999999999996</v>
      </c>
      <c r="X7" s="145">
        <f t="shared" ref="X7:X11" si="6">AVERAGE(V7:W7)</f>
        <v>0.79249999999999998</v>
      </c>
    </row>
    <row r="8" spans="2:30" s="2" customFormat="1" ht="18" thickBot="1" x14ac:dyDescent="0.2">
      <c r="B8" s="55" t="s">
        <v>71</v>
      </c>
      <c r="C8" s="56">
        <f>L7</f>
        <v>0.79500000000000004</v>
      </c>
      <c r="D8" s="56">
        <f>O7</f>
        <v>0.79499999999999993</v>
      </c>
      <c r="E8" s="56">
        <f>R7</f>
        <v>0.79499999999999993</v>
      </c>
      <c r="F8" s="56">
        <f>U7</f>
        <v>0.79499999999999993</v>
      </c>
      <c r="G8" s="57">
        <f>X7</f>
        <v>0.79249999999999998</v>
      </c>
      <c r="H8" s="58"/>
      <c r="I8" s="210" t="s">
        <v>74</v>
      </c>
      <c r="J8" s="153">
        <f>Variables!C15</f>
        <v>35.5</v>
      </c>
      <c r="K8" s="153">
        <f>Variables!D15</f>
        <v>37</v>
      </c>
      <c r="L8" s="145">
        <f t="shared" si="2"/>
        <v>36.25</v>
      </c>
      <c r="M8" s="153">
        <f>Variables!F15</f>
        <v>36</v>
      </c>
      <c r="N8" s="153">
        <f>Variables!G15</f>
        <v>38</v>
      </c>
      <c r="O8" s="145">
        <f t="shared" si="3"/>
        <v>37</v>
      </c>
      <c r="P8" s="153">
        <f>Variables!I15</f>
        <v>36.25</v>
      </c>
      <c r="Q8" s="153">
        <f>Variables!J15</f>
        <v>38.5</v>
      </c>
      <c r="R8" s="145">
        <f t="shared" si="4"/>
        <v>37.375</v>
      </c>
      <c r="S8" s="153">
        <f>Variables!L15</f>
        <v>36.5</v>
      </c>
      <c r="T8" s="153">
        <f>Variables!M15</f>
        <v>39</v>
      </c>
      <c r="U8" s="145">
        <f t="shared" si="5"/>
        <v>37.75</v>
      </c>
      <c r="V8" s="153">
        <f>Variables!O15</f>
        <v>36.75</v>
      </c>
      <c r="W8" s="153">
        <f>Variables!P15</f>
        <v>39.5</v>
      </c>
      <c r="X8" s="145">
        <f t="shared" si="6"/>
        <v>38.125</v>
      </c>
    </row>
    <row r="9" spans="2:30" s="2" customFormat="1" ht="17" thickBot="1" x14ac:dyDescent="0.25">
      <c r="B9" s="175" t="s">
        <v>72</v>
      </c>
      <c r="C9" s="60">
        <f>+C5*C7*C8</f>
        <v>62820.9</v>
      </c>
      <c r="D9" s="60">
        <f>+D5*D7*D8</f>
        <v>62820.899999999994</v>
      </c>
      <c r="E9" s="60">
        <f>+E5*E7*E8</f>
        <v>62820.899999999994</v>
      </c>
      <c r="F9" s="60">
        <f>+F5*F7*F8</f>
        <v>62820.899999999994</v>
      </c>
      <c r="G9" s="61">
        <f>+G5*G7*G8</f>
        <v>62623.35</v>
      </c>
      <c r="H9" s="62"/>
      <c r="I9" s="211" t="s">
        <v>75</v>
      </c>
      <c r="J9" s="154">
        <f>Variables!C24</f>
        <v>0.22500000000000001</v>
      </c>
      <c r="K9" s="154">
        <f>Variables!D24</f>
        <v>0.27</v>
      </c>
      <c r="L9" s="145">
        <f t="shared" si="2"/>
        <v>0.2475</v>
      </c>
      <c r="M9" s="154">
        <f>Variables!F24</f>
        <v>0.22</v>
      </c>
      <c r="N9" s="154">
        <f>Variables!G24</f>
        <v>0.28000000000000003</v>
      </c>
      <c r="O9" s="145">
        <f t="shared" si="3"/>
        <v>0.25</v>
      </c>
      <c r="P9" s="154">
        <f>Variables!I24</f>
        <v>0.215</v>
      </c>
      <c r="Q9" s="154">
        <f>Variables!J24</f>
        <v>0.28499999999999998</v>
      </c>
      <c r="R9" s="145">
        <f t="shared" si="4"/>
        <v>0.25</v>
      </c>
      <c r="S9" s="154">
        <f>Variables!L24</f>
        <v>0.21249999999999999</v>
      </c>
      <c r="T9" s="154">
        <f>Variables!M24</f>
        <v>0.28999999999999998</v>
      </c>
      <c r="U9" s="145">
        <f t="shared" si="5"/>
        <v>0.25124999999999997</v>
      </c>
      <c r="V9" s="154">
        <f>Variables!O24</f>
        <v>0.21</v>
      </c>
      <c r="W9" s="154">
        <f>Variables!P24</f>
        <v>0.3</v>
      </c>
      <c r="X9" s="145">
        <f t="shared" si="6"/>
        <v>0.255</v>
      </c>
    </row>
    <row r="10" spans="2:30" s="2" customFormat="1" ht="34" x14ac:dyDescent="0.15">
      <c r="B10" s="174" t="s">
        <v>73</v>
      </c>
      <c r="C10" s="60">
        <f>+C5*C6*C7*C8</f>
        <v>185321.65500000003</v>
      </c>
      <c r="D10" s="60">
        <f>+D5*D6*D7*D8</f>
        <v>185478.70724999995</v>
      </c>
      <c r="E10" s="60">
        <f>+E5*E6*E7*E8</f>
        <v>185635.75950000001</v>
      </c>
      <c r="F10" s="60">
        <f>+F5*F6*F7*F8</f>
        <v>185635.75950000001</v>
      </c>
      <c r="G10" s="61">
        <f>+G5*G6*G7*G8</f>
        <v>185365.11600000001</v>
      </c>
      <c r="H10" s="62"/>
      <c r="I10" s="209" t="s">
        <v>92</v>
      </c>
      <c r="J10" s="154">
        <f>Variables!C26</f>
        <v>0.04</v>
      </c>
      <c r="K10" s="154">
        <f>Variables!D26</f>
        <v>0.02</v>
      </c>
      <c r="L10" s="145">
        <f t="shared" si="2"/>
        <v>0.03</v>
      </c>
      <c r="M10" s="154">
        <f>Variables!F26</f>
        <v>0.04</v>
      </c>
      <c r="N10" s="154">
        <f>Variables!G26</f>
        <v>0.02</v>
      </c>
      <c r="O10" s="145">
        <f t="shared" si="3"/>
        <v>0.03</v>
      </c>
      <c r="P10" s="154">
        <f>Variables!I26</f>
        <v>0.04</v>
      </c>
      <c r="Q10" s="154">
        <f>Variables!J26</f>
        <v>0.02</v>
      </c>
      <c r="R10" s="145">
        <f t="shared" si="4"/>
        <v>0.03</v>
      </c>
      <c r="S10" s="154">
        <f>Variables!L26</f>
        <v>0.04</v>
      </c>
      <c r="T10" s="154">
        <f>Variables!M26</f>
        <v>0.02</v>
      </c>
      <c r="U10" s="145">
        <f t="shared" si="5"/>
        <v>0.03</v>
      </c>
      <c r="V10" s="154">
        <f>Variables!O26</f>
        <v>0.04</v>
      </c>
      <c r="W10" s="154">
        <f>Variables!P26</f>
        <v>0.02</v>
      </c>
      <c r="X10" s="145">
        <f t="shared" si="6"/>
        <v>0.03</v>
      </c>
    </row>
    <row r="11" spans="2:30" s="2" customFormat="1" ht="18" thickBot="1" x14ac:dyDescent="0.25">
      <c r="B11" s="48" t="s">
        <v>74</v>
      </c>
      <c r="C11" s="63">
        <f>L8</f>
        <v>36.25</v>
      </c>
      <c r="D11" s="63">
        <f>O8</f>
        <v>37</v>
      </c>
      <c r="E11" s="63">
        <f>R8</f>
        <v>37.375</v>
      </c>
      <c r="F11" s="63">
        <f>U8</f>
        <v>37.75</v>
      </c>
      <c r="G11" s="64">
        <f>X8</f>
        <v>38.125</v>
      </c>
      <c r="H11" s="65"/>
      <c r="I11" s="212" t="s">
        <v>78</v>
      </c>
      <c r="J11" s="155">
        <f>Variables!C29</f>
        <v>0.04</v>
      </c>
      <c r="K11" s="155">
        <f>Variables!D29</f>
        <v>0.01</v>
      </c>
      <c r="L11" s="184">
        <f t="shared" si="2"/>
        <v>2.5000000000000001E-2</v>
      </c>
      <c r="M11" s="155">
        <f>Variables!F29</f>
        <v>0.04</v>
      </c>
      <c r="N11" s="155">
        <f>Variables!G29</f>
        <v>0.01</v>
      </c>
      <c r="O11" s="184">
        <f t="shared" si="3"/>
        <v>2.5000000000000001E-2</v>
      </c>
      <c r="P11" s="155">
        <f>Variables!I29</f>
        <v>0.04</v>
      </c>
      <c r="Q11" s="155">
        <f>Variables!J29</f>
        <v>0.01</v>
      </c>
      <c r="R11" s="184">
        <f t="shared" si="4"/>
        <v>2.5000000000000001E-2</v>
      </c>
      <c r="S11" s="155">
        <f>Variables!L29</f>
        <v>0.04</v>
      </c>
      <c r="T11" s="155">
        <f>Variables!M29</f>
        <v>0.01</v>
      </c>
      <c r="U11" s="184">
        <f t="shared" si="5"/>
        <v>2.5000000000000001E-2</v>
      </c>
      <c r="V11" s="155">
        <f>Variables!O29</f>
        <v>0.04</v>
      </c>
      <c r="W11" s="155">
        <f>Variables!P29</f>
        <v>0.01</v>
      </c>
      <c r="X11" s="184">
        <f t="shared" si="6"/>
        <v>2.5000000000000001E-2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5055227.2702968763</v>
      </c>
      <c r="D14" s="52">
        <f t="shared" si="7"/>
        <v>5147034.1261874987</v>
      </c>
      <c r="E14" s="52">
        <f t="shared" si="7"/>
        <v>5203602.3834843757</v>
      </c>
      <c r="F14" s="52">
        <f t="shared" si="7"/>
        <v>5247052.7534423443</v>
      </c>
      <c r="G14" s="53">
        <f t="shared" si="7"/>
        <v>5264948.5603875006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0.75250000000000006</v>
      </c>
      <c r="D15" s="206">
        <f>D14/D24</f>
        <v>0.75</v>
      </c>
      <c r="E15" s="206">
        <f>E14/E24</f>
        <v>0.75</v>
      </c>
      <c r="F15" s="206">
        <f>F14/F24</f>
        <v>0.74875000000000003</v>
      </c>
      <c r="G15" s="207">
        <f>G14/G24</f>
        <v>0.745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0.2475</v>
      </c>
      <c r="D16" s="67">
        <f>O9</f>
        <v>0.25</v>
      </c>
      <c r="E16" s="67">
        <f>R9</f>
        <v>0.25</v>
      </c>
      <c r="F16" s="67">
        <f>U9</f>
        <v>0.25124999999999997</v>
      </c>
      <c r="G16" s="68">
        <f>X9</f>
        <v>0.255</v>
      </c>
      <c r="H16" s="69"/>
    </row>
    <row r="17" spans="2:24" s="2" customFormat="1" ht="34" x14ac:dyDescent="0.15">
      <c r="B17" s="55" t="s">
        <v>76</v>
      </c>
      <c r="C17" s="70">
        <f>L10</f>
        <v>0.03</v>
      </c>
      <c r="D17" s="70">
        <f>O10</f>
        <v>0.03</v>
      </c>
      <c r="E17" s="70">
        <f>R10</f>
        <v>0.03</v>
      </c>
      <c r="F17" s="70">
        <f>U10</f>
        <v>0.03</v>
      </c>
      <c r="G17" s="71">
        <f>X10</f>
        <v>0.03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2.5000000000000001E-2</v>
      </c>
      <c r="D19" s="79">
        <f>O11</f>
        <v>2.5000000000000001E-2</v>
      </c>
      <c r="E19" s="79">
        <f>R11</f>
        <v>2.5000000000000001E-2</v>
      </c>
      <c r="F19" s="79">
        <f>U11</f>
        <v>2.5000000000000001E-2</v>
      </c>
      <c r="G19" s="80">
        <f>X11</f>
        <v>2.5000000000000001E-2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6717909.9937500013</v>
      </c>
      <c r="D24" s="85">
        <f>D5*D6*D7*D8*D11</f>
        <v>6862712.1682499982</v>
      </c>
      <c r="E24" s="85">
        <f>E5*E6*E7*E8*E11</f>
        <v>6938136.5113125006</v>
      </c>
      <c r="F24" s="85">
        <f>F5*F6*F7*F8*F11</f>
        <v>7007749.9211250003</v>
      </c>
      <c r="G24" s="86">
        <f>G5*G6*G7*G8*G11</f>
        <v>7067045.0475000003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5055227.2702968763</v>
      </c>
      <c r="D25" s="88">
        <f t="shared" ref="D25:G25" si="9">D24-D26</f>
        <v>5147034.1261874987</v>
      </c>
      <c r="E25" s="88">
        <f t="shared" si="9"/>
        <v>5203602.3834843757</v>
      </c>
      <c r="F25" s="88">
        <f t="shared" si="9"/>
        <v>5247052.7534423443</v>
      </c>
      <c r="G25" s="89">
        <f t="shared" si="9"/>
        <v>5264948.5603875006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1662682.7234531252</v>
      </c>
      <c r="D26" s="88">
        <f>D16*D24</f>
        <v>1715678.0420624996</v>
      </c>
      <c r="E26" s="88">
        <f>E16*E24</f>
        <v>1734534.1278281251</v>
      </c>
      <c r="F26" s="88">
        <f>F16*F24</f>
        <v>1760697.1676826561</v>
      </c>
      <c r="G26" s="89">
        <f>G16*G24</f>
        <v>1802096.4871125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201537.29981250004</v>
      </c>
      <c r="D27" s="88">
        <f>D17*D24</f>
        <v>205881.36504749994</v>
      </c>
      <c r="E27" s="88">
        <f>E17*E24</f>
        <v>208144.095339375</v>
      </c>
      <c r="F27" s="88">
        <f>F17*F24</f>
        <v>210232.49763375</v>
      </c>
      <c r="G27" s="89">
        <f>G17*G24</f>
        <v>212011.351425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1461145.4236406251</v>
      </c>
      <c r="D28" s="88">
        <f t="shared" ref="D28:G28" si="10">D26-D27</f>
        <v>1509796.6770149996</v>
      </c>
      <c r="E28" s="88">
        <f t="shared" si="10"/>
        <v>1526390.0324887501</v>
      </c>
      <c r="F28" s="88">
        <f t="shared" si="10"/>
        <v>1550464.670048906</v>
      </c>
      <c r="G28" s="89">
        <f t="shared" si="10"/>
        <v>1590085.1356875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1162360.7234531252</v>
      </c>
      <c r="D30" s="88">
        <f t="shared" si="12"/>
        <v>1215356.0420624996</v>
      </c>
      <c r="E30" s="88">
        <f t="shared" si="12"/>
        <v>1234212.1278281251</v>
      </c>
      <c r="F30" s="88">
        <f t="shared" si="12"/>
        <v>1260375.1676826561</v>
      </c>
      <c r="G30" s="89">
        <f t="shared" si="12"/>
        <v>1301774.4871125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290590.1808632813</v>
      </c>
      <c r="D31" s="88">
        <f t="shared" ref="D31:G31" si="13">IF(D30&lt;=0,0,D$18*D30)</f>
        <v>303839.01051562489</v>
      </c>
      <c r="E31" s="88">
        <f t="shared" si="13"/>
        <v>308553.03195703129</v>
      </c>
      <c r="F31" s="88">
        <f t="shared" si="13"/>
        <v>315093.79192066402</v>
      </c>
      <c r="G31" s="89">
        <f t="shared" si="13"/>
        <v>325443.621778125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871770.54258984397</v>
      </c>
      <c r="D32" s="92">
        <f t="shared" si="14"/>
        <v>911517.03154687467</v>
      </c>
      <c r="E32" s="92">
        <f t="shared" si="14"/>
        <v>925659.09587109392</v>
      </c>
      <c r="F32" s="92">
        <f t="shared" si="14"/>
        <v>945281.37576199207</v>
      </c>
      <c r="G32" s="93">
        <f t="shared" si="14"/>
        <v>976330.86533437506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871770.54258984397</v>
      </c>
      <c r="D37" s="135">
        <f t="shared" si="15"/>
        <v>911517.03154687467</v>
      </c>
      <c r="E37" s="146">
        <f t="shared" si="15"/>
        <v>925659.09587109392</v>
      </c>
      <c r="F37" s="146">
        <f t="shared" si="15"/>
        <v>945281.37576199207</v>
      </c>
      <c r="G37" s="146">
        <f t="shared" si="15"/>
        <v>976330.86533437506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1372092.542589844</v>
      </c>
      <c r="D39" s="136">
        <f t="shared" si="17"/>
        <v>1411839.0315468747</v>
      </c>
      <c r="E39" s="32">
        <f t="shared" si="17"/>
        <v>1425981.0958710939</v>
      </c>
      <c r="F39" s="32">
        <f t="shared" si="17"/>
        <v>1445603.3757619921</v>
      </c>
      <c r="G39" s="32">
        <f t="shared" si="17"/>
        <v>1476652.8653343751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268716.39975000004</v>
      </c>
      <c r="D40" s="136">
        <f>+C40*(1+D19)</f>
        <v>275434.30974375003</v>
      </c>
      <c r="E40" s="32">
        <f>+D40*(1+E19)</f>
        <v>282320.16748734377</v>
      </c>
      <c r="F40" s="32">
        <f>+E40*(1+F19)</f>
        <v>289378.17167452734</v>
      </c>
      <c r="G40" s="32">
        <f>+F40*(1+G19)</f>
        <v>296612.62596639048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1103376.1428398439</v>
      </c>
      <c r="D41" s="204">
        <f t="shared" ref="D41:G41" si="18">D39-D40</f>
        <v>1136404.7218031245</v>
      </c>
      <c r="E41" s="204">
        <f t="shared" si="18"/>
        <v>1143660.9283837501</v>
      </c>
      <c r="F41" s="204">
        <f t="shared" si="18"/>
        <v>1156225.2040874646</v>
      </c>
      <c r="G41" s="204">
        <f t="shared" si="18"/>
        <v>1180040.2393679847</v>
      </c>
      <c r="H41" s="204">
        <f>G41*(1+C47)/(C46-C47)</f>
        <v>24072820.883106887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6923138.1845897548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1662682.7234531252</v>
      </c>
      <c r="D68" s="99">
        <f>D26</f>
        <v>1715678.0420624996</v>
      </c>
      <c r="E68" s="99">
        <f>E26</f>
        <v>1734534.1278281251</v>
      </c>
      <c r="F68" s="99">
        <f>F26</f>
        <v>1760697.1676826561</v>
      </c>
      <c r="G68" s="99">
        <f>G26</f>
        <v>1802096.4871125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1162360.7234531252</v>
      </c>
      <c r="D70" s="99">
        <f t="shared" ref="D70:G70" si="20">D68-D69</f>
        <v>1215356.0420624996</v>
      </c>
      <c r="E70" s="99">
        <f t="shared" si="20"/>
        <v>1234212.1278281251</v>
      </c>
      <c r="F70" s="99">
        <f t="shared" si="20"/>
        <v>1260375.1676826561</v>
      </c>
      <c r="G70" s="99">
        <f t="shared" si="20"/>
        <v>1301774.4871125</v>
      </c>
      <c r="H70" s="99"/>
      <c r="I70" s="96"/>
      <c r="J70" s="96"/>
    </row>
    <row r="71" spans="1:38" x14ac:dyDescent="0.15">
      <c r="B71" s="96" t="s">
        <v>3</v>
      </c>
      <c r="C71" s="98">
        <f>C70*0.25</f>
        <v>290590.1808632813</v>
      </c>
      <c r="D71" s="98">
        <f t="shared" ref="D71:G71" si="21">D70*0.25</f>
        <v>303839.01051562489</v>
      </c>
      <c r="E71" s="98">
        <f t="shared" si="21"/>
        <v>308553.03195703129</v>
      </c>
      <c r="F71" s="98">
        <f t="shared" si="21"/>
        <v>315093.79192066402</v>
      </c>
      <c r="G71" s="98">
        <f t="shared" si="21"/>
        <v>325443.621778125</v>
      </c>
      <c r="H71" s="98"/>
      <c r="I71" s="96"/>
      <c r="J71" s="96"/>
    </row>
    <row r="72" spans="1:38" x14ac:dyDescent="0.15">
      <c r="B72" s="97" t="s">
        <v>4</v>
      </c>
      <c r="C72" s="99">
        <f>C70-C71</f>
        <v>871770.54258984397</v>
      </c>
      <c r="D72" s="99">
        <f t="shared" ref="D72:G72" si="22">D70-D71</f>
        <v>911517.03154687467</v>
      </c>
      <c r="E72" s="99">
        <f t="shared" si="22"/>
        <v>925659.09587109392</v>
      </c>
      <c r="F72" s="99">
        <f t="shared" si="22"/>
        <v>945281.37576199207</v>
      </c>
      <c r="G72" s="99">
        <f t="shared" si="22"/>
        <v>976330.86533437506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1372092.542589844</v>
      </c>
      <c r="D74" s="100">
        <f t="shared" ref="D74:G74" si="24">D72+D73</f>
        <v>1411839.0315468747</v>
      </c>
      <c r="E74" s="100">
        <f t="shared" si="24"/>
        <v>1425981.0958710939</v>
      </c>
      <c r="F74" s="100">
        <f t="shared" si="24"/>
        <v>1445603.3757619921</v>
      </c>
      <c r="G74" s="100">
        <f t="shared" si="24"/>
        <v>1476652.8653343751</v>
      </c>
      <c r="H74" s="100"/>
      <c r="I74" s="96"/>
      <c r="J74" s="96"/>
    </row>
    <row r="75" spans="1:38" x14ac:dyDescent="0.15">
      <c r="B75" s="96" t="s">
        <v>7</v>
      </c>
      <c r="C75" s="101">
        <f>C40</f>
        <v>268716.39975000004</v>
      </c>
      <c r="D75" s="101">
        <f>D40</f>
        <v>275434.30974375003</v>
      </c>
      <c r="E75" s="101">
        <f>E40</f>
        <v>282320.16748734377</v>
      </c>
      <c r="F75" s="101">
        <f>F40</f>
        <v>289378.17167452734</v>
      </c>
      <c r="G75" s="101">
        <f>G40</f>
        <v>296612.62596639048</v>
      </c>
      <c r="H75" s="101"/>
      <c r="I75" s="96"/>
      <c r="J75" s="96"/>
    </row>
    <row r="76" spans="1:38" x14ac:dyDescent="0.15">
      <c r="B76" s="97" t="s">
        <v>6</v>
      </c>
      <c r="C76" s="100">
        <f>C74-C75</f>
        <v>1103376.1428398439</v>
      </c>
      <c r="D76" s="100">
        <f t="shared" ref="D76:G76" si="25">D74-D75</f>
        <v>1136404.7218031245</v>
      </c>
      <c r="E76" s="100">
        <f t="shared" si="25"/>
        <v>1143660.9283837501</v>
      </c>
      <c r="F76" s="100">
        <f t="shared" si="25"/>
        <v>1156225.2040874646</v>
      </c>
      <c r="G76" s="100">
        <f t="shared" si="25"/>
        <v>1180040.2393679847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1103376.1428398439</v>
      </c>
      <c r="D79" s="105">
        <f>D76</f>
        <v>1136404.7218031245</v>
      </c>
      <c r="E79" s="105">
        <f>E76</f>
        <v>1143660.9283837501</v>
      </c>
      <c r="F79" s="105">
        <f>F76</f>
        <v>1156225.2040874646</v>
      </c>
      <c r="G79" s="105">
        <f>G76</f>
        <v>1180040.2393679847</v>
      </c>
      <c r="H79" s="105"/>
      <c r="I79" s="106">
        <f>G79*(1+C83)/(C114-C113)</f>
        <v>14411323.119889935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1103376.1428398439</v>
      </c>
      <c r="D81" s="109">
        <f t="shared" ref="D81:G81" si="26">D79</f>
        <v>1136404.7218031245</v>
      </c>
      <c r="E81" s="109">
        <f t="shared" si="26"/>
        <v>1143660.9283837501</v>
      </c>
      <c r="F81" s="109">
        <f t="shared" si="26"/>
        <v>1156225.2040874646</v>
      </c>
      <c r="G81" s="109">
        <f t="shared" si="26"/>
        <v>1180040.2393679847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2.9934106494519996E-2</v>
      </c>
      <c r="E82" s="111">
        <f t="shared" ref="E82:G82" si="27">(E81/D81)-1</f>
        <v>6.3852309317338207E-3</v>
      </c>
      <c r="F82" s="111">
        <f t="shared" si="27"/>
        <v>1.0986014641132025E-2</v>
      </c>
      <c r="G82" s="111">
        <f t="shared" si="27"/>
        <v>2.0597228979553073E-2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1.6975645261734729E-2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0.28251527559752559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0.71748472440247446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1.6975645261734729E-2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14588579.03437008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14657767.03437008</v>
      </c>
      <c r="D119" s="96"/>
      <c r="E119" s="97" t="s">
        <v>28</v>
      </c>
      <c r="F119" s="106">
        <f>F135-F126-F121</f>
        <v>11746106.03437008</v>
      </c>
      <c r="G119" s="109">
        <f>C135-F135</f>
        <v>0</v>
      </c>
      <c r="H119" s="109"/>
      <c r="I119" s="96"/>
      <c r="J119" s="96"/>
      <c r="K119" s="123">
        <f>F119/F135</f>
        <v>0.71748472440247446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0.28251527559752559</v>
      </c>
      <c r="L121" s="95" t="s">
        <v>55</v>
      </c>
    </row>
    <row r="122" spans="2:12" x14ac:dyDescent="0.15">
      <c r="B122" s="96" t="s">
        <v>15</v>
      </c>
      <c r="C122" s="110">
        <f>C115</f>
        <v>14588579.03437008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16371228.03437008</v>
      </c>
      <c r="D135" s="96"/>
      <c r="E135" s="97" t="s">
        <v>30</v>
      </c>
      <c r="F135" s="105">
        <f>C135</f>
        <v>16371228.03437008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23907467.03437008</v>
      </c>
      <c r="D154" s="96"/>
      <c r="E154" s="97" t="s">
        <v>28</v>
      </c>
      <c r="F154" s="105">
        <f>F119+F141</f>
        <v>14676806.03437008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25782928.03437008</v>
      </c>
      <c r="D160" s="97"/>
      <c r="E160" s="97" t="s">
        <v>36</v>
      </c>
      <c r="F160" s="105">
        <f>F150+F135</f>
        <v>25782928.03437008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8205-E5C2-D147-A6AA-AA31E5DC97ED}">
  <dimension ref="A2:AL164"/>
  <sheetViews>
    <sheetView topLeftCell="A24" zoomScale="120" zoomScaleNormal="120" workbookViewId="0">
      <selection activeCell="H37" sqref="H37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3.1</v>
      </c>
      <c r="D6" s="49">
        <f>O6</f>
        <v>3.11</v>
      </c>
      <c r="E6" s="49">
        <f>R6</f>
        <v>3.12</v>
      </c>
      <c r="F6" s="49">
        <f>U6</f>
        <v>3.13</v>
      </c>
      <c r="G6" s="50">
        <f>X6</f>
        <v>3.15</v>
      </c>
      <c r="H6" s="44"/>
      <c r="I6" s="208" t="s">
        <v>69</v>
      </c>
      <c r="J6" s="153">
        <f>[1]Variables!C9</f>
        <v>2.8</v>
      </c>
      <c r="K6" s="153">
        <f>[1]Variables!D9</f>
        <v>3.1</v>
      </c>
      <c r="L6" s="145">
        <f>MAX(J6:K6)</f>
        <v>3.1</v>
      </c>
      <c r="M6" s="153">
        <f>[1]Variables!F9</f>
        <v>2.7949999999999999</v>
      </c>
      <c r="N6" s="153">
        <f>[1]Variables!G9</f>
        <v>3.11</v>
      </c>
      <c r="O6" s="145">
        <f>MAX(M6:N6)</f>
        <v>3.11</v>
      </c>
      <c r="P6" s="153">
        <f>[1]Variables!I9</f>
        <v>2.79</v>
      </c>
      <c r="Q6" s="153">
        <f>[1]Variables!J9</f>
        <v>3.12</v>
      </c>
      <c r="R6" s="145">
        <f>MAX(P6:Q6)</f>
        <v>3.12</v>
      </c>
      <c r="S6" s="153">
        <f>[1]Variables!L9</f>
        <v>2.78</v>
      </c>
      <c r="T6" s="153">
        <f>[1]Variables!M9</f>
        <v>3.13</v>
      </c>
      <c r="U6" s="145">
        <f>MAX(S6:T6)</f>
        <v>3.13</v>
      </c>
      <c r="V6" s="153">
        <f>[1]Variables!O9</f>
        <v>2.77</v>
      </c>
      <c r="W6" s="153">
        <f>[1]Variables!P9</f>
        <v>3.15</v>
      </c>
      <c r="X6" s="145">
        <f>MAX(V6:W6)</f>
        <v>3.15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[1]Variables!C11</f>
        <v>0.78</v>
      </c>
      <c r="K7" s="154">
        <f>[1]Variables!D11</f>
        <v>0.81</v>
      </c>
      <c r="L7" s="145">
        <f t="shared" ref="L7:L9" si="2">MAX(J7:K7)</f>
        <v>0.81</v>
      </c>
      <c r="M7" s="154">
        <f>[1]Variables!F11</f>
        <v>0.77</v>
      </c>
      <c r="N7" s="154">
        <f>[1]Variables!G11</f>
        <v>0.82</v>
      </c>
      <c r="O7" s="145">
        <f t="shared" ref="O7:O9" si="3">MAX(M7:N7)</f>
        <v>0.82</v>
      </c>
      <c r="P7" s="154">
        <f>[1]Variables!I11</f>
        <v>0.76500000000000001</v>
      </c>
      <c r="Q7" s="154">
        <f>[1]Variables!J11</f>
        <v>0.82499999999999996</v>
      </c>
      <c r="R7" s="145">
        <f t="shared" ref="R7:R9" si="4">MAX(P7:Q7)</f>
        <v>0.82499999999999996</v>
      </c>
      <c r="S7" s="154">
        <f>[1]Variables!L11</f>
        <v>0.76</v>
      </c>
      <c r="T7" s="154">
        <f>[1]Variables!M11</f>
        <v>0.83</v>
      </c>
      <c r="U7" s="145">
        <f t="shared" ref="U7:U9" si="5">MAX(S7:T7)</f>
        <v>0.83</v>
      </c>
      <c r="V7" s="154">
        <f>[1]Variables!O11</f>
        <v>0.75</v>
      </c>
      <c r="W7" s="154">
        <f>[1]Variables!P11</f>
        <v>0.83499999999999996</v>
      </c>
      <c r="X7" s="145">
        <f t="shared" ref="X7:X9" si="6">MAX(V7:W7)</f>
        <v>0.83499999999999996</v>
      </c>
    </row>
    <row r="8" spans="2:30" s="2" customFormat="1" ht="18" thickBot="1" x14ac:dyDescent="0.2">
      <c r="B8" s="55" t="s">
        <v>71</v>
      </c>
      <c r="C8" s="56">
        <f>L7</f>
        <v>0.81</v>
      </c>
      <c r="D8" s="56">
        <f>O7</f>
        <v>0.82</v>
      </c>
      <c r="E8" s="56">
        <f>R7</f>
        <v>0.82499999999999996</v>
      </c>
      <c r="F8" s="56">
        <f>U7</f>
        <v>0.83</v>
      </c>
      <c r="G8" s="57">
        <f>X7</f>
        <v>0.83499999999999996</v>
      </c>
      <c r="H8" s="58"/>
      <c r="I8" s="210" t="s">
        <v>74</v>
      </c>
      <c r="J8" s="153">
        <f>[1]Variables!C15</f>
        <v>35.5</v>
      </c>
      <c r="K8" s="153">
        <f>[1]Variables!D15</f>
        <v>37</v>
      </c>
      <c r="L8" s="145">
        <f t="shared" si="2"/>
        <v>37</v>
      </c>
      <c r="M8" s="153">
        <f>[1]Variables!F15</f>
        <v>36</v>
      </c>
      <c r="N8" s="153">
        <f>[1]Variables!G15</f>
        <v>38</v>
      </c>
      <c r="O8" s="145">
        <f t="shared" si="3"/>
        <v>38</v>
      </c>
      <c r="P8" s="153">
        <f>[1]Variables!I15</f>
        <v>36.25</v>
      </c>
      <c r="Q8" s="153">
        <f>[1]Variables!J15</f>
        <v>38.5</v>
      </c>
      <c r="R8" s="145">
        <f t="shared" si="4"/>
        <v>38.5</v>
      </c>
      <c r="S8" s="153">
        <f>[1]Variables!L15</f>
        <v>36.5</v>
      </c>
      <c r="T8" s="153">
        <f>[1]Variables!M15</f>
        <v>39</v>
      </c>
      <c r="U8" s="145">
        <f t="shared" si="5"/>
        <v>39</v>
      </c>
      <c r="V8" s="153">
        <f>[1]Variables!O15</f>
        <v>36.75</v>
      </c>
      <c r="W8" s="153">
        <f>[1]Variables!P15</f>
        <v>39.5</v>
      </c>
      <c r="X8" s="145">
        <f t="shared" si="6"/>
        <v>39.5</v>
      </c>
    </row>
    <row r="9" spans="2:30" s="2" customFormat="1" ht="17" thickBot="1" x14ac:dyDescent="0.25">
      <c r="B9" s="175" t="s">
        <v>72</v>
      </c>
      <c r="C9" s="60">
        <f>+C5*C7*C8</f>
        <v>64006.200000000004</v>
      </c>
      <c r="D9" s="60">
        <f>+D5*D7*D8</f>
        <v>64796.399999999994</v>
      </c>
      <c r="E9" s="60">
        <f>+E5*E7*E8</f>
        <v>65191.5</v>
      </c>
      <c r="F9" s="60">
        <f>+F5*F7*F8</f>
        <v>65586.599999999991</v>
      </c>
      <c r="G9" s="61">
        <f>+G5*G7*G8</f>
        <v>65981.7</v>
      </c>
      <c r="H9" s="62"/>
      <c r="I9" s="211" t="s">
        <v>75</v>
      </c>
      <c r="J9" s="154">
        <f>[1]Variables!C24</f>
        <v>0.22500000000000001</v>
      </c>
      <c r="K9" s="154">
        <f>[1]Variables!D24</f>
        <v>0.27</v>
      </c>
      <c r="L9" s="145">
        <f t="shared" si="2"/>
        <v>0.27</v>
      </c>
      <c r="M9" s="154">
        <f>[1]Variables!F24</f>
        <v>0.22</v>
      </c>
      <c r="N9" s="154">
        <f>[1]Variables!G24</f>
        <v>0.28000000000000003</v>
      </c>
      <c r="O9" s="145">
        <f t="shared" si="3"/>
        <v>0.28000000000000003</v>
      </c>
      <c r="P9" s="154">
        <f>[1]Variables!I24</f>
        <v>0.215</v>
      </c>
      <c r="Q9" s="154">
        <f>[1]Variables!J24</f>
        <v>0.28499999999999998</v>
      </c>
      <c r="R9" s="145">
        <f t="shared" si="4"/>
        <v>0.28499999999999998</v>
      </c>
      <c r="S9" s="154">
        <f>[1]Variables!L24</f>
        <v>0.21249999999999999</v>
      </c>
      <c r="T9" s="154">
        <f>[1]Variables!M24</f>
        <v>0.28999999999999998</v>
      </c>
      <c r="U9" s="145">
        <f t="shared" si="5"/>
        <v>0.28999999999999998</v>
      </c>
      <c r="V9" s="154">
        <f>[1]Variables!O24</f>
        <v>0.21</v>
      </c>
      <c r="W9" s="154">
        <f>[1]Variables!P24</f>
        <v>0.3</v>
      </c>
      <c r="X9" s="145">
        <f t="shared" si="6"/>
        <v>0.3</v>
      </c>
    </row>
    <row r="10" spans="2:30" s="2" customFormat="1" ht="34" x14ac:dyDescent="0.15">
      <c r="B10" s="174" t="s">
        <v>73</v>
      </c>
      <c r="C10" s="60">
        <f>+C5*C6*C7*C8</f>
        <v>198419.22000000003</v>
      </c>
      <c r="D10" s="60">
        <f>+D5*D6*D7*D8</f>
        <v>201516.80399999997</v>
      </c>
      <c r="E10" s="60">
        <f>+E5*E6*E7*E8</f>
        <v>203397.48</v>
      </c>
      <c r="F10" s="60">
        <f>+F5*F6*F7*F8</f>
        <v>205286.05799999996</v>
      </c>
      <c r="G10" s="61">
        <f>+G5*G6*G7*G8</f>
        <v>207842.35499999998</v>
      </c>
      <c r="H10" s="62"/>
      <c r="I10" s="209" t="s">
        <v>92</v>
      </c>
      <c r="J10" s="154">
        <f>[1]Variables!C26</f>
        <v>0.04</v>
      </c>
      <c r="K10" s="154">
        <f>[1]Variables!D26</f>
        <v>0.02</v>
      </c>
      <c r="L10" s="145">
        <f>MIN(J10:K10)</f>
        <v>0.02</v>
      </c>
      <c r="M10" s="154">
        <f>[1]Variables!F26</f>
        <v>0.04</v>
      </c>
      <c r="N10" s="154">
        <f>[1]Variables!G26</f>
        <v>0.02</v>
      </c>
      <c r="O10" s="145">
        <f>MIN(M10:N10)</f>
        <v>0.02</v>
      </c>
      <c r="P10" s="154">
        <f>[1]Variables!I26</f>
        <v>0.04</v>
      </c>
      <c r="Q10" s="154">
        <f>[1]Variables!J26</f>
        <v>0.02</v>
      </c>
      <c r="R10" s="145">
        <f>MIN(P10:Q10)</f>
        <v>0.02</v>
      </c>
      <c r="S10" s="154">
        <f>[1]Variables!L26</f>
        <v>0.04</v>
      </c>
      <c r="T10" s="154">
        <f>[1]Variables!M26</f>
        <v>0.02</v>
      </c>
      <c r="U10" s="145">
        <f>MIN(S10:T10)</f>
        <v>0.02</v>
      </c>
      <c r="V10" s="154">
        <f>[1]Variables!O26</f>
        <v>0.04</v>
      </c>
      <c r="W10" s="154">
        <f>[1]Variables!P26</f>
        <v>0.02</v>
      </c>
      <c r="X10" s="145">
        <f>MIN(V10:W10)</f>
        <v>0.02</v>
      </c>
    </row>
    <row r="11" spans="2:30" s="2" customFormat="1" ht="18" thickBot="1" x14ac:dyDescent="0.25">
      <c r="B11" s="48" t="s">
        <v>74</v>
      </c>
      <c r="C11" s="63">
        <f>L8</f>
        <v>37</v>
      </c>
      <c r="D11" s="63">
        <f>O8</f>
        <v>38</v>
      </c>
      <c r="E11" s="63">
        <f>R8</f>
        <v>38.5</v>
      </c>
      <c r="F11" s="63">
        <f>U8</f>
        <v>39</v>
      </c>
      <c r="G11" s="64">
        <f>X8</f>
        <v>39.5</v>
      </c>
      <c r="H11" s="65"/>
      <c r="I11" s="212" t="s">
        <v>78</v>
      </c>
      <c r="J11" s="155">
        <f>[1]Variables!C29</f>
        <v>0.04</v>
      </c>
      <c r="K11" s="155">
        <f>[1]Variables!D29</f>
        <v>0.01</v>
      </c>
      <c r="L11" s="184">
        <f>MIN(J11:K11)</f>
        <v>0.01</v>
      </c>
      <c r="M11" s="155">
        <f>[1]Variables!F29</f>
        <v>0.04</v>
      </c>
      <c r="N11" s="155">
        <f>[1]Variables!G29</f>
        <v>0.01</v>
      </c>
      <c r="O11" s="184">
        <f>MIN(M11:N11)</f>
        <v>0.01</v>
      </c>
      <c r="P11" s="155">
        <f>[1]Variables!I29</f>
        <v>0.04</v>
      </c>
      <c r="Q11" s="155">
        <f>[1]Variables!J29</f>
        <v>0.01</v>
      </c>
      <c r="R11" s="184">
        <f>MIN(P11:Q11)</f>
        <v>0.01</v>
      </c>
      <c r="S11" s="155">
        <f>[1]Variables!L29</f>
        <v>0.04</v>
      </c>
      <c r="T11" s="155">
        <f>[1]Variables!M29</f>
        <v>0.01</v>
      </c>
      <c r="U11" s="184">
        <f>MIN(S11:T11)</f>
        <v>0.01</v>
      </c>
      <c r="V11" s="155">
        <f>[1]Variables!O29</f>
        <v>0.04</v>
      </c>
      <c r="W11" s="155">
        <f>[1]Variables!P29</f>
        <v>0.01</v>
      </c>
      <c r="X11" s="184">
        <f>MIN(V11:W11)</f>
        <v>0.01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5359303.1322000008</v>
      </c>
      <c r="D14" s="52">
        <f t="shared" si="7"/>
        <v>5513499.7574399989</v>
      </c>
      <c r="E14" s="52">
        <f t="shared" si="7"/>
        <v>5599024.1307000006</v>
      </c>
      <c r="F14" s="52">
        <f t="shared" si="7"/>
        <v>5684370.9460199988</v>
      </c>
      <c r="G14" s="53">
        <f t="shared" si="7"/>
        <v>5746841.1157499999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0.73</v>
      </c>
      <c r="D15" s="206">
        <f>D14/D24</f>
        <v>0.72</v>
      </c>
      <c r="E15" s="206">
        <f>E14/E24</f>
        <v>0.71500000000000008</v>
      </c>
      <c r="F15" s="206">
        <f>F14/F24</f>
        <v>0.71</v>
      </c>
      <c r="G15" s="207">
        <f>G14/G24</f>
        <v>0.70000000000000007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0.27</v>
      </c>
      <c r="D16" s="67">
        <f>O9</f>
        <v>0.28000000000000003</v>
      </c>
      <c r="E16" s="67">
        <f>R9</f>
        <v>0.28499999999999998</v>
      </c>
      <c r="F16" s="67">
        <f>U9</f>
        <v>0.28999999999999998</v>
      </c>
      <c r="G16" s="68">
        <f>X9</f>
        <v>0.3</v>
      </c>
      <c r="H16" s="69"/>
    </row>
    <row r="17" spans="2:24" s="2" customFormat="1" ht="34" x14ac:dyDescent="0.15">
      <c r="B17" s="55" t="s">
        <v>76</v>
      </c>
      <c r="C17" s="70">
        <f>L10</f>
        <v>0.02</v>
      </c>
      <c r="D17" s="70">
        <f>O10</f>
        <v>0.02</v>
      </c>
      <c r="E17" s="70">
        <f>R10</f>
        <v>0.02</v>
      </c>
      <c r="F17" s="70">
        <f>U10</f>
        <v>0.02</v>
      </c>
      <c r="G17" s="71">
        <f>X10</f>
        <v>0.02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0.01</v>
      </c>
      <c r="D19" s="79">
        <f>O11</f>
        <v>0.01</v>
      </c>
      <c r="E19" s="79">
        <f>R11</f>
        <v>0.01</v>
      </c>
      <c r="F19" s="79">
        <f>U11</f>
        <v>0.01</v>
      </c>
      <c r="G19" s="80">
        <f>X11</f>
        <v>0.01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7341511.1400000015</v>
      </c>
      <c r="D24" s="85">
        <f>D5*D6*D7*D8*D11</f>
        <v>7657638.5519999992</v>
      </c>
      <c r="E24" s="85">
        <f>E5*E6*E7*E8*E11</f>
        <v>7830802.9800000004</v>
      </c>
      <c r="F24" s="85">
        <f>F5*F6*F7*F8*F11</f>
        <v>8006156.2619999982</v>
      </c>
      <c r="G24" s="86">
        <f>G5*G6*G7*G8*G11</f>
        <v>8209773.022499999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5359303.1322000008</v>
      </c>
      <c r="D25" s="88">
        <f t="shared" ref="D25:G25" si="9">D24-D26</f>
        <v>5513499.7574399989</v>
      </c>
      <c r="E25" s="88">
        <f t="shared" si="9"/>
        <v>5599024.1307000006</v>
      </c>
      <c r="F25" s="88">
        <f t="shared" si="9"/>
        <v>5684370.9460199988</v>
      </c>
      <c r="G25" s="89">
        <f t="shared" si="9"/>
        <v>5746841.1157499999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1982208.0078000005</v>
      </c>
      <c r="D26" s="88">
        <f>D16*D24</f>
        <v>2144138.7945599998</v>
      </c>
      <c r="E26" s="88">
        <f>E16*E24</f>
        <v>2231778.8492999999</v>
      </c>
      <c r="F26" s="88">
        <f>F16*F24</f>
        <v>2321785.3159799995</v>
      </c>
      <c r="G26" s="89">
        <f>G16*G24</f>
        <v>2462931.9067499996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146830.22280000005</v>
      </c>
      <c r="D27" s="88">
        <f>D17*D24</f>
        <v>153152.77103999999</v>
      </c>
      <c r="E27" s="88">
        <f>E17*E24</f>
        <v>156616.05960000001</v>
      </c>
      <c r="F27" s="88">
        <f>F17*F24</f>
        <v>160123.12523999996</v>
      </c>
      <c r="G27" s="89">
        <f>G17*G24</f>
        <v>164195.46044999998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1835377.7850000004</v>
      </c>
      <c r="D28" s="88">
        <f t="shared" ref="D28:G28" si="10">D26-D27</f>
        <v>1990986.0235199998</v>
      </c>
      <c r="E28" s="88">
        <f t="shared" si="10"/>
        <v>2075162.7896999998</v>
      </c>
      <c r="F28" s="88">
        <f t="shared" si="10"/>
        <v>2161662.1907399995</v>
      </c>
      <c r="G28" s="89">
        <f t="shared" si="10"/>
        <v>2298736.4462999995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1481886.0078000005</v>
      </c>
      <c r="D30" s="88">
        <f t="shared" si="12"/>
        <v>1643816.7945599998</v>
      </c>
      <c r="E30" s="88">
        <f t="shared" si="12"/>
        <v>1731456.8492999999</v>
      </c>
      <c r="F30" s="88">
        <f t="shared" si="12"/>
        <v>1821463.3159799995</v>
      </c>
      <c r="G30" s="89">
        <f t="shared" si="12"/>
        <v>1962609.9067499996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370471.50195000012</v>
      </c>
      <c r="D31" s="88">
        <f t="shared" ref="D31:G31" si="13">IF(D30&lt;=0,0,D$18*D30)</f>
        <v>410954.19863999996</v>
      </c>
      <c r="E31" s="88">
        <f t="shared" si="13"/>
        <v>432864.21232499997</v>
      </c>
      <c r="F31" s="88">
        <f t="shared" si="13"/>
        <v>455365.82899499987</v>
      </c>
      <c r="G31" s="89">
        <f t="shared" si="13"/>
        <v>490652.4766874999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1111414.5058500003</v>
      </c>
      <c r="D32" s="92">
        <f t="shared" si="14"/>
        <v>1232862.5959199998</v>
      </c>
      <c r="E32" s="92">
        <f t="shared" si="14"/>
        <v>1298592.6369749999</v>
      </c>
      <c r="F32" s="92">
        <f t="shared" si="14"/>
        <v>1366097.4869849996</v>
      </c>
      <c r="G32" s="93">
        <f t="shared" si="14"/>
        <v>1471957.4300624998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1111414.5058500003</v>
      </c>
      <c r="D37" s="135">
        <f t="shared" si="15"/>
        <v>1232862.5959199998</v>
      </c>
      <c r="E37" s="146">
        <f t="shared" si="15"/>
        <v>1298592.6369749999</v>
      </c>
      <c r="F37" s="146">
        <f t="shared" si="15"/>
        <v>1366097.4869849996</v>
      </c>
      <c r="G37" s="146">
        <f t="shared" si="15"/>
        <v>1471957.4300624998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1611736.5058500003</v>
      </c>
      <c r="D39" s="136">
        <f t="shared" si="17"/>
        <v>1733184.5959199998</v>
      </c>
      <c r="E39" s="32">
        <f t="shared" si="17"/>
        <v>1798914.6369749999</v>
      </c>
      <c r="F39" s="32">
        <f t="shared" si="17"/>
        <v>1866419.4869849996</v>
      </c>
      <c r="G39" s="32">
        <f t="shared" si="17"/>
        <v>1972279.4300624998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293660.44560000009</v>
      </c>
      <c r="D40" s="136">
        <f>+C40*(1+D19)</f>
        <v>296597.05005600012</v>
      </c>
      <c r="E40" s="32">
        <f>+D40*(1+E19)</f>
        <v>299563.02055656014</v>
      </c>
      <c r="F40" s="32">
        <f>+E40*(1+F19)</f>
        <v>302558.65076212573</v>
      </c>
      <c r="G40" s="32">
        <f>+F40*(1+G19)</f>
        <v>305584.23726974701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1318076.0602500001</v>
      </c>
      <c r="D41" s="204">
        <f t="shared" ref="D41:G41" si="18">D39-D40</f>
        <v>1436587.5458639995</v>
      </c>
      <c r="E41" s="204">
        <f t="shared" si="18"/>
        <v>1499351.6164184399</v>
      </c>
      <c r="F41" s="204">
        <f t="shared" si="18"/>
        <v>1563860.836222874</v>
      </c>
      <c r="G41" s="204">
        <f t="shared" si="18"/>
        <v>1666695.1927927528</v>
      </c>
      <c r="H41" s="204">
        <f>G41*(1+C47)/(C46-C47)</f>
        <v>34000581.932972156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15412651.120335624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1982208.0078000005</v>
      </c>
      <c r="D68" s="99">
        <f>D26</f>
        <v>2144138.7945599998</v>
      </c>
      <c r="E68" s="99">
        <f>E26</f>
        <v>2231778.8492999999</v>
      </c>
      <c r="F68" s="99">
        <f>F26</f>
        <v>2321785.3159799995</v>
      </c>
      <c r="G68" s="99">
        <f>G26</f>
        <v>2462931.9067499996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1481886.0078000005</v>
      </c>
      <c r="D70" s="99">
        <f t="shared" ref="D70:G70" si="20">D68-D69</f>
        <v>1643816.7945599998</v>
      </c>
      <c r="E70" s="99">
        <f t="shared" si="20"/>
        <v>1731456.8492999999</v>
      </c>
      <c r="F70" s="99">
        <f t="shared" si="20"/>
        <v>1821463.3159799995</v>
      </c>
      <c r="G70" s="99">
        <f t="shared" si="20"/>
        <v>1962609.9067499996</v>
      </c>
      <c r="H70" s="99"/>
      <c r="I70" s="96"/>
      <c r="J70" s="96"/>
    </row>
    <row r="71" spans="1:38" x14ac:dyDescent="0.15">
      <c r="B71" s="96" t="s">
        <v>3</v>
      </c>
      <c r="C71" s="98">
        <f>C70*0.25</f>
        <v>370471.50195000012</v>
      </c>
      <c r="D71" s="98">
        <f t="shared" ref="D71:G71" si="21">D70*0.25</f>
        <v>410954.19863999996</v>
      </c>
      <c r="E71" s="98">
        <f t="shared" si="21"/>
        <v>432864.21232499997</v>
      </c>
      <c r="F71" s="98">
        <f t="shared" si="21"/>
        <v>455365.82899499987</v>
      </c>
      <c r="G71" s="98">
        <f t="shared" si="21"/>
        <v>490652.4766874999</v>
      </c>
      <c r="H71" s="98"/>
      <c r="I71" s="96"/>
      <c r="J71" s="96"/>
    </row>
    <row r="72" spans="1:38" x14ac:dyDescent="0.15">
      <c r="B72" s="97" t="s">
        <v>4</v>
      </c>
      <c r="C72" s="99">
        <f>C70-C71</f>
        <v>1111414.5058500003</v>
      </c>
      <c r="D72" s="99">
        <f t="shared" ref="D72:G72" si="22">D70-D71</f>
        <v>1232862.5959199998</v>
      </c>
      <c r="E72" s="99">
        <f t="shared" si="22"/>
        <v>1298592.6369749999</v>
      </c>
      <c r="F72" s="99">
        <f t="shared" si="22"/>
        <v>1366097.4869849996</v>
      </c>
      <c r="G72" s="99">
        <f t="shared" si="22"/>
        <v>1471957.4300624998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1611736.5058500003</v>
      </c>
      <c r="D74" s="100">
        <f t="shared" ref="D74:G74" si="24">D72+D73</f>
        <v>1733184.5959199998</v>
      </c>
      <c r="E74" s="100">
        <f t="shared" si="24"/>
        <v>1798914.6369749999</v>
      </c>
      <c r="F74" s="100">
        <f t="shared" si="24"/>
        <v>1866419.4869849996</v>
      </c>
      <c r="G74" s="100">
        <f t="shared" si="24"/>
        <v>1972279.4300624998</v>
      </c>
      <c r="H74" s="100"/>
      <c r="I74" s="96"/>
      <c r="J74" s="96"/>
    </row>
    <row r="75" spans="1:38" x14ac:dyDescent="0.15">
      <c r="B75" s="96" t="s">
        <v>7</v>
      </c>
      <c r="C75" s="101">
        <f>C40</f>
        <v>293660.44560000009</v>
      </c>
      <c r="D75" s="101">
        <f>D40</f>
        <v>296597.05005600012</v>
      </c>
      <c r="E75" s="101">
        <f>E40</f>
        <v>299563.02055656014</v>
      </c>
      <c r="F75" s="101">
        <f>F40</f>
        <v>302558.65076212573</v>
      </c>
      <c r="G75" s="101">
        <f>G40</f>
        <v>305584.23726974701</v>
      </c>
      <c r="H75" s="101"/>
      <c r="I75" s="96"/>
      <c r="J75" s="96"/>
    </row>
    <row r="76" spans="1:38" x14ac:dyDescent="0.15">
      <c r="B76" s="97" t="s">
        <v>6</v>
      </c>
      <c r="C76" s="100">
        <f>C74-C75</f>
        <v>1318076.0602500001</v>
      </c>
      <c r="D76" s="100">
        <f t="shared" ref="D76:G76" si="25">D74-D75</f>
        <v>1436587.5458639995</v>
      </c>
      <c r="E76" s="100">
        <f t="shared" si="25"/>
        <v>1499351.6164184399</v>
      </c>
      <c r="F76" s="100">
        <f t="shared" si="25"/>
        <v>1563860.836222874</v>
      </c>
      <c r="G76" s="100">
        <f t="shared" si="25"/>
        <v>1666695.1927927528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1318076.0602500001</v>
      </c>
      <c r="D79" s="105">
        <f>D76</f>
        <v>1436587.5458639995</v>
      </c>
      <c r="E79" s="105">
        <f>E76</f>
        <v>1499351.6164184399</v>
      </c>
      <c r="F79" s="105">
        <f>F76</f>
        <v>1563860.836222874</v>
      </c>
      <c r="G79" s="105">
        <f>G76</f>
        <v>1666695.1927927528</v>
      </c>
      <c r="H79" s="105"/>
      <c r="I79" s="106">
        <f>G79*(1+C83)/(C114-C113)</f>
        <v>44579421.793653607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1318076.0602500001</v>
      </c>
      <c r="D81" s="109">
        <f t="shared" ref="D81:G81" si="26">D79</f>
        <v>1436587.5458639995</v>
      </c>
      <c r="E81" s="109">
        <f t="shared" si="26"/>
        <v>1499351.6164184399</v>
      </c>
      <c r="F81" s="109">
        <f t="shared" si="26"/>
        <v>1563860.836222874</v>
      </c>
      <c r="G81" s="109">
        <f t="shared" si="26"/>
        <v>1666695.1927927528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8.991247864066465E-2</v>
      </c>
      <c r="E82" s="111">
        <f t="shared" ref="E82:G82" si="27">(E81/D81)-1</f>
        <v>4.3689694188941752E-2</v>
      </c>
      <c r="F82" s="111">
        <f t="shared" si="27"/>
        <v>4.3024744228128409E-2</v>
      </c>
      <c r="G82" s="111">
        <f t="shared" si="27"/>
        <v>6.5756718365203248E-2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6.0595908855734515E-2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0.1205170015062666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0.87948299849373335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6.0595908855734515E-2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36594691.47639332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36663879.47639332</v>
      </c>
      <c r="D119" s="96"/>
      <c r="E119" s="97" t="s">
        <v>28</v>
      </c>
      <c r="F119" s="106">
        <f>F135-F126-F121</f>
        <v>33752218.47639332</v>
      </c>
      <c r="G119" s="109">
        <f>C135-F135</f>
        <v>0</v>
      </c>
      <c r="H119" s="109"/>
      <c r="I119" s="96"/>
      <c r="J119" s="96"/>
      <c r="K119" s="123">
        <f>F119/F135</f>
        <v>0.87948299849373335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0.1205170015062666</v>
      </c>
      <c r="L121" s="95" t="s">
        <v>55</v>
      </c>
    </row>
    <row r="122" spans="2:12" x14ac:dyDescent="0.15">
      <c r="B122" s="96" t="s">
        <v>15</v>
      </c>
      <c r="C122" s="110">
        <f>C115</f>
        <v>36594691.47639332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38377340.47639332</v>
      </c>
      <c r="D135" s="96"/>
      <c r="E135" s="97" t="s">
        <v>30</v>
      </c>
      <c r="F135" s="105">
        <f>C135</f>
        <v>38377340.47639332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45913579.47639332</v>
      </c>
      <c r="D154" s="96"/>
      <c r="E154" s="97" t="s">
        <v>28</v>
      </c>
      <c r="F154" s="105">
        <f>F119+F141</f>
        <v>36682918.47639332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47789040.47639332</v>
      </c>
      <c r="D160" s="97"/>
      <c r="E160" s="97" t="s">
        <v>36</v>
      </c>
      <c r="F160" s="105">
        <f>F150+F135</f>
        <v>47789040.47639332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CCB-E9B7-1446-A066-A381DFBA4136}">
  <dimension ref="A2:AL164"/>
  <sheetViews>
    <sheetView zoomScale="120" zoomScaleNormal="120" workbookViewId="0">
      <selection activeCell="E46" sqref="E46"/>
    </sheetView>
  </sheetViews>
  <sheetFormatPr baseColWidth="10" defaultColWidth="11.5" defaultRowHeight="14" x14ac:dyDescent="0.15"/>
  <cols>
    <col min="1" max="1" width="11.5" style="95"/>
    <col min="2" max="2" width="40" style="95" bestFit="1" customWidth="1"/>
    <col min="3" max="3" width="16.83203125" style="95" bestFit="1" customWidth="1"/>
    <col min="4" max="4" width="15.6640625" style="95" bestFit="1" customWidth="1"/>
    <col min="5" max="5" width="15" style="95" customWidth="1"/>
    <col min="6" max="6" width="16.83203125" style="95" bestFit="1" customWidth="1"/>
    <col min="7" max="7" width="15.6640625" style="95" bestFit="1" customWidth="1"/>
    <col min="8" max="8" width="15.5" style="95" customWidth="1"/>
    <col min="9" max="9" width="25.6640625" style="95" bestFit="1" customWidth="1"/>
    <col min="10" max="11" width="7.5" style="95" bestFit="1" customWidth="1"/>
    <col min="12" max="12" width="9.83203125" style="95" bestFit="1" customWidth="1"/>
    <col min="13" max="14" width="7.5" style="95" customWidth="1"/>
    <col min="15" max="15" width="9.83203125" style="95" bestFit="1" customWidth="1"/>
    <col min="16" max="17" width="7.5" style="95" customWidth="1"/>
    <col min="18" max="18" width="9.83203125" style="95" bestFit="1" customWidth="1"/>
    <col min="19" max="20" width="7.5" style="95" customWidth="1"/>
    <col min="21" max="21" width="9.83203125" style="95" bestFit="1" customWidth="1"/>
    <col min="22" max="23" width="7.5" style="95" customWidth="1"/>
    <col min="24" max="24" width="9.83203125" style="95" bestFit="1" customWidth="1"/>
    <col min="25" max="16384" width="11.5" style="95"/>
  </cols>
  <sheetData>
    <row r="2" spans="2:30" s="2" customFormat="1" ht="16" x14ac:dyDescent="0.2">
      <c r="B2" s="185" t="s">
        <v>114</v>
      </c>
      <c r="I2" s="185" t="s">
        <v>115</v>
      </c>
    </row>
    <row r="3" spans="2:30" s="3" customFormat="1" thickBot="1" x14ac:dyDescent="0.2"/>
    <row r="4" spans="2:30" s="33" customFormat="1" ht="19" customHeight="1" thickBot="1" x14ac:dyDescent="0.25">
      <c r="B4" s="38"/>
      <c r="C4" s="81" t="s">
        <v>79</v>
      </c>
      <c r="D4" s="82" t="s">
        <v>80</v>
      </c>
      <c r="E4" s="39" t="s">
        <v>81</v>
      </c>
      <c r="F4" s="83" t="s">
        <v>82</v>
      </c>
      <c r="G4" s="94" t="s">
        <v>100</v>
      </c>
      <c r="H4" s="40"/>
      <c r="I4" s="21"/>
      <c r="J4" s="330" t="s">
        <v>79</v>
      </c>
      <c r="K4" s="331"/>
      <c r="L4" s="332"/>
      <c r="M4" s="333" t="s">
        <v>80</v>
      </c>
      <c r="N4" s="334"/>
      <c r="O4" s="335"/>
      <c r="P4" s="336" t="s">
        <v>81</v>
      </c>
      <c r="Q4" s="337"/>
      <c r="R4" s="338"/>
      <c r="S4" s="339" t="s">
        <v>82</v>
      </c>
      <c r="T4" s="340"/>
      <c r="U4" s="341"/>
      <c r="V4" s="342" t="s">
        <v>100</v>
      </c>
      <c r="W4" s="343"/>
      <c r="X4" s="344"/>
      <c r="Z4" s="40"/>
      <c r="AA4" s="40"/>
      <c r="AB4" s="40"/>
      <c r="AC4" s="40"/>
      <c r="AD4" s="40"/>
    </row>
    <row r="5" spans="2:30" s="2" customFormat="1" ht="17" thickBot="1" x14ac:dyDescent="0.25">
      <c r="B5" s="41" t="s">
        <v>68</v>
      </c>
      <c r="C5" s="42">
        <v>439</v>
      </c>
      <c r="D5" s="42">
        <f t="shared" ref="D5:G5" si="0">$C$5</f>
        <v>439</v>
      </c>
      <c r="E5" s="42">
        <f t="shared" si="0"/>
        <v>439</v>
      </c>
      <c r="F5" s="42">
        <f t="shared" si="0"/>
        <v>439</v>
      </c>
      <c r="G5" s="43">
        <f t="shared" si="0"/>
        <v>439</v>
      </c>
      <c r="H5" s="44"/>
      <c r="I5" s="22"/>
      <c r="J5" s="45" t="s">
        <v>104</v>
      </c>
      <c r="K5" s="46" t="s">
        <v>112</v>
      </c>
      <c r="L5" s="47" t="s">
        <v>113</v>
      </c>
      <c r="M5" s="45" t="s">
        <v>104</v>
      </c>
      <c r="N5" s="46" t="s">
        <v>112</v>
      </c>
      <c r="O5" s="47" t="s">
        <v>113</v>
      </c>
      <c r="P5" s="45" t="s">
        <v>104</v>
      </c>
      <c r="Q5" s="46" t="s">
        <v>112</v>
      </c>
      <c r="R5" s="47" t="s">
        <v>113</v>
      </c>
      <c r="S5" s="45" t="s">
        <v>104</v>
      </c>
      <c r="T5" s="46" t="s">
        <v>112</v>
      </c>
      <c r="U5" s="47" t="s">
        <v>113</v>
      </c>
      <c r="V5" s="45" t="s">
        <v>104</v>
      </c>
      <c r="W5" s="46" t="s">
        <v>112</v>
      </c>
      <c r="X5" s="47" t="s">
        <v>113</v>
      </c>
    </row>
    <row r="6" spans="2:30" s="2" customFormat="1" ht="16" x14ac:dyDescent="0.2">
      <c r="B6" s="48" t="s">
        <v>69</v>
      </c>
      <c r="C6" s="49">
        <f>L6</f>
        <v>2.8</v>
      </c>
      <c r="D6" s="49">
        <f>O6</f>
        <v>2.7949999999999999</v>
      </c>
      <c r="E6" s="49">
        <f>R6</f>
        <v>2.79</v>
      </c>
      <c r="F6" s="49">
        <f>U6</f>
        <v>2.78</v>
      </c>
      <c r="G6" s="50">
        <f>X6</f>
        <v>2.77</v>
      </c>
      <c r="H6" s="44"/>
      <c r="I6" s="208" t="s">
        <v>69</v>
      </c>
      <c r="J6" s="153">
        <f>[1]Variables!C9</f>
        <v>2.8</v>
      </c>
      <c r="K6" s="153">
        <f>[1]Variables!D9</f>
        <v>3.1</v>
      </c>
      <c r="L6" s="145">
        <f>MIN(J6:K6)</f>
        <v>2.8</v>
      </c>
      <c r="M6" s="153">
        <f>[1]Variables!F9</f>
        <v>2.7949999999999999</v>
      </c>
      <c r="N6" s="153">
        <f>[1]Variables!G9</f>
        <v>3.11</v>
      </c>
      <c r="O6" s="145">
        <f>MIN(M6:N6)</f>
        <v>2.7949999999999999</v>
      </c>
      <c r="P6" s="153">
        <f>[1]Variables!I9</f>
        <v>2.79</v>
      </c>
      <c r="Q6" s="153">
        <f>[1]Variables!J9</f>
        <v>3.12</v>
      </c>
      <c r="R6" s="145">
        <f>MIN(P6:Q6)</f>
        <v>2.79</v>
      </c>
      <c r="S6" s="153">
        <f>[1]Variables!L9</f>
        <v>2.78</v>
      </c>
      <c r="T6" s="153">
        <f>[1]Variables!M9</f>
        <v>3.13</v>
      </c>
      <c r="U6" s="145">
        <f>MIN(S6:T6)</f>
        <v>2.78</v>
      </c>
      <c r="V6" s="153">
        <f>[1]Variables!O9</f>
        <v>2.77</v>
      </c>
      <c r="W6" s="153">
        <f>[1]Variables!P9</f>
        <v>3.15</v>
      </c>
      <c r="X6" s="145">
        <f>MIN(V6:W6)</f>
        <v>2.77</v>
      </c>
    </row>
    <row r="7" spans="2:30" s="2" customFormat="1" ht="17" x14ac:dyDescent="0.2">
      <c r="B7" s="51" t="s">
        <v>70</v>
      </c>
      <c r="C7" s="52">
        <v>180</v>
      </c>
      <c r="D7" s="52">
        <f t="shared" ref="D7:G7" si="1">+C7</f>
        <v>180</v>
      </c>
      <c r="E7" s="52">
        <f t="shared" si="1"/>
        <v>180</v>
      </c>
      <c r="F7" s="52">
        <f t="shared" si="1"/>
        <v>180</v>
      </c>
      <c r="G7" s="53">
        <f t="shared" si="1"/>
        <v>180</v>
      </c>
      <c r="H7" s="54"/>
      <c r="I7" s="209" t="s">
        <v>71</v>
      </c>
      <c r="J7" s="154">
        <f>[1]Variables!C11</f>
        <v>0.78</v>
      </c>
      <c r="K7" s="154">
        <f>[1]Variables!D11</f>
        <v>0.81</v>
      </c>
      <c r="L7" s="145">
        <f t="shared" ref="L7:L9" si="2">MIN(J7:K7)</f>
        <v>0.78</v>
      </c>
      <c r="M7" s="154">
        <f>[1]Variables!F11</f>
        <v>0.77</v>
      </c>
      <c r="N7" s="154">
        <f>[1]Variables!G11</f>
        <v>0.82</v>
      </c>
      <c r="O7" s="145">
        <f t="shared" ref="O7:O9" si="3">MIN(M7:N7)</f>
        <v>0.77</v>
      </c>
      <c r="P7" s="154">
        <f>[1]Variables!I11</f>
        <v>0.76500000000000001</v>
      </c>
      <c r="Q7" s="154">
        <f>[1]Variables!J11</f>
        <v>0.82499999999999996</v>
      </c>
      <c r="R7" s="145">
        <f t="shared" ref="R7:R9" si="4">MIN(P7:Q7)</f>
        <v>0.76500000000000001</v>
      </c>
      <c r="S7" s="154">
        <f>[1]Variables!L11</f>
        <v>0.76</v>
      </c>
      <c r="T7" s="154">
        <f>[1]Variables!M11</f>
        <v>0.83</v>
      </c>
      <c r="U7" s="145">
        <f t="shared" ref="U7:U9" si="5">MIN(S7:T7)</f>
        <v>0.76</v>
      </c>
      <c r="V7" s="154">
        <f>[1]Variables!O11</f>
        <v>0.75</v>
      </c>
      <c r="W7" s="154">
        <f>[1]Variables!P11</f>
        <v>0.83499999999999996</v>
      </c>
      <c r="X7" s="145">
        <f t="shared" ref="X7:X9" si="6">MIN(V7:W7)</f>
        <v>0.75</v>
      </c>
    </row>
    <row r="8" spans="2:30" s="2" customFormat="1" ht="18" thickBot="1" x14ac:dyDescent="0.2">
      <c r="B8" s="55" t="s">
        <v>71</v>
      </c>
      <c r="C8" s="56">
        <f>L7</f>
        <v>0.78</v>
      </c>
      <c r="D8" s="56">
        <f>O7</f>
        <v>0.77</v>
      </c>
      <c r="E8" s="56">
        <f>R7</f>
        <v>0.76500000000000001</v>
      </c>
      <c r="F8" s="56">
        <f>U7</f>
        <v>0.76</v>
      </c>
      <c r="G8" s="57">
        <f>X7</f>
        <v>0.75</v>
      </c>
      <c r="H8" s="58"/>
      <c r="I8" s="210" t="s">
        <v>74</v>
      </c>
      <c r="J8" s="153">
        <f>[1]Variables!C15</f>
        <v>35.5</v>
      </c>
      <c r="K8" s="153">
        <f>[1]Variables!D15</f>
        <v>37</v>
      </c>
      <c r="L8" s="145">
        <f t="shared" si="2"/>
        <v>35.5</v>
      </c>
      <c r="M8" s="153">
        <f>[1]Variables!F15</f>
        <v>36</v>
      </c>
      <c r="N8" s="153">
        <f>[1]Variables!G15</f>
        <v>38</v>
      </c>
      <c r="O8" s="145">
        <f t="shared" si="3"/>
        <v>36</v>
      </c>
      <c r="P8" s="153">
        <f>[1]Variables!I15</f>
        <v>36.25</v>
      </c>
      <c r="Q8" s="153">
        <f>[1]Variables!J15</f>
        <v>38.5</v>
      </c>
      <c r="R8" s="145">
        <f t="shared" si="4"/>
        <v>36.25</v>
      </c>
      <c r="S8" s="153">
        <f>[1]Variables!L15</f>
        <v>36.5</v>
      </c>
      <c r="T8" s="153">
        <f>[1]Variables!M15</f>
        <v>39</v>
      </c>
      <c r="U8" s="145">
        <f t="shared" si="5"/>
        <v>36.5</v>
      </c>
      <c r="V8" s="153">
        <f>[1]Variables!O15</f>
        <v>36.75</v>
      </c>
      <c r="W8" s="153">
        <f>[1]Variables!P15</f>
        <v>39.5</v>
      </c>
      <c r="X8" s="145">
        <f t="shared" si="6"/>
        <v>36.75</v>
      </c>
    </row>
    <row r="9" spans="2:30" s="2" customFormat="1" ht="17" thickBot="1" x14ac:dyDescent="0.25">
      <c r="B9" s="175" t="s">
        <v>72</v>
      </c>
      <c r="C9" s="60">
        <f>+C5*C7*C8</f>
        <v>61635.6</v>
      </c>
      <c r="D9" s="60">
        <f>+D5*D7*D8</f>
        <v>60845.4</v>
      </c>
      <c r="E9" s="60">
        <f>+E5*E7*E8</f>
        <v>60450.3</v>
      </c>
      <c r="F9" s="60">
        <f>+F5*F7*F8</f>
        <v>60055.199999999997</v>
      </c>
      <c r="G9" s="61">
        <f>+G5*G7*G8</f>
        <v>59265</v>
      </c>
      <c r="H9" s="62"/>
      <c r="I9" s="211" t="s">
        <v>75</v>
      </c>
      <c r="J9" s="154">
        <f>[1]Variables!C24</f>
        <v>0.22500000000000001</v>
      </c>
      <c r="K9" s="154">
        <f>[1]Variables!D24</f>
        <v>0.27</v>
      </c>
      <c r="L9" s="145">
        <f t="shared" si="2"/>
        <v>0.22500000000000001</v>
      </c>
      <c r="M9" s="154">
        <f>[1]Variables!F24</f>
        <v>0.22</v>
      </c>
      <c r="N9" s="154">
        <f>[1]Variables!G24</f>
        <v>0.28000000000000003</v>
      </c>
      <c r="O9" s="145">
        <f t="shared" si="3"/>
        <v>0.22</v>
      </c>
      <c r="P9" s="154">
        <f>[1]Variables!I24</f>
        <v>0.215</v>
      </c>
      <c r="Q9" s="154">
        <f>[1]Variables!J24</f>
        <v>0.28499999999999998</v>
      </c>
      <c r="R9" s="145">
        <f t="shared" si="4"/>
        <v>0.215</v>
      </c>
      <c r="S9" s="154">
        <f>[1]Variables!L24</f>
        <v>0.21249999999999999</v>
      </c>
      <c r="T9" s="154">
        <f>[1]Variables!M24</f>
        <v>0.28999999999999998</v>
      </c>
      <c r="U9" s="145">
        <f t="shared" si="5"/>
        <v>0.21249999999999999</v>
      </c>
      <c r="V9" s="154">
        <f>[1]Variables!O24</f>
        <v>0.21</v>
      </c>
      <c r="W9" s="154">
        <f>[1]Variables!P24</f>
        <v>0.3</v>
      </c>
      <c r="X9" s="145">
        <f t="shared" si="6"/>
        <v>0.21</v>
      </c>
    </row>
    <row r="10" spans="2:30" s="2" customFormat="1" ht="34" x14ac:dyDescent="0.15">
      <c r="B10" s="174" t="s">
        <v>73</v>
      </c>
      <c r="C10" s="60">
        <f>+C5*C6*C7*C8</f>
        <v>172579.68</v>
      </c>
      <c r="D10" s="60">
        <f>+D5*D6*D7*D8</f>
        <v>170062.89299999998</v>
      </c>
      <c r="E10" s="60">
        <f>+E5*E6*E7*E8</f>
        <v>168656.337</v>
      </c>
      <c r="F10" s="60">
        <f>+F5*F6*F7*F8</f>
        <v>166953.45599999998</v>
      </c>
      <c r="G10" s="61">
        <f>+G5*G6*G7*G8</f>
        <v>164164.04999999999</v>
      </c>
      <c r="H10" s="62"/>
      <c r="I10" s="209" t="s">
        <v>92</v>
      </c>
      <c r="J10" s="154">
        <f>[1]Variables!C26</f>
        <v>0.04</v>
      </c>
      <c r="K10" s="154">
        <f>[1]Variables!D26</f>
        <v>0.02</v>
      </c>
      <c r="L10" s="145">
        <f>MAX(J10:K10)</f>
        <v>0.04</v>
      </c>
      <c r="M10" s="154">
        <f>[1]Variables!F26</f>
        <v>0.04</v>
      </c>
      <c r="N10" s="154">
        <f>[1]Variables!G26</f>
        <v>0.02</v>
      </c>
      <c r="O10" s="145">
        <f>MAX(M10:N10)</f>
        <v>0.04</v>
      </c>
      <c r="P10" s="154">
        <f>[1]Variables!I26</f>
        <v>0.04</v>
      </c>
      <c r="Q10" s="154">
        <f>[1]Variables!J26</f>
        <v>0.02</v>
      </c>
      <c r="R10" s="145">
        <f>MAX(P10:Q10)</f>
        <v>0.04</v>
      </c>
      <c r="S10" s="154">
        <f>[1]Variables!L26</f>
        <v>0.04</v>
      </c>
      <c r="T10" s="154">
        <f>[1]Variables!M26</f>
        <v>0.02</v>
      </c>
      <c r="U10" s="145">
        <f>MAX(S10:T10)</f>
        <v>0.04</v>
      </c>
      <c r="V10" s="154">
        <f>[1]Variables!O26</f>
        <v>0.04</v>
      </c>
      <c r="W10" s="154">
        <f>[1]Variables!P26</f>
        <v>0.02</v>
      </c>
      <c r="X10" s="145">
        <f>MAX(V10:W10)</f>
        <v>0.04</v>
      </c>
    </row>
    <row r="11" spans="2:30" s="2" customFormat="1" ht="18" thickBot="1" x14ac:dyDescent="0.25">
      <c r="B11" s="48" t="s">
        <v>74</v>
      </c>
      <c r="C11" s="63">
        <f>L8</f>
        <v>35.5</v>
      </c>
      <c r="D11" s="63">
        <f>O8</f>
        <v>36</v>
      </c>
      <c r="E11" s="63">
        <f>R8</f>
        <v>36.25</v>
      </c>
      <c r="F11" s="63">
        <f>U8</f>
        <v>36.5</v>
      </c>
      <c r="G11" s="64">
        <f>X8</f>
        <v>36.75</v>
      </c>
      <c r="H11" s="65"/>
      <c r="I11" s="212" t="s">
        <v>78</v>
      </c>
      <c r="J11" s="155">
        <f>[1]Variables!C29</f>
        <v>0.04</v>
      </c>
      <c r="K11" s="155">
        <f>[1]Variables!D29</f>
        <v>0.01</v>
      </c>
      <c r="L11" s="184">
        <f>MAX(J11:K11)</f>
        <v>0.04</v>
      </c>
      <c r="M11" s="155">
        <f>[1]Variables!F29</f>
        <v>0.04</v>
      </c>
      <c r="N11" s="155">
        <f>[1]Variables!G29</f>
        <v>0.01</v>
      </c>
      <c r="O11" s="184">
        <f>MAX(M11:N11)</f>
        <v>0.04</v>
      </c>
      <c r="P11" s="155">
        <f>[1]Variables!I29</f>
        <v>0.04</v>
      </c>
      <c r="Q11" s="155">
        <f>[1]Variables!J29</f>
        <v>0.01</v>
      </c>
      <c r="R11" s="184">
        <f>MAX(P11:Q11)</f>
        <v>0.04</v>
      </c>
      <c r="S11" s="155">
        <f>[1]Variables!L29</f>
        <v>0.04</v>
      </c>
      <c r="T11" s="155">
        <f>[1]Variables!M29</f>
        <v>0.01</v>
      </c>
      <c r="U11" s="184">
        <f>MAX(S11:T11)</f>
        <v>0.04</v>
      </c>
      <c r="V11" s="155">
        <f>[1]Variables!O29</f>
        <v>0.04</v>
      </c>
      <c r="W11" s="155">
        <f>[1]Variables!P29</f>
        <v>0.01</v>
      </c>
      <c r="X11" s="184">
        <f>MAX(V11:W11)</f>
        <v>0.04</v>
      </c>
    </row>
    <row r="12" spans="2:30" s="5" customFormat="1" ht="17" x14ac:dyDescent="0.2">
      <c r="B12" s="59" t="s">
        <v>108</v>
      </c>
      <c r="C12" s="206"/>
      <c r="D12" s="206">
        <v>4.9180327868851847E-3</v>
      </c>
      <c r="E12" s="206">
        <v>0.03</v>
      </c>
      <c r="F12" s="206">
        <f>+E12</f>
        <v>0.03</v>
      </c>
      <c r="G12" s="207">
        <v>0.03</v>
      </c>
      <c r="H12" s="66"/>
      <c r="I12" s="176"/>
      <c r="J12" s="177"/>
      <c r="K12" s="177"/>
      <c r="L12" s="178"/>
      <c r="M12" s="179"/>
      <c r="N12" s="179"/>
      <c r="O12" s="178"/>
      <c r="P12" s="179"/>
      <c r="Q12" s="179"/>
      <c r="R12" s="178"/>
      <c r="S12" s="179"/>
      <c r="T12" s="179"/>
      <c r="U12" s="178"/>
      <c r="V12" s="179"/>
      <c r="W12" s="180"/>
      <c r="X12" s="25"/>
    </row>
    <row r="13" spans="2:30" s="2" customFormat="1" ht="16" x14ac:dyDescent="0.2">
      <c r="B13" s="51" t="s">
        <v>109</v>
      </c>
      <c r="C13" s="206">
        <v>2.7E-2</v>
      </c>
      <c r="D13" s="206">
        <f>C13</f>
        <v>2.7E-2</v>
      </c>
      <c r="E13" s="206">
        <f>D13</f>
        <v>2.7E-2</v>
      </c>
      <c r="F13" s="206">
        <f>E13</f>
        <v>2.7E-2</v>
      </c>
      <c r="G13" s="207">
        <f>F13</f>
        <v>2.7E-2</v>
      </c>
      <c r="H13" s="66"/>
      <c r="J13" s="177"/>
      <c r="K13" s="177"/>
      <c r="L13" s="181"/>
      <c r="M13" s="182"/>
      <c r="N13" s="182"/>
      <c r="O13" s="181"/>
      <c r="P13" s="182"/>
      <c r="Q13" s="182"/>
      <c r="R13" s="181"/>
      <c r="S13" s="182"/>
      <c r="T13" s="182"/>
      <c r="U13" s="181"/>
      <c r="V13" s="182"/>
      <c r="W13" s="183"/>
      <c r="X13" s="23"/>
    </row>
    <row r="14" spans="2:30" s="2" customFormat="1" ht="16" x14ac:dyDescent="0.2">
      <c r="B14" s="51" t="s">
        <v>110</v>
      </c>
      <c r="C14" s="52">
        <f t="shared" ref="C14:G14" si="7">C24-C26</f>
        <v>4748098.4459999995</v>
      </c>
      <c r="D14" s="52">
        <f t="shared" si="7"/>
        <v>4775366.0354399998</v>
      </c>
      <c r="E14" s="52">
        <f t="shared" si="7"/>
        <v>4799326.8897562493</v>
      </c>
      <c r="F14" s="52">
        <f t="shared" si="7"/>
        <v>4798868.4008999998</v>
      </c>
      <c r="G14" s="53">
        <f t="shared" si="7"/>
        <v>4766092.7816249998</v>
      </c>
      <c r="H14" s="54"/>
      <c r="J14" s="177"/>
      <c r="K14" s="177"/>
      <c r="L14" s="181"/>
      <c r="M14" s="182"/>
      <c r="N14" s="182"/>
      <c r="O14" s="181"/>
      <c r="P14" s="182"/>
      <c r="Q14" s="182"/>
      <c r="R14" s="181"/>
      <c r="S14" s="182"/>
      <c r="T14" s="182"/>
      <c r="U14" s="181"/>
      <c r="V14" s="182"/>
      <c r="W14" s="183"/>
      <c r="X14" s="23"/>
    </row>
    <row r="15" spans="2:30" s="2" customFormat="1" ht="16" x14ac:dyDescent="0.2">
      <c r="B15" s="51" t="s">
        <v>111</v>
      </c>
      <c r="C15" s="206">
        <f>C14/C24</f>
        <v>0.77499999999999991</v>
      </c>
      <c r="D15" s="206">
        <f>D14/D24</f>
        <v>0.78</v>
      </c>
      <c r="E15" s="206">
        <f>E14/E24</f>
        <v>0.78499999999999992</v>
      </c>
      <c r="F15" s="206">
        <f>F14/F24</f>
        <v>0.78750000000000009</v>
      </c>
      <c r="G15" s="207">
        <f>G14/G24</f>
        <v>0.79</v>
      </c>
      <c r="H15" s="66"/>
      <c r="J15" s="177"/>
      <c r="K15" s="177"/>
      <c r="L15" s="181"/>
      <c r="M15" s="182"/>
      <c r="N15" s="182"/>
      <c r="O15" s="181"/>
      <c r="P15" s="182"/>
      <c r="Q15" s="182"/>
      <c r="R15" s="181"/>
      <c r="S15" s="182"/>
      <c r="T15" s="182"/>
      <c r="U15" s="181"/>
      <c r="V15" s="182"/>
      <c r="W15" s="183"/>
      <c r="X15" s="23"/>
    </row>
    <row r="16" spans="2:30" s="2" customFormat="1" ht="16" x14ac:dyDescent="0.2">
      <c r="B16" s="48" t="s">
        <v>75</v>
      </c>
      <c r="C16" s="67">
        <f>L9</f>
        <v>0.22500000000000001</v>
      </c>
      <c r="D16" s="67">
        <f>O9</f>
        <v>0.22</v>
      </c>
      <c r="E16" s="67">
        <f>R9</f>
        <v>0.215</v>
      </c>
      <c r="F16" s="67">
        <f>U9</f>
        <v>0.21249999999999999</v>
      </c>
      <c r="G16" s="68">
        <f>X9</f>
        <v>0.21</v>
      </c>
      <c r="H16" s="69"/>
    </row>
    <row r="17" spans="2:24" s="2" customFormat="1" ht="34" x14ac:dyDescent="0.15">
      <c r="B17" s="55" t="s">
        <v>76</v>
      </c>
      <c r="C17" s="70">
        <f>L10</f>
        <v>0.04</v>
      </c>
      <c r="D17" s="70">
        <f>O10</f>
        <v>0.04</v>
      </c>
      <c r="E17" s="70">
        <f>R10</f>
        <v>0.04</v>
      </c>
      <c r="F17" s="70">
        <f>U10</f>
        <v>0.04</v>
      </c>
      <c r="G17" s="71">
        <f>X10</f>
        <v>0.04</v>
      </c>
      <c r="H17" s="72"/>
    </row>
    <row r="18" spans="2:24" s="2" customFormat="1" ht="17" x14ac:dyDescent="0.2">
      <c r="B18" s="59" t="s">
        <v>77</v>
      </c>
      <c r="C18" s="74">
        <v>0.25</v>
      </c>
      <c r="D18" s="74">
        <f>+C18</f>
        <v>0.25</v>
      </c>
      <c r="E18" s="74">
        <f t="shared" ref="E18:G18" si="8">D18</f>
        <v>0.25</v>
      </c>
      <c r="F18" s="74">
        <f t="shared" si="8"/>
        <v>0.25</v>
      </c>
      <c r="G18" s="75">
        <f t="shared" si="8"/>
        <v>0.25</v>
      </c>
      <c r="H18" s="76"/>
      <c r="J18" s="73"/>
      <c r="K18" s="73"/>
      <c r="L18" s="77"/>
      <c r="M18" s="73"/>
      <c r="N18" s="73"/>
      <c r="O18" s="77"/>
      <c r="P18" s="73"/>
      <c r="Q18" s="73"/>
      <c r="R18" s="77"/>
      <c r="S18" s="73"/>
      <c r="T18" s="73"/>
      <c r="U18" s="77"/>
      <c r="V18" s="73"/>
      <c r="W18" s="73"/>
      <c r="X18" s="18"/>
    </row>
    <row r="19" spans="2:24" s="2" customFormat="1" ht="18" thickBot="1" x14ac:dyDescent="0.25">
      <c r="B19" s="78" t="s">
        <v>78</v>
      </c>
      <c r="C19" s="79">
        <f>L11</f>
        <v>0.04</v>
      </c>
      <c r="D19" s="79">
        <f>O11</f>
        <v>0.04</v>
      </c>
      <c r="E19" s="79">
        <f>R11</f>
        <v>0.04</v>
      </c>
      <c r="F19" s="79">
        <f>U11</f>
        <v>0.04</v>
      </c>
      <c r="G19" s="80">
        <f>X11</f>
        <v>0.04</v>
      </c>
      <c r="H19" s="69"/>
    </row>
    <row r="20" spans="2:24" s="2" customFormat="1" ht="13" x14ac:dyDescent="0.15">
      <c r="B20" s="6"/>
      <c r="D20" s="7"/>
      <c r="E20" s="7"/>
      <c r="F20" s="7"/>
      <c r="G20" s="7"/>
      <c r="H20" s="7"/>
      <c r="I20" s="7"/>
      <c r="J20" s="7"/>
      <c r="K20" s="7"/>
    </row>
    <row r="21" spans="2:24" s="2" customFormat="1" ht="16" x14ac:dyDescent="0.2">
      <c r="B21" s="185" t="s">
        <v>116</v>
      </c>
      <c r="D21" s="7"/>
      <c r="E21" s="7"/>
      <c r="F21" s="7"/>
      <c r="G21" s="7"/>
      <c r="H21" s="7"/>
      <c r="I21" s="7"/>
      <c r="J21" s="7"/>
      <c r="K21" s="7"/>
    </row>
    <row r="22" spans="2:24" s="2" customFormat="1" thickBot="1" x14ac:dyDescent="0.2">
      <c r="B22" s="8"/>
      <c r="C22" s="4"/>
    </row>
    <row r="23" spans="2:24" s="2" customFormat="1" ht="17" thickBot="1" x14ac:dyDescent="0.2">
      <c r="B23" s="15"/>
      <c r="C23" s="81" t="s">
        <v>79</v>
      </c>
      <c r="D23" s="82" t="s">
        <v>80</v>
      </c>
      <c r="E23" s="39" t="s">
        <v>81</v>
      </c>
      <c r="F23" s="83" t="s">
        <v>82</v>
      </c>
      <c r="G23" s="94" t="s">
        <v>100</v>
      </c>
      <c r="H23" s="26"/>
    </row>
    <row r="24" spans="2:24" s="2" customFormat="1" ht="16" x14ac:dyDescent="0.15">
      <c r="B24" s="84" t="s">
        <v>83</v>
      </c>
      <c r="C24" s="85">
        <f>C5*C6*C7*C8*C11</f>
        <v>6126578.6399999997</v>
      </c>
      <c r="D24" s="85">
        <f>D5*D6*D7*D8*D11</f>
        <v>6122264.1479999991</v>
      </c>
      <c r="E24" s="85">
        <f>E5*E6*E7*E8*E11</f>
        <v>6113792.2162499996</v>
      </c>
      <c r="F24" s="85">
        <f>F5*F6*F7*F8*F11</f>
        <v>6093801.1439999994</v>
      </c>
      <c r="G24" s="86">
        <f>G5*G6*G7*G8*G11</f>
        <v>6033028.8374999994</v>
      </c>
      <c r="H24" s="10"/>
      <c r="I24" s="4"/>
      <c r="J24" s="4"/>
    </row>
    <row r="25" spans="2:24" s="2" customFormat="1" ht="16" x14ac:dyDescent="0.15">
      <c r="B25" s="87" t="s">
        <v>84</v>
      </c>
      <c r="C25" s="88">
        <f>C24-C26</f>
        <v>4748098.4459999995</v>
      </c>
      <c r="D25" s="88">
        <f t="shared" ref="D25:G25" si="9">D24-D26</f>
        <v>4775366.0354399998</v>
      </c>
      <c r="E25" s="88">
        <f t="shared" si="9"/>
        <v>4799326.8897562493</v>
      </c>
      <c r="F25" s="88">
        <f t="shared" si="9"/>
        <v>4798868.4008999998</v>
      </c>
      <c r="G25" s="89">
        <f t="shared" si="9"/>
        <v>4766092.7816249998</v>
      </c>
      <c r="H25" s="10"/>
      <c r="I25" s="4"/>
      <c r="J25" s="4"/>
    </row>
    <row r="26" spans="2:24" s="2" customFormat="1" ht="16" x14ac:dyDescent="0.15">
      <c r="B26" s="90" t="s">
        <v>0</v>
      </c>
      <c r="C26" s="88">
        <f>C16*C24</f>
        <v>1378480.1939999999</v>
      </c>
      <c r="D26" s="88">
        <f>D16*D24</f>
        <v>1346898.1125599998</v>
      </c>
      <c r="E26" s="88">
        <f>E16*E24</f>
        <v>1314465.3264937499</v>
      </c>
      <c r="F26" s="88">
        <f>F16*F24</f>
        <v>1294932.7430999998</v>
      </c>
      <c r="G26" s="89">
        <f>G16*G24</f>
        <v>1266936.0558749998</v>
      </c>
      <c r="H26" s="10"/>
      <c r="I26" s="4"/>
      <c r="J26" s="4"/>
    </row>
    <row r="27" spans="2:24" s="2" customFormat="1" ht="16" x14ac:dyDescent="0.15">
      <c r="B27" s="87" t="s">
        <v>118</v>
      </c>
      <c r="C27" s="88">
        <f>C17*C24</f>
        <v>245063.14559999999</v>
      </c>
      <c r="D27" s="88">
        <f>D17*D24</f>
        <v>244890.56591999996</v>
      </c>
      <c r="E27" s="88">
        <f>E17*E24</f>
        <v>244551.68865</v>
      </c>
      <c r="F27" s="88">
        <f>F17*F24</f>
        <v>243752.04575999998</v>
      </c>
      <c r="G27" s="89">
        <f>G17*G24</f>
        <v>241321.15349999999</v>
      </c>
      <c r="H27" s="4"/>
      <c r="I27" s="4"/>
      <c r="J27" s="4"/>
    </row>
    <row r="28" spans="2:24" s="2" customFormat="1" ht="16" x14ac:dyDescent="0.15">
      <c r="B28" s="90" t="s">
        <v>65</v>
      </c>
      <c r="C28" s="88">
        <f>C26-C27</f>
        <v>1133417.0484</v>
      </c>
      <c r="D28" s="88">
        <f t="shared" ref="D28:G28" si="10">D26-D27</f>
        <v>1102007.5466399998</v>
      </c>
      <c r="E28" s="88">
        <f t="shared" si="10"/>
        <v>1069913.63784375</v>
      </c>
      <c r="F28" s="88">
        <f t="shared" si="10"/>
        <v>1051180.69734</v>
      </c>
      <c r="G28" s="89">
        <f t="shared" si="10"/>
        <v>1025614.9023749998</v>
      </c>
      <c r="H28" s="10"/>
      <c r="I28" s="4"/>
      <c r="J28" s="4"/>
    </row>
    <row r="29" spans="2:24" s="2" customFormat="1" ht="16" x14ac:dyDescent="0.15">
      <c r="B29" s="87" t="s">
        <v>91</v>
      </c>
      <c r="C29" s="88">
        <v>500322</v>
      </c>
      <c r="D29" s="88">
        <f t="shared" ref="D29:G29" si="11">+C29</f>
        <v>500322</v>
      </c>
      <c r="E29" s="88">
        <f t="shared" si="11"/>
        <v>500322</v>
      </c>
      <c r="F29" s="88">
        <f t="shared" si="11"/>
        <v>500322</v>
      </c>
      <c r="G29" s="89">
        <f t="shared" si="11"/>
        <v>500322</v>
      </c>
      <c r="H29" s="4"/>
      <c r="I29" s="4"/>
      <c r="J29" s="4"/>
    </row>
    <row r="30" spans="2:24" s="2" customFormat="1" ht="16" x14ac:dyDescent="0.15">
      <c r="B30" s="90" t="s">
        <v>85</v>
      </c>
      <c r="C30" s="88">
        <f t="shared" ref="C30:G30" si="12">+C26-C29</f>
        <v>878158.1939999999</v>
      </c>
      <c r="D30" s="88">
        <f t="shared" si="12"/>
        <v>846576.1125599998</v>
      </c>
      <c r="E30" s="88">
        <f t="shared" si="12"/>
        <v>814143.32649374986</v>
      </c>
      <c r="F30" s="88">
        <f t="shared" si="12"/>
        <v>794610.74309999985</v>
      </c>
      <c r="G30" s="89">
        <f t="shared" si="12"/>
        <v>766614.05587499985</v>
      </c>
      <c r="H30" s="10"/>
      <c r="I30" s="4"/>
      <c r="J30" s="4"/>
    </row>
    <row r="31" spans="2:24" s="2" customFormat="1" ht="16" x14ac:dyDescent="0.15">
      <c r="B31" s="87" t="s">
        <v>119</v>
      </c>
      <c r="C31" s="88">
        <f>IF(C30&lt;=0,0,C$18*C30)</f>
        <v>219539.54849999998</v>
      </c>
      <c r="D31" s="88">
        <f t="shared" ref="D31:G31" si="13">IF(D30&lt;=0,0,D$18*D30)</f>
        <v>211644.02813999995</v>
      </c>
      <c r="E31" s="88">
        <f t="shared" si="13"/>
        <v>203535.83162343747</v>
      </c>
      <c r="F31" s="88">
        <f t="shared" si="13"/>
        <v>198652.68577499996</v>
      </c>
      <c r="G31" s="89">
        <f t="shared" si="13"/>
        <v>191653.51396874996</v>
      </c>
      <c r="H31" s="10"/>
      <c r="I31" s="4"/>
      <c r="J31" s="4"/>
    </row>
    <row r="32" spans="2:24" s="2" customFormat="1" ht="17" thickBot="1" x14ac:dyDescent="0.2">
      <c r="B32" s="91" t="s">
        <v>86</v>
      </c>
      <c r="C32" s="92">
        <f t="shared" ref="C32:G32" si="14">C30-C31</f>
        <v>658618.64549999987</v>
      </c>
      <c r="D32" s="92">
        <f t="shared" si="14"/>
        <v>634932.08441999985</v>
      </c>
      <c r="E32" s="92">
        <f t="shared" si="14"/>
        <v>610607.4948703124</v>
      </c>
      <c r="F32" s="92">
        <f t="shared" si="14"/>
        <v>595958.05732499994</v>
      </c>
      <c r="G32" s="93">
        <f t="shared" si="14"/>
        <v>574960.54190624994</v>
      </c>
      <c r="H32" s="10"/>
      <c r="I32" s="4"/>
      <c r="J32" s="4"/>
    </row>
    <row r="33" spans="2:11" s="2" customFormat="1" ht="13" x14ac:dyDescent="0.15">
      <c r="B33" s="9"/>
      <c r="C33" s="10"/>
      <c r="D33" s="10"/>
      <c r="E33" s="10"/>
      <c r="F33" s="10"/>
      <c r="G33" s="10"/>
      <c r="H33" s="10"/>
      <c r="I33" s="4"/>
      <c r="J33" s="4"/>
    </row>
    <row r="34" spans="2:11" s="2" customFormat="1" ht="16" x14ac:dyDescent="0.2">
      <c r="B34" s="187" t="s">
        <v>117</v>
      </c>
      <c r="C34" s="10"/>
      <c r="D34" s="10"/>
      <c r="E34" s="10"/>
      <c r="F34" s="10"/>
      <c r="G34" s="10"/>
      <c r="H34" s="10"/>
      <c r="I34" s="4"/>
      <c r="J34" s="4"/>
    </row>
    <row r="35" spans="2:11" s="2" customFormat="1" thickBot="1" x14ac:dyDescent="0.2">
      <c r="B35" s="8"/>
      <c r="C35" s="10"/>
      <c r="D35" s="10"/>
      <c r="E35" s="10"/>
      <c r="F35" s="10"/>
      <c r="G35" s="10"/>
      <c r="H35" s="10"/>
      <c r="I35" s="4"/>
      <c r="J35" s="4"/>
    </row>
    <row r="36" spans="2:11" s="2" customFormat="1" ht="17" thickBot="1" x14ac:dyDescent="0.25">
      <c r="B36" s="27"/>
      <c r="C36" s="81" t="s">
        <v>79</v>
      </c>
      <c r="D36" s="82" t="s">
        <v>80</v>
      </c>
      <c r="E36" s="39" t="s">
        <v>81</v>
      </c>
      <c r="F36" s="83" t="s">
        <v>82</v>
      </c>
      <c r="G36" s="94" t="s">
        <v>100</v>
      </c>
      <c r="H36" s="129" t="s">
        <v>130</v>
      </c>
      <c r="J36" s="4"/>
    </row>
    <row r="37" spans="2:11" s="2" customFormat="1" ht="18" customHeight="1" x14ac:dyDescent="0.2">
      <c r="B37" s="29" t="s">
        <v>86</v>
      </c>
      <c r="C37" s="146">
        <f t="shared" ref="C37:G37" si="15">+C32</f>
        <v>658618.64549999987</v>
      </c>
      <c r="D37" s="135">
        <f t="shared" si="15"/>
        <v>634932.08441999985</v>
      </c>
      <c r="E37" s="146">
        <f t="shared" si="15"/>
        <v>610607.4948703124</v>
      </c>
      <c r="F37" s="146">
        <f t="shared" si="15"/>
        <v>595958.05732499994</v>
      </c>
      <c r="G37" s="146">
        <f t="shared" si="15"/>
        <v>574960.54190624994</v>
      </c>
      <c r="H37" s="24"/>
      <c r="I37" s="4"/>
      <c r="J37" s="4"/>
    </row>
    <row r="38" spans="2:11" s="2" customFormat="1" ht="16" customHeight="1" x14ac:dyDescent="0.2">
      <c r="B38" s="30" t="s">
        <v>91</v>
      </c>
      <c r="C38" s="32">
        <f t="shared" ref="C38:G38" si="16">+C29</f>
        <v>500322</v>
      </c>
      <c r="D38" s="136">
        <f t="shared" si="16"/>
        <v>500322</v>
      </c>
      <c r="E38" s="32">
        <f t="shared" si="16"/>
        <v>500322</v>
      </c>
      <c r="F38" s="32">
        <f t="shared" si="16"/>
        <v>500322</v>
      </c>
      <c r="G38" s="32">
        <f t="shared" si="16"/>
        <v>500322</v>
      </c>
      <c r="H38" s="128"/>
      <c r="I38" s="4"/>
      <c r="J38" s="4"/>
    </row>
    <row r="39" spans="2:11" s="2" customFormat="1" ht="16" x14ac:dyDescent="0.2">
      <c r="B39" s="31" t="s">
        <v>58</v>
      </c>
      <c r="C39" s="32">
        <f t="shared" ref="C39:G39" si="17">+C37+C38</f>
        <v>1158940.6454999999</v>
      </c>
      <c r="D39" s="136">
        <f t="shared" si="17"/>
        <v>1135254.0844199997</v>
      </c>
      <c r="E39" s="32">
        <f t="shared" si="17"/>
        <v>1110929.4948703125</v>
      </c>
      <c r="F39" s="32">
        <f t="shared" si="17"/>
        <v>1096280.0573249999</v>
      </c>
      <c r="G39" s="32">
        <f t="shared" si="17"/>
        <v>1075282.5419062499</v>
      </c>
      <c r="H39" s="127"/>
      <c r="I39" s="4"/>
      <c r="J39" s="4"/>
    </row>
    <row r="40" spans="2:11" s="2" customFormat="1" ht="16" customHeight="1" x14ac:dyDescent="0.2">
      <c r="B40" s="30" t="s">
        <v>90</v>
      </c>
      <c r="C40" s="32">
        <f>0.04*C24</f>
        <v>245063.14559999999</v>
      </c>
      <c r="D40" s="136">
        <f>+C40*(1+D19)</f>
        <v>254865.671424</v>
      </c>
      <c r="E40" s="32">
        <f>+D40*(1+E19)</f>
        <v>265060.29828096001</v>
      </c>
      <c r="F40" s="32">
        <f>+E40*(1+F19)</f>
        <v>275662.71021219844</v>
      </c>
      <c r="G40" s="32">
        <f>+F40*(1+G19)</f>
        <v>286689.21862068638</v>
      </c>
      <c r="H40" s="128"/>
      <c r="I40" s="4"/>
      <c r="J40" s="4"/>
      <c r="K40" s="11"/>
    </row>
    <row r="41" spans="2:11" s="2" customFormat="1" ht="19" customHeight="1" thickBot="1" x14ac:dyDescent="0.25">
      <c r="B41" s="203" t="s">
        <v>123</v>
      </c>
      <c r="C41" s="204">
        <f>C39-C40</f>
        <v>913877.49989999994</v>
      </c>
      <c r="D41" s="204">
        <f t="shared" ref="D41:G41" si="18">D39-D40</f>
        <v>880388.41299599968</v>
      </c>
      <c r="E41" s="204">
        <f t="shared" si="18"/>
        <v>845869.19658935256</v>
      </c>
      <c r="F41" s="204">
        <f t="shared" si="18"/>
        <v>820617.34711280151</v>
      </c>
      <c r="G41" s="204">
        <f t="shared" si="18"/>
        <v>788593.32328556362</v>
      </c>
      <c r="H41" s="204">
        <f>G41*(1+C47)/(C46-C47)</f>
        <v>16087303.795025498</v>
      </c>
      <c r="I41" s="12"/>
      <c r="J41" s="12"/>
    </row>
    <row r="42" spans="2:11" s="2" customFormat="1" ht="19" customHeight="1" x14ac:dyDescent="0.2">
      <c r="B42" s="36"/>
      <c r="C42" s="126"/>
      <c r="D42" s="137"/>
      <c r="E42" s="137"/>
      <c r="F42" s="137"/>
      <c r="G42" s="137"/>
      <c r="H42" s="10"/>
      <c r="I42" s="12"/>
      <c r="J42" s="12"/>
    </row>
    <row r="43" spans="2:11" s="2" customFormat="1" ht="19" customHeight="1" x14ac:dyDescent="0.2">
      <c r="B43" s="185" t="s">
        <v>124</v>
      </c>
      <c r="C43" s="126"/>
      <c r="D43" s="137"/>
      <c r="E43" s="137"/>
      <c r="F43" s="137"/>
      <c r="G43" s="137"/>
      <c r="H43" s="10"/>
      <c r="I43" s="12"/>
      <c r="J43" s="12"/>
    </row>
    <row r="44" spans="2:11" s="2" customFormat="1" ht="19" customHeight="1" thickBot="1" x14ac:dyDescent="0.25">
      <c r="B44" s="36"/>
      <c r="C44" s="126"/>
      <c r="D44" s="137"/>
      <c r="E44" s="137"/>
      <c r="F44" s="137"/>
      <c r="G44" s="137"/>
      <c r="H44" s="10"/>
      <c r="I44" s="12"/>
      <c r="J44" s="12"/>
    </row>
    <row r="45" spans="2:11" ht="16" x14ac:dyDescent="0.2">
      <c r="B45" s="188" t="s">
        <v>121</v>
      </c>
      <c r="C45" s="189">
        <v>14921222</v>
      </c>
      <c r="D45" s="137"/>
      <c r="E45" s="137"/>
      <c r="F45" s="137"/>
      <c r="G45" s="137"/>
    </row>
    <row r="46" spans="2:11" ht="16" x14ac:dyDescent="0.2">
      <c r="B46" s="190" t="s">
        <v>120</v>
      </c>
      <c r="C46" s="191">
        <v>7.0000000000000007E-2</v>
      </c>
    </row>
    <row r="47" spans="2:11" ht="17" thickBot="1" x14ac:dyDescent="0.25">
      <c r="B47" s="192" t="s">
        <v>122</v>
      </c>
      <c r="C47" s="193">
        <v>0.02</v>
      </c>
    </row>
    <row r="48" spans="2:11" ht="15" thickBot="1" x14ac:dyDescent="0.2"/>
    <row r="49" spans="2:9" ht="17" thickBot="1" x14ac:dyDescent="0.25">
      <c r="B49" s="194" t="s">
        <v>89</v>
      </c>
      <c r="C49" s="205">
        <f>NPV(C46,C41:G41)+H41/((1+C46)^5)-C45</f>
        <v>50642.14331837371</v>
      </c>
    </row>
    <row r="50" spans="2:9" x14ac:dyDescent="0.15">
      <c r="D50" s="130"/>
      <c r="E50" s="134"/>
    </row>
    <row r="51" spans="2:9" x14ac:dyDescent="0.15">
      <c r="B51" s="96"/>
      <c r="C51" s="96" t="s">
        <v>79</v>
      </c>
      <c r="D51" s="96" t="s">
        <v>80</v>
      </c>
      <c r="E51" s="96" t="s">
        <v>81</v>
      </c>
      <c r="F51" s="96" t="s">
        <v>82</v>
      </c>
      <c r="G51" s="96" t="s">
        <v>100</v>
      </c>
      <c r="H51" s="96" t="s">
        <v>101</v>
      </c>
      <c r="I51" s="96"/>
    </row>
    <row r="52" spans="2:9" x14ac:dyDescent="0.15">
      <c r="B52" s="96" t="s">
        <v>86</v>
      </c>
      <c r="C52" s="96">
        <v>1111414.5058500003</v>
      </c>
      <c r="D52" s="96">
        <v>1279399.3704000001</v>
      </c>
      <c r="E52" s="96">
        <v>1395159.9910312495</v>
      </c>
      <c r="F52" s="96">
        <v>1564810.1279999998</v>
      </c>
      <c r="G52" s="96">
        <v>1807103.2274999996</v>
      </c>
      <c r="H52" s="96"/>
      <c r="I52" s="96"/>
    </row>
    <row r="53" spans="2:9" x14ac:dyDescent="0.15">
      <c r="B53" s="96" t="s">
        <v>91</v>
      </c>
      <c r="C53" s="96">
        <v>500322</v>
      </c>
      <c r="D53" s="96">
        <v>500322</v>
      </c>
      <c r="E53" s="96">
        <v>500322</v>
      </c>
      <c r="F53" s="96">
        <v>500322</v>
      </c>
      <c r="G53" s="96">
        <v>500322</v>
      </c>
      <c r="H53" s="96"/>
      <c r="I53" s="96"/>
    </row>
    <row r="54" spans="2:9" ht="16" x14ac:dyDescent="0.2">
      <c r="B54" s="196"/>
      <c r="C54" s="40"/>
      <c r="D54" s="40"/>
      <c r="E54" s="40"/>
      <c r="F54" s="40"/>
      <c r="G54" s="40"/>
      <c r="H54" s="126"/>
      <c r="I54" s="96"/>
    </row>
    <row r="55" spans="2:9" ht="16" x14ac:dyDescent="0.2">
      <c r="B55" s="185"/>
      <c r="C55" s="200"/>
      <c r="D55" s="200"/>
      <c r="E55" s="200"/>
      <c r="F55" s="200"/>
      <c r="G55" s="200"/>
      <c r="H55" s="200"/>
      <c r="I55" s="96"/>
    </row>
    <row r="56" spans="2:9" ht="16" x14ac:dyDescent="0.2">
      <c r="B56" s="185"/>
      <c r="C56" s="195"/>
      <c r="D56" s="195"/>
      <c r="E56" s="195"/>
      <c r="F56" s="195"/>
      <c r="G56" s="195"/>
      <c r="H56" s="195"/>
      <c r="I56" s="96"/>
    </row>
    <row r="57" spans="2:9" ht="16" x14ac:dyDescent="0.2">
      <c r="B57" s="185"/>
      <c r="C57" s="201"/>
      <c r="D57" s="201"/>
      <c r="E57" s="201"/>
      <c r="F57" s="201"/>
      <c r="G57" s="201"/>
      <c r="H57" s="201"/>
      <c r="I57" s="96"/>
    </row>
    <row r="58" spans="2:9" x14ac:dyDescent="0.15">
      <c r="B58" s="196"/>
      <c r="C58" s="196"/>
      <c r="D58" s="196"/>
      <c r="E58" s="196"/>
      <c r="F58" s="196"/>
      <c r="G58" s="196"/>
      <c r="H58" s="196"/>
      <c r="I58" s="96"/>
    </row>
    <row r="59" spans="2:9" x14ac:dyDescent="0.15">
      <c r="B59" s="196"/>
      <c r="C59" s="197"/>
      <c r="D59" s="196"/>
      <c r="E59" s="196"/>
      <c r="F59" s="196"/>
      <c r="G59" s="196"/>
      <c r="H59" s="196"/>
      <c r="I59" s="96"/>
    </row>
    <row r="60" spans="2:9" x14ac:dyDescent="0.15">
      <c r="B60" s="196"/>
      <c r="C60" s="198"/>
      <c r="D60" s="196"/>
      <c r="E60" s="196"/>
      <c r="F60" s="196"/>
      <c r="G60" s="196"/>
      <c r="H60" s="196"/>
      <c r="I60" s="96"/>
    </row>
    <row r="61" spans="2:9" x14ac:dyDescent="0.15">
      <c r="B61" s="196"/>
      <c r="C61" s="196"/>
      <c r="D61" s="196"/>
      <c r="E61" s="196"/>
      <c r="F61" s="196"/>
      <c r="G61" s="196"/>
      <c r="H61" s="196"/>
      <c r="I61" s="96"/>
    </row>
    <row r="62" spans="2:9" ht="16" x14ac:dyDescent="0.2">
      <c r="B62" s="202"/>
      <c r="C62" s="199"/>
      <c r="D62" s="196"/>
      <c r="E62" s="196"/>
      <c r="F62" s="196"/>
      <c r="G62" s="196"/>
      <c r="H62" s="196"/>
      <c r="I62" s="96"/>
    </row>
    <row r="63" spans="2:9" x14ac:dyDescent="0.15">
      <c r="B63" s="196"/>
      <c r="C63" s="196"/>
      <c r="D63" s="196"/>
      <c r="E63" s="196"/>
      <c r="F63" s="196"/>
      <c r="G63" s="196"/>
      <c r="H63" s="196"/>
      <c r="I63" s="96"/>
    </row>
    <row r="64" spans="2:9" x14ac:dyDescent="0.15">
      <c r="B64" s="96" t="s">
        <v>93</v>
      </c>
      <c r="C64" s="96" t="s">
        <v>94</v>
      </c>
      <c r="D64" s="96" t="s">
        <v>95</v>
      </c>
      <c r="E64" s="96" t="s">
        <v>96</v>
      </c>
      <c r="F64" s="96" t="s">
        <v>97</v>
      </c>
      <c r="G64" s="96" t="s">
        <v>98</v>
      </c>
      <c r="H64" s="96" t="s">
        <v>99</v>
      </c>
      <c r="I64" s="96"/>
    </row>
    <row r="65" spans="1:38" x14ac:dyDescent="0.15">
      <c r="B65" s="96"/>
      <c r="C65" s="97">
        <v>0.8</v>
      </c>
      <c r="D65" s="96">
        <v>0.7</v>
      </c>
      <c r="E65" s="96">
        <v>0.55000000000000004</v>
      </c>
      <c r="F65" s="96">
        <v>0.48</v>
      </c>
      <c r="G65" s="96">
        <v>0.35</v>
      </c>
      <c r="H65" s="96">
        <v>0.6</v>
      </c>
      <c r="I65" s="96"/>
      <c r="J65" s="96"/>
    </row>
    <row r="66" spans="1:38" x14ac:dyDescent="0.15">
      <c r="B66" s="96"/>
      <c r="C66" s="28" t="s">
        <v>59</v>
      </c>
      <c r="D66" s="28" t="s">
        <v>60</v>
      </c>
      <c r="E66" s="28" t="s">
        <v>61</v>
      </c>
      <c r="F66" s="28" t="s">
        <v>62</v>
      </c>
      <c r="G66" s="28" t="s">
        <v>63</v>
      </c>
      <c r="H66" s="28"/>
      <c r="I66" s="96"/>
      <c r="J66" s="96"/>
    </row>
    <row r="67" spans="1:38" x14ac:dyDescent="0.15">
      <c r="B67" s="96" t="s">
        <v>66</v>
      </c>
      <c r="C67" s="98" t="e">
        <f>-#REF!+(C65*C41)/(1+C45)+(D65*D41)/((1+C45)^2)+(E41*E65)/((1+C45)^3)+(F41*F65)/((1+C45)^4)+(G41*G65)/((1+C45)^5)+(H65*H41)/((1+C45)^5)</f>
        <v>#REF!</v>
      </c>
      <c r="D67" s="98"/>
      <c r="E67" s="98"/>
      <c r="F67" s="98"/>
      <c r="G67" s="98"/>
      <c r="H67" s="98"/>
      <c r="I67" s="96"/>
      <c r="J67" s="96"/>
    </row>
    <row r="68" spans="1:38" x14ac:dyDescent="0.15">
      <c r="B68" s="97" t="s">
        <v>0</v>
      </c>
      <c r="C68" s="99">
        <f>C26</f>
        <v>1378480.1939999999</v>
      </c>
      <c r="D68" s="99">
        <f>D26</f>
        <v>1346898.1125599998</v>
      </c>
      <c r="E68" s="99">
        <f>E26</f>
        <v>1314465.3264937499</v>
      </c>
      <c r="F68" s="99">
        <f>F26</f>
        <v>1294932.7430999998</v>
      </c>
      <c r="G68" s="99">
        <f>G26</f>
        <v>1266936.0558749998</v>
      </c>
      <c r="H68" s="99"/>
      <c r="I68" s="96"/>
      <c r="J68" s="96"/>
    </row>
    <row r="69" spans="1:38" x14ac:dyDescent="0.15">
      <c r="B69" s="96" t="s">
        <v>1</v>
      </c>
      <c r="C69" s="98">
        <v>500322</v>
      </c>
      <c r="D69" s="98">
        <f>C69</f>
        <v>500322</v>
      </c>
      <c r="E69" s="98">
        <f t="shared" ref="E69:G69" si="19">D69</f>
        <v>500322</v>
      </c>
      <c r="F69" s="98">
        <f t="shared" si="19"/>
        <v>500322</v>
      </c>
      <c r="G69" s="98">
        <f t="shared" si="19"/>
        <v>500322</v>
      </c>
      <c r="H69" s="98"/>
      <c r="I69" s="96"/>
      <c r="J69" s="96"/>
    </row>
    <row r="70" spans="1:38" x14ac:dyDescent="0.15">
      <c r="B70" s="97" t="s">
        <v>2</v>
      </c>
      <c r="C70" s="99">
        <f>C68-C69</f>
        <v>878158.1939999999</v>
      </c>
      <c r="D70" s="99">
        <f t="shared" ref="D70:G70" si="20">D68-D69</f>
        <v>846576.1125599998</v>
      </c>
      <c r="E70" s="99">
        <f t="shared" si="20"/>
        <v>814143.32649374986</v>
      </c>
      <c r="F70" s="99">
        <f t="shared" si="20"/>
        <v>794610.74309999985</v>
      </c>
      <c r="G70" s="99">
        <f t="shared" si="20"/>
        <v>766614.05587499985</v>
      </c>
      <c r="H70" s="99"/>
      <c r="I70" s="96"/>
      <c r="J70" s="96"/>
    </row>
    <row r="71" spans="1:38" x14ac:dyDescent="0.15">
      <c r="B71" s="96" t="s">
        <v>3</v>
      </c>
      <c r="C71" s="98">
        <f>C70*0.25</f>
        <v>219539.54849999998</v>
      </c>
      <c r="D71" s="98">
        <f t="shared" ref="D71:G71" si="21">D70*0.25</f>
        <v>211644.02813999995</v>
      </c>
      <c r="E71" s="98">
        <f t="shared" si="21"/>
        <v>203535.83162343747</v>
      </c>
      <c r="F71" s="98">
        <f t="shared" si="21"/>
        <v>198652.68577499996</v>
      </c>
      <c r="G71" s="98">
        <f t="shared" si="21"/>
        <v>191653.51396874996</v>
      </c>
      <c r="H71" s="98"/>
      <c r="I71" s="96"/>
      <c r="J71" s="96"/>
    </row>
    <row r="72" spans="1:38" x14ac:dyDescent="0.15">
      <c r="B72" s="97" t="s">
        <v>4</v>
      </c>
      <c r="C72" s="99">
        <f>C70-C71</f>
        <v>658618.64549999987</v>
      </c>
      <c r="D72" s="99">
        <f t="shared" ref="D72:G72" si="22">D70-D71</f>
        <v>634932.08441999985</v>
      </c>
      <c r="E72" s="99">
        <f t="shared" si="22"/>
        <v>610607.4948703124</v>
      </c>
      <c r="F72" s="99">
        <f t="shared" si="22"/>
        <v>595958.05732499994</v>
      </c>
      <c r="G72" s="99">
        <f t="shared" si="22"/>
        <v>574960.54190624994</v>
      </c>
      <c r="H72" s="99"/>
      <c r="I72" s="96"/>
      <c r="J72" s="96"/>
    </row>
    <row r="73" spans="1:38" x14ac:dyDescent="0.15">
      <c r="B73" s="96" t="s">
        <v>1</v>
      </c>
      <c r="C73" s="98">
        <f>C69</f>
        <v>500322</v>
      </c>
      <c r="D73" s="98">
        <f t="shared" ref="D73:G73" si="23">D69</f>
        <v>500322</v>
      </c>
      <c r="E73" s="98">
        <f t="shared" si="23"/>
        <v>500322</v>
      </c>
      <c r="F73" s="98">
        <f t="shared" si="23"/>
        <v>500322</v>
      </c>
      <c r="G73" s="98">
        <f t="shared" si="23"/>
        <v>500322</v>
      </c>
      <c r="H73" s="98"/>
      <c r="I73" s="96"/>
      <c r="J73" s="96"/>
    </row>
    <row r="74" spans="1:38" x14ac:dyDescent="0.15">
      <c r="B74" s="97" t="s">
        <v>5</v>
      </c>
      <c r="C74" s="100">
        <f>C72+C73</f>
        <v>1158940.6454999999</v>
      </c>
      <c r="D74" s="100">
        <f t="shared" ref="D74:G74" si="24">D72+D73</f>
        <v>1135254.0844199997</v>
      </c>
      <c r="E74" s="100">
        <f t="shared" si="24"/>
        <v>1110929.4948703125</v>
      </c>
      <c r="F74" s="100">
        <f t="shared" si="24"/>
        <v>1096280.0573249999</v>
      </c>
      <c r="G74" s="100">
        <f t="shared" si="24"/>
        <v>1075282.5419062499</v>
      </c>
      <c r="H74" s="100"/>
      <c r="I74" s="96"/>
      <c r="J74" s="96"/>
    </row>
    <row r="75" spans="1:38" x14ac:dyDescent="0.15">
      <c r="B75" s="96" t="s">
        <v>7</v>
      </c>
      <c r="C75" s="101">
        <f>C40</f>
        <v>245063.14559999999</v>
      </c>
      <c r="D75" s="101">
        <f>D40</f>
        <v>254865.671424</v>
      </c>
      <c r="E75" s="101">
        <f>E40</f>
        <v>265060.29828096001</v>
      </c>
      <c r="F75" s="101">
        <f>F40</f>
        <v>275662.71021219844</v>
      </c>
      <c r="G75" s="101">
        <f>G40</f>
        <v>286689.21862068638</v>
      </c>
      <c r="H75" s="101"/>
      <c r="I75" s="96"/>
      <c r="J75" s="96"/>
    </row>
    <row r="76" spans="1:38" x14ac:dyDescent="0.15">
      <c r="B76" s="97" t="s">
        <v>6</v>
      </c>
      <c r="C76" s="100">
        <f>C74-C75</f>
        <v>913877.49989999994</v>
      </c>
      <c r="D76" s="100">
        <f t="shared" ref="D76:G76" si="25">D74-D75</f>
        <v>880388.41299599968</v>
      </c>
      <c r="E76" s="100">
        <f t="shared" si="25"/>
        <v>845869.19658935256</v>
      </c>
      <c r="F76" s="100">
        <f t="shared" si="25"/>
        <v>820617.34711280151</v>
      </c>
      <c r="G76" s="100">
        <f t="shared" si="25"/>
        <v>788593.32328556362</v>
      </c>
      <c r="H76" s="100"/>
      <c r="I76" s="96"/>
      <c r="J76" s="96"/>
    </row>
    <row r="77" spans="1:38" x14ac:dyDescent="0.15">
      <c r="B77" s="131"/>
      <c r="C77" s="132"/>
      <c r="D77" s="133"/>
      <c r="E77" s="133"/>
      <c r="F77" s="133"/>
      <c r="G77" s="133"/>
      <c r="H77" s="133"/>
      <c r="I77" s="96"/>
      <c r="J77" s="96"/>
    </row>
    <row r="78" spans="1:38" x14ac:dyDescent="0.15">
      <c r="B78" s="102"/>
      <c r="C78" s="103"/>
      <c r="D78" s="104"/>
      <c r="E78" s="104"/>
      <c r="F78" s="104"/>
      <c r="G78" s="104"/>
      <c r="H78" s="104"/>
      <c r="I78" s="96"/>
      <c r="J78" s="96"/>
    </row>
    <row r="79" spans="1:38" s="108" customFormat="1" x14ac:dyDescent="0.15">
      <c r="A79" s="107"/>
      <c r="B79" s="97" t="s">
        <v>10</v>
      </c>
      <c r="C79" s="105">
        <f>C76</f>
        <v>913877.49989999994</v>
      </c>
      <c r="D79" s="105">
        <f>D76</f>
        <v>880388.41299599968</v>
      </c>
      <c r="E79" s="105">
        <f>E76</f>
        <v>845869.19658935256</v>
      </c>
      <c r="F79" s="105">
        <f>F76</f>
        <v>820617.34711280151</v>
      </c>
      <c r="G79" s="105">
        <f>G76</f>
        <v>788593.32328556362</v>
      </c>
      <c r="H79" s="105"/>
      <c r="I79" s="106">
        <f>G79*(1+C83)/(C114-C113)</f>
        <v>5571002.7919899393</v>
      </c>
      <c r="J79" s="9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</row>
    <row r="80" spans="1:38" x14ac:dyDescent="0.15">
      <c r="B80" s="96"/>
      <c r="C80" s="109"/>
      <c r="D80" s="109"/>
      <c r="E80" s="109"/>
      <c r="F80" s="109"/>
      <c r="G80" s="109"/>
      <c r="H80" s="109"/>
      <c r="I80" s="110"/>
      <c r="J80" s="110"/>
    </row>
    <row r="81" spans="2:13" x14ac:dyDescent="0.15">
      <c r="B81" s="96" t="s">
        <v>37</v>
      </c>
      <c r="C81" s="109">
        <f>C79</f>
        <v>913877.49989999994</v>
      </c>
      <c r="D81" s="109">
        <f t="shared" ref="D81:G81" si="26">D79</f>
        <v>880388.41299599968</v>
      </c>
      <c r="E81" s="109">
        <f t="shared" si="26"/>
        <v>845869.19658935256</v>
      </c>
      <c r="F81" s="109">
        <f t="shared" si="26"/>
        <v>820617.34711280151</v>
      </c>
      <c r="G81" s="109">
        <f t="shared" si="26"/>
        <v>788593.32328556362</v>
      </c>
      <c r="H81" s="109"/>
      <c r="I81" s="111"/>
      <c r="J81" s="111"/>
    </row>
    <row r="82" spans="2:13" x14ac:dyDescent="0.15">
      <c r="B82" s="96" t="s">
        <v>38</v>
      </c>
      <c r="C82" s="112"/>
      <c r="D82" s="111">
        <f>(D81/C81)-1</f>
        <v>-3.6645050247614996E-2</v>
      </c>
      <c r="E82" s="111">
        <f t="shared" ref="E82:G82" si="27">(E81/D81)-1</f>
        <v>-3.9209076240765972E-2</v>
      </c>
      <c r="F82" s="111">
        <f t="shared" si="27"/>
        <v>-2.985313755172736E-2</v>
      </c>
      <c r="G82" s="111">
        <f t="shared" si="27"/>
        <v>-3.9024307662894109E-2</v>
      </c>
      <c r="H82" s="111"/>
      <c r="I82" s="111"/>
      <c r="J82" s="111"/>
    </row>
    <row r="83" spans="2:13" x14ac:dyDescent="0.15">
      <c r="B83" s="97" t="s">
        <v>39</v>
      </c>
      <c r="C83" s="113">
        <f>AVERAGE(D82:G82)</f>
        <v>-3.6182892925750609E-2</v>
      </c>
      <c r="D83" s="109"/>
      <c r="E83" s="109"/>
      <c r="F83" s="109"/>
      <c r="G83" s="109"/>
      <c r="H83" s="109"/>
      <c r="I83" s="111"/>
      <c r="J83" s="111"/>
    </row>
    <row r="84" spans="2:13" x14ac:dyDescent="0.15">
      <c r="B84" s="97"/>
      <c r="C84" s="113"/>
      <c r="D84" s="109"/>
      <c r="E84" s="109"/>
      <c r="F84" s="109"/>
      <c r="G84" s="109"/>
      <c r="H84" s="109"/>
      <c r="I84" s="111"/>
      <c r="J84" s="111"/>
    </row>
    <row r="85" spans="2:13" x14ac:dyDescent="0.15">
      <c r="B85" s="97"/>
      <c r="C85" s="113"/>
      <c r="D85" s="109"/>
      <c r="E85" s="109"/>
      <c r="F85" s="109"/>
      <c r="G85" s="109"/>
      <c r="H85" s="109"/>
      <c r="I85" s="111"/>
      <c r="J85" s="111"/>
    </row>
    <row r="86" spans="2:13" x14ac:dyDescent="0.15">
      <c r="B86" s="97" t="s">
        <v>40</v>
      </c>
      <c r="C86" s="113"/>
      <c r="D86" s="109"/>
      <c r="E86" s="109"/>
      <c r="F86" s="109"/>
      <c r="G86" s="109"/>
      <c r="H86" s="109"/>
      <c r="I86" s="109"/>
      <c r="J86" s="109"/>
      <c r="K86" s="114"/>
      <c r="L86" s="114"/>
      <c r="M86" s="114"/>
    </row>
    <row r="87" spans="2:13" x14ac:dyDescent="0.15">
      <c r="B87" s="97"/>
      <c r="C87" s="113"/>
      <c r="D87" s="109"/>
      <c r="E87" s="109"/>
      <c r="F87" s="109"/>
      <c r="G87" s="109"/>
      <c r="H87" s="109"/>
      <c r="I87" s="109"/>
      <c r="J87" s="109"/>
      <c r="K87" s="114"/>
      <c r="L87" s="114"/>
      <c r="M87" s="114"/>
    </row>
    <row r="88" spans="2:13" x14ac:dyDescent="0.15">
      <c r="B88" s="97" t="s">
        <v>41</v>
      </c>
      <c r="C88" s="113"/>
      <c r="D88" s="109"/>
      <c r="E88" s="109"/>
      <c r="F88" s="109"/>
      <c r="G88" s="109"/>
      <c r="H88" s="109"/>
      <c r="I88" s="109"/>
      <c r="J88" s="109"/>
      <c r="K88" s="114"/>
      <c r="L88" s="114"/>
      <c r="M88" s="114"/>
    </row>
    <row r="89" spans="2:13" x14ac:dyDescent="0.15">
      <c r="B89" s="97"/>
      <c r="C89" s="113"/>
      <c r="D89" s="109"/>
      <c r="E89" s="109"/>
      <c r="F89" s="109"/>
      <c r="G89" s="109"/>
      <c r="H89" s="109"/>
      <c r="I89" s="109"/>
      <c r="J89" s="109"/>
      <c r="K89" s="114"/>
      <c r="L89" s="114"/>
      <c r="M89" s="114"/>
    </row>
    <row r="90" spans="2:13" x14ac:dyDescent="0.15">
      <c r="B90" s="97" t="s">
        <v>42</v>
      </c>
      <c r="C90" s="113">
        <v>5.4399999999999997E-2</v>
      </c>
      <c r="D90" s="109"/>
      <c r="E90" s="109"/>
      <c r="F90" s="109"/>
      <c r="G90" s="109"/>
      <c r="H90" s="109"/>
      <c r="I90" s="109"/>
      <c r="J90" s="109"/>
      <c r="K90" s="114"/>
      <c r="L90" s="114"/>
      <c r="M90" s="114"/>
    </row>
    <row r="91" spans="2:13" x14ac:dyDescent="0.15">
      <c r="B91" s="97" t="s">
        <v>43</v>
      </c>
      <c r="C91" s="115">
        <v>0.9667</v>
      </c>
      <c r="D91" s="109"/>
      <c r="E91" s="109"/>
      <c r="F91" s="109"/>
      <c r="G91" s="109"/>
      <c r="H91" s="109"/>
      <c r="I91" s="109"/>
      <c r="J91" s="109"/>
      <c r="K91" s="114"/>
      <c r="L91" s="114"/>
      <c r="M91" s="114"/>
    </row>
    <row r="92" spans="2:13" x14ac:dyDescent="0.15">
      <c r="B92" s="97" t="s">
        <v>44</v>
      </c>
      <c r="C92" s="113">
        <v>0.25965169999999999</v>
      </c>
      <c r="D92" s="109"/>
      <c r="E92" s="109"/>
      <c r="F92" s="116">
        <f>K121</f>
        <v>0.5054038299097231</v>
      </c>
      <c r="G92" s="109" t="s">
        <v>55</v>
      </c>
      <c r="H92" s="109"/>
      <c r="I92" s="109"/>
      <c r="J92" s="109"/>
      <c r="K92" s="117"/>
      <c r="L92" s="114"/>
      <c r="M92" s="114"/>
    </row>
    <row r="93" spans="2:13" x14ac:dyDescent="0.15">
      <c r="B93" s="97" t="s">
        <v>45</v>
      </c>
      <c r="C93" s="113">
        <f>1-C92</f>
        <v>0.74034829999999996</v>
      </c>
      <c r="D93" s="109"/>
      <c r="E93" s="109"/>
      <c r="F93" s="111">
        <f>K119</f>
        <v>0.4945961700902769</v>
      </c>
      <c r="G93" s="109" t="s">
        <v>57</v>
      </c>
      <c r="H93" s="109"/>
      <c r="I93" s="109"/>
      <c r="J93" s="109"/>
      <c r="K93" s="114"/>
      <c r="L93" s="114"/>
      <c r="M93" s="114"/>
    </row>
    <row r="94" spans="2:13" x14ac:dyDescent="0.15">
      <c r="B94" s="97" t="s">
        <v>50</v>
      </c>
      <c r="C94" s="118">
        <f>C92/C93</f>
        <v>0.35071560237255894</v>
      </c>
      <c r="D94" s="109"/>
      <c r="E94" s="109"/>
      <c r="F94" s="109"/>
      <c r="G94" s="109"/>
      <c r="H94" s="109"/>
      <c r="I94" s="109"/>
      <c r="J94" s="109"/>
      <c r="K94" s="114"/>
      <c r="L94" s="114"/>
      <c r="M94" s="114"/>
    </row>
    <row r="95" spans="2:13" x14ac:dyDescent="0.15">
      <c r="B95" s="97" t="s">
        <v>46</v>
      </c>
      <c r="C95" s="112">
        <v>0.25</v>
      </c>
      <c r="D95" s="109"/>
      <c r="E95" s="109"/>
      <c r="F95" s="109"/>
      <c r="G95" s="109"/>
      <c r="H95" s="109"/>
      <c r="I95" s="109"/>
      <c r="J95" s="109"/>
      <c r="K95" s="114"/>
      <c r="L95" s="114"/>
      <c r="M95" s="114"/>
    </row>
    <row r="96" spans="2:13" x14ac:dyDescent="0.15">
      <c r="B96" s="97" t="s">
        <v>47</v>
      </c>
      <c r="C96" s="115">
        <f>C91*(1+C94*(1-C95))</f>
        <v>1.2209775796101645</v>
      </c>
      <c r="D96" s="109"/>
      <c r="E96" s="109"/>
      <c r="F96" s="109"/>
      <c r="G96" s="109"/>
      <c r="H96" s="109"/>
      <c r="I96" s="109"/>
      <c r="J96" s="109"/>
      <c r="K96" s="114"/>
      <c r="L96" s="114"/>
      <c r="M96" s="114"/>
    </row>
    <row r="97" spans="2:13" x14ac:dyDescent="0.15">
      <c r="B97" s="97" t="s">
        <v>48</v>
      </c>
      <c r="C97" s="119">
        <v>5.8999999999999997E-2</v>
      </c>
      <c r="D97" s="109"/>
      <c r="E97" s="109"/>
      <c r="F97" s="109"/>
      <c r="G97" s="109"/>
      <c r="H97" s="109"/>
      <c r="I97" s="109"/>
      <c r="J97" s="109"/>
      <c r="K97" s="114"/>
      <c r="L97" s="114"/>
      <c r="M97" s="114"/>
    </row>
    <row r="98" spans="2:13" x14ac:dyDescent="0.15">
      <c r="B98" s="97"/>
      <c r="C98" s="119"/>
      <c r="D98" s="109"/>
      <c r="E98" s="109"/>
      <c r="F98" s="109"/>
      <c r="G98" s="109"/>
      <c r="H98" s="109"/>
      <c r="I98" s="109"/>
      <c r="J98" s="109"/>
      <c r="K98" s="114"/>
      <c r="L98" s="114"/>
      <c r="M98" s="114"/>
    </row>
    <row r="99" spans="2:13" x14ac:dyDescent="0.15">
      <c r="B99" s="97" t="s">
        <v>49</v>
      </c>
      <c r="C99" s="118">
        <f>C90+C96*C97</f>
        <v>0.12643767719699969</v>
      </c>
      <c r="D99" s="109"/>
      <c r="E99" s="109"/>
      <c r="F99" s="109"/>
      <c r="G99" s="109"/>
      <c r="H99" s="109"/>
      <c r="I99" s="109"/>
      <c r="J99" s="109"/>
      <c r="K99" s="114"/>
      <c r="L99" s="114"/>
      <c r="M99" s="114"/>
    </row>
    <row r="100" spans="2:13" x14ac:dyDescent="0.15">
      <c r="B100" s="97"/>
      <c r="C100" s="109"/>
      <c r="D100" s="109"/>
      <c r="E100" s="109"/>
      <c r="F100" s="109"/>
      <c r="G100" s="109"/>
      <c r="H100" s="109"/>
      <c r="I100" s="109"/>
      <c r="J100" s="109"/>
      <c r="K100" s="114"/>
      <c r="L100" s="114"/>
      <c r="M100" s="114"/>
    </row>
    <row r="101" spans="2:13" x14ac:dyDescent="0.15">
      <c r="B101" s="97" t="s">
        <v>51</v>
      </c>
      <c r="C101" s="109"/>
      <c r="D101" s="109"/>
      <c r="E101" s="109"/>
      <c r="F101" s="109"/>
      <c r="G101" s="109"/>
      <c r="H101" s="109"/>
      <c r="I101" s="109"/>
      <c r="J101" s="109"/>
      <c r="K101" s="114"/>
      <c r="L101" s="114"/>
      <c r="M101" s="114"/>
    </row>
    <row r="102" spans="2:13" x14ac:dyDescent="0.15">
      <c r="B102" s="97"/>
      <c r="C102" s="109"/>
      <c r="D102" s="109"/>
      <c r="E102" s="109"/>
      <c r="F102" s="109"/>
      <c r="G102" s="109"/>
      <c r="H102" s="109"/>
      <c r="I102" s="109"/>
      <c r="J102" s="109"/>
      <c r="K102" s="114"/>
      <c r="L102" s="114"/>
      <c r="M102" s="114"/>
    </row>
    <row r="103" spans="2:13" x14ac:dyDescent="0.15">
      <c r="B103" s="97" t="s">
        <v>52</v>
      </c>
      <c r="C103" s="119">
        <v>3.4099999999999998E-2</v>
      </c>
      <c r="D103" s="109"/>
      <c r="E103" s="109"/>
      <c r="F103" s="109"/>
      <c r="G103" s="109"/>
      <c r="H103" s="109"/>
      <c r="I103" s="109"/>
      <c r="J103" s="109"/>
      <c r="K103" s="114"/>
      <c r="L103" s="114"/>
      <c r="M103" s="114"/>
    </row>
    <row r="104" spans="2:13" x14ac:dyDescent="0.15">
      <c r="B104" s="97" t="s">
        <v>53</v>
      </c>
      <c r="C104" s="119"/>
      <c r="D104" s="109"/>
      <c r="E104" s="109"/>
      <c r="F104" s="109"/>
      <c r="G104" s="109"/>
      <c r="H104" s="109"/>
      <c r="I104" s="109"/>
      <c r="J104" s="109"/>
      <c r="K104" s="114"/>
      <c r="L104" s="114"/>
      <c r="M104" s="114"/>
    </row>
    <row r="105" spans="2:13" x14ac:dyDescent="0.15">
      <c r="B105" s="97"/>
      <c r="C105" s="109"/>
      <c r="D105" s="109"/>
      <c r="E105" s="109"/>
      <c r="F105" s="109"/>
      <c r="G105" s="109"/>
      <c r="H105" s="109"/>
      <c r="I105" s="109"/>
      <c r="J105" s="109"/>
      <c r="K105" s="114"/>
      <c r="L105" s="114"/>
      <c r="M105" s="114"/>
    </row>
    <row r="106" spans="2:13" x14ac:dyDescent="0.15">
      <c r="B106" s="97" t="s">
        <v>54</v>
      </c>
      <c r="C106" s="118">
        <f>C103+C104</f>
        <v>3.4099999999999998E-2</v>
      </c>
      <c r="D106" s="109"/>
      <c r="E106" s="109"/>
      <c r="F106" s="109"/>
      <c r="G106" s="109"/>
      <c r="H106" s="109"/>
      <c r="I106" s="109"/>
      <c r="J106" s="109"/>
      <c r="K106" s="114"/>
      <c r="L106" s="114"/>
      <c r="M106" s="114"/>
    </row>
    <row r="107" spans="2:13" x14ac:dyDescent="0.15">
      <c r="B107" s="97"/>
      <c r="C107" s="109"/>
      <c r="D107" s="109"/>
      <c r="E107" s="109"/>
      <c r="F107" s="109"/>
      <c r="G107" s="109"/>
      <c r="H107" s="109"/>
      <c r="I107" s="109"/>
      <c r="J107" s="109"/>
      <c r="K107" s="114"/>
      <c r="L107" s="114"/>
      <c r="M107" s="114"/>
    </row>
    <row r="108" spans="2:13" x14ac:dyDescent="0.15">
      <c r="B108" s="97" t="s">
        <v>12</v>
      </c>
      <c r="C108" s="118">
        <f>(C109/(C109+C110)*C106*(1-C95)+(C110/(C110+C109)*C99))</f>
        <v>0.10024851159624749</v>
      </c>
      <c r="D108" s="109"/>
      <c r="E108" s="109"/>
      <c r="F108" s="109"/>
      <c r="G108" s="109"/>
      <c r="H108" s="109"/>
      <c r="I108" s="109"/>
      <c r="J108" s="109"/>
      <c r="K108" s="114"/>
      <c r="L108" s="114"/>
      <c r="M108" s="114"/>
    </row>
    <row r="109" spans="2:13" x14ac:dyDescent="0.15">
      <c r="B109" s="97" t="s">
        <v>55</v>
      </c>
      <c r="C109" s="119">
        <f>C92</f>
        <v>0.25965169999999999</v>
      </c>
      <c r="D109" s="109"/>
      <c r="E109" s="109"/>
      <c r="F109" s="109"/>
      <c r="G109" s="109"/>
      <c r="H109" s="109"/>
      <c r="I109" s="109"/>
      <c r="J109" s="109"/>
      <c r="K109" s="114"/>
      <c r="L109" s="114"/>
      <c r="M109" s="114"/>
    </row>
    <row r="110" spans="2:13" x14ac:dyDescent="0.15">
      <c r="B110" s="97" t="s">
        <v>56</v>
      </c>
      <c r="C110" s="119">
        <f>C93</f>
        <v>0.74034829999999996</v>
      </c>
      <c r="D110" s="109"/>
      <c r="E110" s="109"/>
      <c r="F110" s="109"/>
      <c r="G110" s="109"/>
      <c r="H110" s="109"/>
      <c r="I110" s="109"/>
      <c r="J110" s="109"/>
      <c r="K110" s="114"/>
      <c r="L110" s="114"/>
      <c r="M110" s="114"/>
    </row>
    <row r="111" spans="2:13" x14ac:dyDescent="0.15">
      <c r="B111" s="97"/>
      <c r="C111" s="109"/>
      <c r="D111" s="109"/>
      <c r="E111" s="109"/>
      <c r="F111" s="109"/>
      <c r="G111" s="109"/>
      <c r="H111" s="109"/>
      <c r="I111" s="109"/>
      <c r="J111" s="109"/>
      <c r="K111" s="114"/>
      <c r="L111" s="114"/>
      <c r="M111" s="114"/>
    </row>
    <row r="112" spans="2:13" x14ac:dyDescent="0.15">
      <c r="B112" s="97"/>
      <c r="C112" s="109"/>
      <c r="D112" s="109"/>
      <c r="E112" s="109"/>
      <c r="F112" s="109"/>
      <c r="G112" s="109"/>
      <c r="H112" s="109"/>
      <c r="I112" s="109"/>
      <c r="J112" s="109"/>
      <c r="K112" s="114"/>
      <c r="L112" s="114"/>
      <c r="M112" s="114"/>
    </row>
    <row r="113" spans="2:12" x14ac:dyDescent="0.15">
      <c r="B113" s="96" t="s">
        <v>9</v>
      </c>
      <c r="C113" s="120">
        <f>C83</f>
        <v>-3.6182892925750609E-2</v>
      </c>
      <c r="D113" s="110"/>
      <c r="E113" s="96"/>
      <c r="F113" s="96"/>
      <c r="G113" s="96"/>
      <c r="H113" s="96"/>
      <c r="I113" s="96"/>
      <c r="J113" s="96"/>
    </row>
    <row r="114" spans="2:12" x14ac:dyDescent="0.15">
      <c r="B114" s="96" t="s">
        <v>8</v>
      </c>
      <c r="C114" s="121">
        <f>C108</f>
        <v>0.10024851159624749</v>
      </c>
      <c r="D114" s="96"/>
      <c r="E114" s="96"/>
      <c r="F114" s="96"/>
      <c r="G114" s="96"/>
      <c r="H114" s="96"/>
      <c r="I114" s="96"/>
      <c r="J114" s="96"/>
    </row>
    <row r="115" spans="2:12" x14ac:dyDescent="0.15">
      <c r="B115" s="96" t="s">
        <v>64</v>
      </c>
      <c r="C115" s="110">
        <f>C79+NPV(C114,D79:G79)+I79/(1+C114)^4</f>
        <v>7368690.43647826</v>
      </c>
      <c r="D115" s="96"/>
      <c r="E115" s="96"/>
      <c r="F115" s="96"/>
      <c r="G115" s="96"/>
      <c r="H115" s="96"/>
      <c r="I115" s="96"/>
      <c r="J115" s="96"/>
    </row>
    <row r="116" spans="2:12" x14ac:dyDescent="0.15">
      <c r="B116" s="96"/>
      <c r="C116" s="110"/>
      <c r="D116" s="109"/>
      <c r="E116" s="96"/>
      <c r="F116" s="96"/>
      <c r="G116" s="96"/>
      <c r="H116" s="96"/>
      <c r="I116" s="96"/>
      <c r="J116" s="96"/>
    </row>
    <row r="117" spans="2:12" x14ac:dyDescent="0.15">
      <c r="B117" s="122" t="s">
        <v>31</v>
      </c>
      <c r="C117" s="96"/>
      <c r="D117" s="96"/>
      <c r="E117" s="96"/>
      <c r="F117" s="96"/>
      <c r="G117" s="96"/>
      <c r="H117" s="96"/>
      <c r="I117" s="96"/>
      <c r="J117" s="96"/>
    </row>
    <row r="118" spans="2:12" x14ac:dyDescent="0.15">
      <c r="B118" s="96"/>
      <c r="C118" s="96"/>
      <c r="D118" s="96"/>
      <c r="E118" s="96"/>
      <c r="F118" s="96"/>
      <c r="G118" s="96"/>
      <c r="H118" s="96"/>
      <c r="I118" s="96"/>
      <c r="J118" s="96"/>
      <c r="K118" s="95" t="s">
        <v>11</v>
      </c>
    </row>
    <row r="119" spans="2:12" x14ac:dyDescent="0.15">
      <c r="B119" s="97" t="s">
        <v>13</v>
      </c>
      <c r="C119" s="105">
        <f>SUM(C121:C123)</f>
        <v>7437878.43647826</v>
      </c>
      <c r="D119" s="96"/>
      <c r="E119" s="97" t="s">
        <v>28</v>
      </c>
      <c r="F119" s="106">
        <f>F135-F126-F121</f>
        <v>4526217.4364782609</v>
      </c>
      <c r="G119" s="109">
        <f>C135-F135</f>
        <v>0</v>
      </c>
      <c r="H119" s="109"/>
      <c r="I119" s="96"/>
      <c r="J119" s="96"/>
      <c r="K119" s="123">
        <f>F119/F135</f>
        <v>0.4945961700902769</v>
      </c>
      <c r="L119" s="95" t="s">
        <v>57</v>
      </c>
    </row>
    <row r="120" spans="2:12" x14ac:dyDescent="0.15">
      <c r="B120" s="96"/>
      <c r="C120" s="96"/>
      <c r="D120" s="96"/>
      <c r="E120" s="97"/>
      <c r="F120" s="96"/>
      <c r="G120" s="96"/>
      <c r="H120" s="96"/>
      <c r="I120" s="96"/>
      <c r="J120" s="96"/>
      <c r="K120" s="123"/>
    </row>
    <row r="121" spans="2:12" x14ac:dyDescent="0.15">
      <c r="B121" s="96" t="s">
        <v>14</v>
      </c>
      <c r="C121" s="110"/>
      <c r="D121" s="96"/>
      <c r="E121" s="97" t="s">
        <v>23</v>
      </c>
      <c r="F121" s="105">
        <f>SUM(F123:F124)</f>
        <v>3790344</v>
      </c>
      <c r="G121" s="96"/>
      <c r="H121" s="96"/>
      <c r="I121" s="96"/>
      <c r="J121" s="96"/>
      <c r="K121" s="123">
        <f>(F121+F126)/F135</f>
        <v>0.5054038299097231</v>
      </c>
      <c r="L121" s="95" t="s">
        <v>55</v>
      </c>
    </row>
    <row r="122" spans="2:12" x14ac:dyDescent="0.15">
      <c r="B122" s="96" t="s">
        <v>15</v>
      </c>
      <c r="C122" s="110">
        <f>C115</f>
        <v>7368690.43647826</v>
      </c>
      <c r="D122" s="96"/>
      <c r="E122" s="96"/>
      <c r="F122" s="96"/>
      <c r="G122" s="96"/>
      <c r="H122" s="96"/>
      <c r="I122" s="96"/>
      <c r="J122" s="96"/>
    </row>
    <row r="123" spans="2:12" x14ac:dyDescent="0.15">
      <c r="B123" s="96" t="s">
        <v>16</v>
      </c>
      <c r="C123" s="110">
        <v>69188</v>
      </c>
      <c r="D123" s="96"/>
      <c r="E123" s="96" t="s">
        <v>24</v>
      </c>
      <c r="F123" s="110"/>
      <c r="G123" s="96"/>
      <c r="H123" s="96"/>
      <c r="I123" s="96"/>
      <c r="J123" s="96"/>
    </row>
    <row r="124" spans="2:12" x14ac:dyDescent="0.15">
      <c r="B124" s="96"/>
      <c r="C124" s="96"/>
      <c r="D124" s="96"/>
      <c r="E124" s="96" t="s">
        <v>25</v>
      </c>
      <c r="F124" s="110">
        <v>3790344</v>
      </c>
      <c r="G124" s="96"/>
      <c r="H124" s="96"/>
      <c r="I124" s="96"/>
      <c r="J124" s="96"/>
    </row>
    <row r="125" spans="2:12" x14ac:dyDescent="0.15"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2:12" x14ac:dyDescent="0.15">
      <c r="B126" s="97" t="s">
        <v>17</v>
      </c>
      <c r="C126" s="105">
        <f>C128+C129+C132</f>
        <v>1713461</v>
      </c>
      <c r="D126" s="96"/>
      <c r="E126" s="97" t="s">
        <v>26</v>
      </c>
      <c r="F126" s="106">
        <f>SUM(F128:F130)</f>
        <v>834778</v>
      </c>
      <c r="G126" s="96"/>
      <c r="H126" s="96"/>
      <c r="I126" s="96"/>
      <c r="J126" s="96"/>
    </row>
    <row r="127" spans="2:12" x14ac:dyDescent="0.15">
      <c r="B127" s="96"/>
      <c r="C127" s="96"/>
      <c r="D127" s="96"/>
      <c r="E127" s="96"/>
      <c r="F127" s="110"/>
      <c r="G127" s="96"/>
      <c r="H127" s="96"/>
      <c r="I127" s="96"/>
      <c r="J127" s="96"/>
    </row>
    <row r="128" spans="2:12" x14ac:dyDescent="0.15">
      <c r="B128" s="96" t="s">
        <v>18</v>
      </c>
      <c r="C128" s="110">
        <v>22279</v>
      </c>
      <c r="D128" s="96"/>
      <c r="E128" s="96" t="s">
        <v>25</v>
      </c>
      <c r="F128" s="110">
        <v>448308</v>
      </c>
      <c r="G128" s="96"/>
      <c r="H128" s="96"/>
      <c r="I128" s="96"/>
      <c r="J128" s="96"/>
    </row>
    <row r="129" spans="2:10" x14ac:dyDescent="0.15">
      <c r="B129" s="96" t="s">
        <v>19</v>
      </c>
      <c r="C129" s="110">
        <f>SUM(C130:C131)</f>
        <v>519532</v>
      </c>
      <c r="D129" s="96"/>
      <c r="E129" s="96" t="s">
        <v>21</v>
      </c>
      <c r="F129" s="110">
        <f>254128+349</f>
        <v>254477</v>
      </c>
      <c r="G129" s="96"/>
      <c r="H129" s="96"/>
      <c r="I129" s="96"/>
      <c r="J129" s="96"/>
    </row>
    <row r="130" spans="2:10" x14ac:dyDescent="0.15">
      <c r="B130" s="124" t="s">
        <v>20</v>
      </c>
      <c r="C130" s="125">
        <v>197495</v>
      </c>
      <c r="D130" s="96"/>
      <c r="E130" s="96" t="s">
        <v>27</v>
      </c>
      <c r="F130" s="110">
        <v>131993</v>
      </c>
      <c r="G130" s="96"/>
      <c r="H130" s="96"/>
      <c r="I130" s="96"/>
      <c r="J130" s="96"/>
    </row>
    <row r="131" spans="2:10" x14ac:dyDescent="0.15">
      <c r="B131" s="124" t="s">
        <v>21</v>
      </c>
      <c r="C131" s="125">
        <v>322037</v>
      </c>
      <c r="D131" s="96"/>
      <c r="E131" s="96"/>
      <c r="F131" s="110"/>
      <c r="G131" s="96"/>
      <c r="H131" s="96"/>
      <c r="I131" s="96"/>
      <c r="J131" s="96"/>
    </row>
    <row r="132" spans="2:10" x14ac:dyDescent="0.15">
      <c r="B132" s="96" t="s">
        <v>22</v>
      </c>
      <c r="C132" s="110">
        <v>1171650</v>
      </c>
      <c r="D132" s="96"/>
      <c r="E132" s="96"/>
      <c r="F132" s="110"/>
      <c r="G132" s="96"/>
      <c r="H132" s="96"/>
      <c r="I132" s="96"/>
      <c r="J132" s="96"/>
    </row>
    <row r="133" spans="2:10" x14ac:dyDescent="0.15"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2:10" x14ac:dyDescent="0.15"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2:10" x14ac:dyDescent="0.15">
      <c r="B135" s="97" t="s">
        <v>29</v>
      </c>
      <c r="C135" s="105">
        <f>C119+C126</f>
        <v>9151339.4364782609</v>
      </c>
      <c r="D135" s="96"/>
      <c r="E135" s="97" t="s">
        <v>30</v>
      </c>
      <c r="F135" s="105">
        <f>C135</f>
        <v>9151339.4364782609</v>
      </c>
      <c r="G135" s="96"/>
      <c r="H135" s="96"/>
      <c r="I135" s="96"/>
      <c r="J135" s="96"/>
    </row>
    <row r="136" spans="2:10" x14ac:dyDescent="0.15"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2:10" x14ac:dyDescent="0.15"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2:10" x14ac:dyDescent="0.15"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2:10" x14ac:dyDescent="0.15">
      <c r="B139" s="122" t="s">
        <v>32</v>
      </c>
      <c r="C139" s="96"/>
      <c r="D139" s="96"/>
      <c r="E139" s="96"/>
      <c r="F139" s="96"/>
      <c r="G139" s="96"/>
      <c r="H139" s="96"/>
      <c r="I139" s="96"/>
      <c r="J139" s="96"/>
    </row>
    <row r="140" spans="2:10" x14ac:dyDescent="0.15">
      <c r="B140" s="96"/>
      <c r="C140" s="96"/>
      <c r="D140" s="96"/>
      <c r="E140" s="96"/>
      <c r="F140" s="110"/>
      <c r="G140" s="110"/>
      <c r="H140" s="110"/>
      <c r="I140" s="96"/>
      <c r="J140" s="96"/>
    </row>
    <row r="141" spans="2:10" x14ac:dyDescent="0.15">
      <c r="B141" s="97" t="s">
        <v>13</v>
      </c>
      <c r="C141" s="105">
        <f>SUM(C143:C145)</f>
        <v>9249700</v>
      </c>
      <c r="D141" s="96"/>
      <c r="E141" s="97" t="s">
        <v>28</v>
      </c>
      <c r="F141" s="106">
        <f>F150-F146-F143</f>
        <v>2930700</v>
      </c>
      <c r="G141" s="110"/>
      <c r="H141" s="110"/>
      <c r="I141" s="96"/>
      <c r="J141" s="96"/>
    </row>
    <row r="142" spans="2:10" x14ac:dyDescent="0.15">
      <c r="B142" s="96"/>
      <c r="C142" s="96"/>
      <c r="D142" s="96"/>
      <c r="E142" s="97"/>
      <c r="F142" s="106"/>
      <c r="G142" s="110"/>
      <c r="H142" s="110"/>
      <c r="I142" s="96"/>
      <c r="J142" s="96"/>
    </row>
    <row r="143" spans="2:10" x14ac:dyDescent="0.15">
      <c r="B143" s="96" t="s">
        <v>15</v>
      </c>
      <c r="C143" s="96">
        <v>8446000</v>
      </c>
      <c r="D143" s="96"/>
      <c r="E143" s="97" t="s">
        <v>23</v>
      </c>
      <c r="F143" s="106">
        <v>5268700</v>
      </c>
      <c r="G143" s="110"/>
      <c r="H143" s="110"/>
      <c r="I143" s="96"/>
      <c r="J143" s="96"/>
    </row>
    <row r="144" spans="2:10" x14ac:dyDescent="0.15">
      <c r="B144" s="96" t="s">
        <v>33</v>
      </c>
      <c r="C144" s="96">
        <v>803700</v>
      </c>
      <c r="D144" s="96"/>
      <c r="E144" s="97"/>
      <c r="F144" s="106"/>
      <c r="G144" s="110"/>
      <c r="H144" s="110"/>
      <c r="I144" s="96"/>
      <c r="J144" s="96"/>
    </row>
    <row r="145" spans="2:10" x14ac:dyDescent="0.15">
      <c r="B145" s="96"/>
      <c r="C145" s="96"/>
      <c r="D145" s="96"/>
      <c r="E145" s="97"/>
      <c r="F145" s="106"/>
      <c r="G145" s="110"/>
      <c r="H145" s="110"/>
      <c r="I145" s="96"/>
      <c r="J145" s="96"/>
    </row>
    <row r="146" spans="2:10" x14ac:dyDescent="0.15">
      <c r="B146" s="97" t="s">
        <v>17</v>
      </c>
      <c r="C146" s="105">
        <f>C147</f>
        <v>162000</v>
      </c>
      <c r="D146" s="96"/>
      <c r="E146" s="97" t="s">
        <v>26</v>
      </c>
      <c r="F146" s="106">
        <v>1212300</v>
      </c>
      <c r="G146" s="110"/>
      <c r="H146" s="110"/>
      <c r="I146" s="96"/>
      <c r="J146" s="96"/>
    </row>
    <row r="147" spans="2:10" x14ac:dyDescent="0.15">
      <c r="B147" s="96" t="s">
        <v>34</v>
      </c>
      <c r="C147" s="96">
        <v>162000</v>
      </c>
      <c r="D147" s="96"/>
      <c r="E147" s="96"/>
      <c r="F147" s="110"/>
      <c r="G147" s="110"/>
      <c r="H147" s="110"/>
      <c r="I147" s="96"/>
      <c r="J147" s="96"/>
    </row>
    <row r="148" spans="2:10" x14ac:dyDescent="0.15">
      <c r="B148" s="96"/>
      <c r="C148" s="96"/>
      <c r="D148" s="96"/>
      <c r="E148" s="96"/>
      <c r="F148" s="110"/>
      <c r="G148" s="110"/>
      <c r="H148" s="110"/>
      <c r="I148" s="96"/>
      <c r="J148" s="96"/>
    </row>
    <row r="149" spans="2:10" x14ac:dyDescent="0.15">
      <c r="B149" s="96"/>
      <c r="C149" s="96"/>
      <c r="D149" s="96"/>
      <c r="E149" s="96"/>
      <c r="F149" s="96"/>
      <c r="G149" s="96"/>
      <c r="H149" s="96"/>
      <c r="I149" s="96"/>
      <c r="J149" s="96"/>
    </row>
    <row r="150" spans="2:10" x14ac:dyDescent="0.15">
      <c r="B150" s="97" t="s">
        <v>29</v>
      </c>
      <c r="C150" s="105">
        <f>C146+C141</f>
        <v>9411700</v>
      </c>
      <c r="D150" s="96"/>
      <c r="E150" s="97" t="s">
        <v>30</v>
      </c>
      <c r="F150" s="105">
        <f>C150</f>
        <v>9411700</v>
      </c>
      <c r="G150" s="96"/>
      <c r="H150" s="96"/>
      <c r="I150" s="96"/>
      <c r="J150" s="96"/>
    </row>
    <row r="151" spans="2:10" x14ac:dyDescent="0.15">
      <c r="B151" s="96"/>
      <c r="C151" s="96"/>
      <c r="D151" s="96"/>
      <c r="E151" s="96"/>
      <c r="F151" s="96"/>
      <c r="G151" s="96"/>
      <c r="H151" s="96"/>
      <c r="I151" s="96"/>
      <c r="J151" s="96"/>
    </row>
    <row r="152" spans="2:10" x14ac:dyDescent="0.15"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2:10" x14ac:dyDescent="0.15"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2:10" x14ac:dyDescent="0.15">
      <c r="B154" s="97" t="s">
        <v>13</v>
      </c>
      <c r="C154" s="105">
        <f>C119+C141</f>
        <v>16687578.436478261</v>
      </c>
      <c r="D154" s="96"/>
      <c r="E154" s="97" t="s">
        <v>28</v>
      </c>
      <c r="F154" s="105">
        <f>F119+F141</f>
        <v>7456917.4364782609</v>
      </c>
      <c r="G154" s="96"/>
      <c r="H154" s="96"/>
      <c r="I154" s="96"/>
      <c r="J154" s="96"/>
    </row>
    <row r="155" spans="2:10" x14ac:dyDescent="0.15">
      <c r="B155" s="96"/>
      <c r="C155" s="97"/>
      <c r="D155" s="96"/>
      <c r="E155" s="97" t="s">
        <v>23</v>
      </c>
      <c r="F155" s="109">
        <f>F143+F121</f>
        <v>9059044</v>
      </c>
      <c r="G155" s="96"/>
      <c r="H155" s="96"/>
      <c r="I155" s="96"/>
      <c r="J155" s="96"/>
    </row>
    <row r="156" spans="2:10" x14ac:dyDescent="0.15">
      <c r="B156" s="96"/>
      <c r="C156" s="97"/>
      <c r="D156" s="96"/>
      <c r="E156" s="96"/>
      <c r="F156" s="96"/>
      <c r="G156" s="96"/>
      <c r="H156" s="96"/>
      <c r="I156" s="109"/>
      <c r="J156" s="109"/>
    </row>
    <row r="157" spans="2:10" x14ac:dyDescent="0.15">
      <c r="B157" s="97" t="s">
        <v>17</v>
      </c>
      <c r="C157" s="105">
        <f>C146+C126</f>
        <v>1875461</v>
      </c>
      <c r="D157" s="96"/>
      <c r="E157" s="97" t="s">
        <v>26</v>
      </c>
      <c r="F157" s="109">
        <f>F146+F126</f>
        <v>2047078</v>
      </c>
      <c r="G157" s="96"/>
      <c r="H157" s="96"/>
      <c r="I157" s="96"/>
      <c r="J157" s="96"/>
    </row>
    <row r="158" spans="2:10" x14ac:dyDescent="0.15">
      <c r="B158" s="96"/>
      <c r="C158" s="97"/>
      <c r="D158" s="96"/>
      <c r="E158" s="97"/>
      <c r="F158" s="96"/>
      <c r="G158" s="96"/>
      <c r="H158" s="96"/>
      <c r="I158" s="96"/>
      <c r="J158" s="96"/>
    </row>
    <row r="159" spans="2:10" x14ac:dyDescent="0.15">
      <c r="B159" s="96"/>
      <c r="C159" s="96"/>
      <c r="D159" s="96"/>
      <c r="E159" s="96"/>
      <c r="F159" s="96"/>
      <c r="G159" s="96"/>
      <c r="H159" s="96"/>
      <c r="I159" s="96"/>
      <c r="J159" s="96"/>
    </row>
    <row r="160" spans="2:10" x14ac:dyDescent="0.15">
      <c r="B160" s="97" t="s">
        <v>35</v>
      </c>
      <c r="C160" s="105">
        <f>C135+C150</f>
        <v>18563039.436478261</v>
      </c>
      <c r="D160" s="97"/>
      <c r="E160" s="97" t="s">
        <v>36</v>
      </c>
      <c r="F160" s="105">
        <f>F150+F135</f>
        <v>18563039.436478261</v>
      </c>
      <c r="G160" s="96"/>
      <c r="H160" s="96"/>
      <c r="I160" s="96"/>
      <c r="J160" s="96"/>
    </row>
    <row r="161" spans="2:10" x14ac:dyDescent="0.15">
      <c r="B161" s="96"/>
      <c r="C161" s="96"/>
      <c r="D161" s="96"/>
      <c r="E161" s="96"/>
      <c r="F161" s="96"/>
      <c r="G161" s="96"/>
      <c r="H161" s="96"/>
      <c r="I161" s="96"/>
      <c r="J161" s="96"/>
    </row>
    <row r="162" spans="2:10" x14ac:dyDescent="0.15">
      <c r="B162" s="96"/>
      <c r="C162" s="96"/>
      <c r="D162" s="96"/>
      <c r="E162" s="96"/>
      <c r="F162" s="96"/>
      <c r="G162" s="96"/>
      <c r="H162" s="96"/>
      <c r="I162" s="96"/>
      <c r="J162" s="96"/>
    </row>
    <row r="163" spans="2:10" x14ac:dyDescent="0.15"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2:10" x14ac:dyDescent="0.15">
      <c r="B164" s="96"/>
      <c r="C164" s="96"/>
      <c r="D164" s="96"/>
      <c r="E164" s="96"/>
      <c r="F164" s="96"/>
      <c r="G164" s="96"/>
      <c r="H164" s="96"/>
      <c r="I164" s="96"/>
      <c r="J164" s="96"/>
    </row>
  </sheetData>
  <mergeCells count="5">
    <mergeCell ref="J4:L4"/>
    <mergeCell ref="M4:O4"/>
    <mergeCell ref="P4:R4"/>
    <mergeCell ref="S4:U4"/>
    <mergeCell ref="V4: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32D-40B6-9F40-A2A8-0AC8D92E6E4C}">
  <sheetPr>
    <pageSetUpPr fitToPage="1"/>
  </sheetPr>
  <dimension ref="A2:AT154"/>
  <sheetViews>
    <sheetView zoomScale="119" zoomScaleNormal="90" workbookViewId="0">
      <selection activeCell="C9" sqref="C9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16" t="s">
        <v>79</v>
      </c>
      <c r="D4" s="225" t="s">
        <v>80</v>
      </c>
      <c r="E4" s="315" t="s">
        <v>81</v>
      </c>
      <c r="F4" s="227" t="s">
        <v>82</v>
      </c>
      <c r="G4" s="316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1" t="s">
        <v>134</v>
      </c>
      <c r="F5" s="232" t="s">
        <v>135</v>
      </c>
      <c r="G5" s="232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'Minimum Operator'!C41</f>
        <v>913877.49989999994</v>
      </c>
      <c r="D6" s="317">
        <f>'Minimum Operator'!D41</f>
        <v>880388.41299599968</v>
      </c>
      <c r="E6" s="317">
        <f>'Minimum Operator'!E41</f>
        <v>845869.19658935256</v>
      </c>
      <c r="F6" s="317">
        <f>'Minimum Operator'!F41</f>
        <v>820617.34711280151</v>
      </c>
      <c r="G6" s="319">
        <f>'Minimum Operator'!G41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'Maximum Operator'!C41</f>
        <v>1318076.0602500001</v>
      </c>
      <c r="D7" s="317">
        <f>'Maximum Operator'!D41</f>
        <v>1436587.5458639995</v>
      </c>
      <c r="E7" s="317">
        <f>'Maximum Operator'!E41</f>
        <v>1499351.6164184399</v>
      </c>
      <c r="F7" s="317">
        <f>'Maximum Operator'!F41</f>
        <v>1563860.836222874</v>
      </c>
      <c r="G7" s="37">
        <f>'Maximum Operator'!G41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17">
        <v>1</v>
      </c>
      <c r="D8" s="37">
        <f>1/(J6-1)</f>
        <v>1</v>
      </c>
      <c r="E8" s="14">
        <f>1/(J7-1)</f>
        <v>0.5</v>
      </c>
      <c r="F8" s="37">
        <f>1/(J8-1)</f>
        <v>0.33333333333333331</v>
      </c>
      <c r="G8" s="37">
        <f>1/(J9-1)</f>
        <v>0.25</v>
      </c>
      <c r="I8" s="239" t="s">
        <v>142</v>
      </c>
      <c r="J8" s="240">
        <v>4</v>
      </c>
    </row>
    <row r="9" spans="1:32" s="3" customFormat="1" ht="18" thickBot="1" x14ac:dyDescent="0.3">
      <c r="B9" s="238" t="s">
        <v>129</v>
      </c>
      <c r="C9" s="317">
        <v>1</v>
      </c>
      <c r="D9" s="37">
        <f>1/(ABS(D6-D7)/D7+1)</f>
        <v>0.72089379219359961</v>
      </c>
      <c r="E9" s="14">
        <f t="shared" ref="E9:G9" si="0">1/(ABS(E6-E7)/E7+1)</f>
        <v>0.69645480848670882</v>
      </c>
      <c r="F9" s="37">
        <f t="shared" si="0"/>
        <v>0.67784573894255418</v>
      </c>
      <c r="G9" s="37">
        <f t="shared" si="0"/>
        <v>0.65494228105027108</v>
      </c>
      <c r="I9" s="245" t="s">
        <v>143</v>
      </c>
      <c r="J9" s="246">
        <v>5</v>
      </c>
    </row>
    <row r="10" spans="1:32" s="3" customFormat="1" ht="16" x14ac:dyDescent="0.2">
      <c r="B10" s="238" t="s">
        <v>88</v>
      </c>
      <c r="C10" s="317">
        <f>MIN(C8:C9)</f>
        <v>1</v>
      </c>
      <c r="D10" s="37">
        <f t="shared" ref="D10:G10" si="1">MIN(D8:D9)</f>
        <v>0.72089379219359961</v>
      </c>
      <c r="E10" s="14">
        <f t="shared" si="1"/>
        <v>0.5</v>
      </c>
      <c r="F10" s="37">
        <f t="shared" si="1"/>
        <v>0.33333333333333331</v>
      </c>
      <c r="G10" s="37">
        <f t="shared" si="1"/>
        <v>0.25</v>
      </c>
      <c r="I10" s="229"/>
      <c r="J10"/>
    </row>
    <row r="11" spans="1:32" s="2" customFormat="1" ht="17" thickBot="1" x14ac:dyDescent="0.25">
      <c r="B11" s="242" t="s">
        <v>87</v>
      </c>
      <c r="C11" s="318">
        <f>C7*C10+(1-C10)*C6</f>
        <v>1318076.0602500001</v>
      </c>
      <c r="D11" s="243">
        <f t="shared" ref="D11:G11" si="2">D7*D10+(1-D10)*D6</f>
        <v>1281348.9151040039</v>
      </c>
      <c r="E11" s="318">
        <f t="shared" si="2"/>
        <v>1172610.4065038962</v>
      </c>
      <c r="F11" s="243">
        <f t="shared" si="2"/>
        <v>1068365.1768161592</v>
      </c>
      <c r="G11" s="243">
        <f t="shared" si="2"/>
        <v>1008118.7906623608</v>
      </c>
      <c r="I11" s="229"/>
      <c r="J11"/>
      <c r="P11" s="247"/>
      <c r="Q11" s="345"/>
      <c r="R11" s="345"/>
      <c r="S11" s="345"/>
      <c r="T11" s="345"/>
      <c r="U11" s="345"/>
      <c r="V11" s="345"/>
      <c r="W11" s="345"/>
      <c r="X11" s="345"/>
      <c r="Y11" s="345"/>
    </row>
    <row r="12" spans="1:32" s="2" customFormat="1" ht="16" x14ac:dyDescent="0.2">
      <c r="Q12" s="249"/>
      <c r="R12" s="249"/>
      <c r="S12" s="250"/>
      <c r="T12" s="249"/>
      <c r="U12" s="249"/>
      <c r="V12" s="250"/>
      <c r="W12" s="249"/>
      <c r="X12" s="249"/>
      <c r="Y12" s="250"/>
    </row>
    <row r="13" spans="1:32" s="254" customFormat="1" ht="16" x14ac:dyDescent="0.2">
      <c r="A13" s="2"/>
      <c r="B13" s="185" t="s">
        <v>124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51"/>
      <c r="Q13" s="252"/>
      <c r="R13" s="252"/>
      <c r="S13" s="251"/>
      <c r="T13" s="252"/>
      <c r="U13" s="252"/>
      <c r="V13" s="251"/>
      <c r="W13" s="252"/>
      <c r="X13" s="253"/>
      <c r="Y13" s="251"/>
      <c r="Z13" s="2"/>
      <c r="AA13" s="2"/>
      <c r="AB13" s="2"/>
      <c r="AC13" s="2"/>
      <c r="AD13" s="2"/>
      <c r="AE13" s="2"/>
      <c r="AF13" s="2"/>
    </row>
    <row r="14" spans="1:32" s="2" customFormat="1" ht="17" thickBot="1" x14ac:dyDescent="0.25">
      <c r="I14" s="255"/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56"/>
      <c r="C15" s="81" t="s">
        <v>79</v>
      </c>
      <c r="D15" s="82" t="s">
        <v>80</v>
      </c>
      <c r="E15" s="39" t="s">
        <v>81</v>
      </c>
      <c r="F15" s="83" t="s">
        <v>82</v>
      </c>
      <c r="G15" s="94" t="s">
        <v>100</v>
      </c>
      <c r="H15" s="129" t="s">
        <v>130</v>
      </c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" customFormat="1" ht="17" thickBot="1" x14ac:dyDescent="0.25">
      <c r="B16" s="257" t="s">
        <v>144</v>
      </c>
      <c r="C16" s="258">
        <f>C11</f>
        <v>1318076.0602500001</v>
      </c>
      <c r="D16" s="259">
        <f>D11</f>
        <v>1281348.9151040039</v>
      </c>
      <c r="E16" s="259">
        <f>E11</f>
        <v>1172610.4065038962</v>
      </c>
      <c r="F16" s="259">
        <f>F11</f>
        <v>1068365.1768161592</v>
      </c>
      <c r="G16" s="260">
        <f>G11</f>
        <v>1008118.7906623608</v>
      </c>
      <c r="H16" s="261">
        <f>G16*(1+C20)/(C19-C20)</f>
        <v>20565623.32951216</v>
      </c>
      <c r="P16" s="251"/>
      <c r="Q16" s="14"/>
      <c r="R16" s="14"/>
      <c r="S16" s="251"/>
      <c r="T16" s="14"/>
      <c r="U16" s="14"/>
      <c r="V16" s="251"/>
      <c r="W16" s="14"/>
      <c r="X16" s="253"/>
      <c r="Y16" s="23"/>
    </row>
    <row r="17" spans="1:32" s="2" customFormat="1" ht="17" thickBot="1" x14ac:dyDescent="0.25">
      <c r="B17" s="262"/>
      <c r="C17" s="263"/>
      <c r="D17" s="263"/>
      <c r="E17" s="263"/>
      <c r="F17" s="263"/>
      <c r="G17" s="263"/>
      <c r="P17" s="251"/>
      <c r="Q17" s="14"/>
      <c r="R17" s="14"/>
      <c r="S17" s="251"/>
      <c r="T17" s="14"/>
      <c r="U17" s="14"/>
      <c r="V17" s="251"/>
      <c r="W17" s="14"/>
      <c r="X17" s="253"/>
      <c r="Y17" s="23"/>
    </row>
    <row r="18" spans="1:32" s="254" customFormat="1" ht="16" x14ac:dyDescent="0.2">
      <c r="A18" s="2"/>
      <c r="B18" s="188" t="s">
        <v>121</v>
      </c>
      <c r="C18" s="264">
        <v>14921222</v>
      </c>
      <c r="D18" s="265"/>
      <c r="E18" s="265"/>
      <c r="F18" s="265"/>
      <c r="G18" s="265"/>
      <c r="H18" s="2"/>
      <c r="I18" s="2"/>
      <c r="J18" s="2"/>
      <c r="K18" s="2"/>
      <c r="L18" s="2"/>
      <c r="M18" s="2"/>
      <c r="N18" s="2"/>
      <c r="O18" s="2"/>
      <c r="P18" s="251"/>
      <c r="Q18" s="14"/>
      <c r="R18" s="14"/>
      <c r="S18" s="251"/>
      <c r="T18" s="14"/>
      <c r="U18" s="14"/>
      <c r="V18" s="251"/>
      <c r="W18" s="14"/>
      <c r="X18" s="253"/>
      <c r="Y18" s="251"/>
      <c r="Z18" s="2"/>
      <c r="AA18" s="2"/>
      <c r="AB18" s="2"/>
      <c r="AC18" s="2"/>
      <c r="AD18" s="2"/>
      <c r="AE18" s="2"/>
      <c r="AF18" s="2"/>
    </row>
    <row r="19" spans="1:32" s="5" customFormat="1" ht="16" x14ac:dyDescent="0.2">
      <c r="B19" s="190" t="s">
        <v>120</v>
      </c>
      <c r="C19" s="266">
        <v>7.0000000000000007E-2</v>
      </c>
      <c r="D19" s="267"/>
      <c r="E19" s="267"/>
      <c r="F19" s="267"/>
      <c r="G19" s="267"/>
      <c r="H19" s="268"/>
      <c r="I19" s="268"/>
      <c r="P19" s="269"/>
      <c r="Q19" s="270"/>
      <c r="R19" s="270"/>
      <c r="S19" s="269"/>
      <c r="T19" s="270"/>
      <c r="U19" s="270"/>
      <c r="V19" s="269"/>
      <c r="W19" s="270"/>
      <c r="X19" s="271"/>
      <c r="Y19" s="25"/>
    </row>
    <row r="20" spans="1:32" s="2" customFormat="1" ht="17" thickBot="1" x14ac:dyDescent="0.25">
      <c r="B20" s="192" t="s">
        <v>122</v>
      </c>
      <c r="C20" s="272">
        <v>0.02</v>
      </c>
      <c r="D20" s="3"/>
      <c r="E20" s="3"/>
      <c r="F20" s="3"/>
      <c r="G20" s="3"/>
      <c r="H20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7" thickBot="1" x14ac:dyDescent="0.25">
      <c r="B21" s="95"/>
      <c r="C21" s="273"/>
      <c r="D21" s="248"/>
      <c r="E21" s="248"/>
      <c r="F21" s="248"/>
      <c r="G21" s="248"/>
      <c r="H21"/>
      <c r="K21" s="14"/>
      <c r="L21" s="14"/>
      <c r="M21" s="251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20" thickBot="1" x14ac:dyDescent="0.3">
      <c r="B22" s="274" t="s">
        <v>89</v>
      </c>
      <c r="C22" s="275">
        <f>NPV(C19,C16:G16)-C18+H16/((1+C19)^5)</f>
        <v>4583834.5869528055</v>
      </c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K23" s="14"/>
      <c r="L23" s="14"/>
      <c r="M23" s="14"/>
      <c r="N23" s="14"/>
      <c r="O23" s="14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B24"/>
      <c r="C24"/>
      <c r="D24"/>
      <c r="E24"/>
      <c r="F24"/>
      <c r="G24"/>
      <c r="K24" s="14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" customFormat="1" ht="16" x14ac:dyDescent="0.2">
      <c r="D25"/>
      <c r="E25"/>
      <c r="F25"/>
      <c r="G25"/>
      <c r="H25" s="3"/>
      <c r="K25" s="14"/>
      <c r="L25" s="270"/>
      <c r="M25" s="269"/>
      <c r="N25" s="270"/>
      <c r="O25" s="270"/>
      <c r="P25" s="251"/>
      <c r="Q25" s="14"/>
      <c r="R25" s="14"/>
      <c r="S25" s="251"/>
      <c r="T25" s="14"/>
      <c r="U25" s="14"/>
      <c r="V25" s="251"/>
      <c r="W25" s="14"/>
      <c r="X25" s="253"/>
      <c r="Y25" s="23"/>
    </row>
    <row r="26" spans="1:32" s="2" customFormat="1" ht="16" x14ac:dyDescent="0.2">
      <c r="K26" s="276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9"/>
      <c r="Y27" s="278"/>
      <c r="Z27" s="2"/>
      <c r="AA27" s="2"/>
      <c r="AB27" s="2"/>
      <c r="AC27" s="2"/>
      <c r="AD27" s="2"/>
      <c r="AE27" s="2"/>
      <c r="AF27" s="2"/>
    </row>
    <row r="28" spans="1:32" s="2" customFormat="1" ht="16" x14ac:dyDescent="0.2">
      <c r="K28" s="14"/>
      <c r="L28" s="14"/>
      <c r="M28" s="251"/>
      <c r="N28" s="14"/>
      <c r="O28" s="14"/>
      <c r="P28" s="251"/>
      <c r="Q28" s="14"/>
      <c r="R28" s="14"/>
      <c r="S28" s="251"/>
      <c r="T28" s="14"/>
      <c r="U28" s="14"/>
      <c r="V28" s="251"/>
      <c r="W28" s="14"/>
      <c r="X28" s="253"/>
      <c r="Y28" s="23"/>
    </row>
    <row r="29" spans="1:32" s="254" customFormat="1" ht="16" x14ac:dyDescent="0.15">
      <c r="A29" s="2"/>
      <c r="B29" s="2"/>
      <c r="C29" s="2"/>
      <c r="D29" s="2"/>
      <c r="E29" s="2"/>
      <c r="F29" s="2"/>
      <c r="G29" s="2"/>
      <c r="H29" s="255"/>
      <c r="I29" s="2"/>
      <c r="J29" s="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78"/>
      <c r="Z29" s="2"/>
      <c r="AA29" s="2"/>
      <c r="AB29" s="2"/>
      <c r="AC29" s="2"/>
      <c r="AD29" s="2"/>
      <c r="AE29" s="2"/>
      <c r="AF29" s="2"/>
    </row>
    <row r="30" spans="1:32" s="2" customFormat="1" ht="23.25" hidden="1" customHeight="1" x14ac:dyDescent="0.2">
      <c r="B30" s="262"/>
      <c r="C30" s="280"/>
      <c r="D30" s="280"/>
      <c r="E30" s="280"/>
      <c r="F30" s="280"/>
      <c r="G30" s="280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81"/>
    </row>
    <row r="31" spans="1:32" s="2" customFormat="1" ht="16" x14ac:dyDescent="0.2">
      <c r="B31" s="262"/>
      <c r="C31" s="282"/>
      <c r="D31" s="282"/>
      <c r="E31" s="282"/>
      <c r="F31" s="282"/>
      <c r="G31" s="282"/>
      <c r="K31" s="277"/>
      <c r="L31" s="277"/>
      <c r="M31" s="278"/>
      <c r="N31" s="277"/>
      <c r="O31" s="277"/>
      <c r="P31" s="278"/>
      <c r="Q31" s="277"/>
      <c r="R31" s="277"/>
      <c r="S31" s="278"/>
      <c r="T31" s="277"/>
      <c r="U31" s="277"/>
      <c r="V31" s="278"/>
      <c r="W31" s="277"/>
      <c r="X31" s="277"/>
      <c r="Y31" s="281"/>
    </row>
    <row r="32" spans="1:32" s="254" customFormat="1" ht="16" x14ac:dyDescent="0.2">
      <c r="A32" s="2"/>
      <c r="B32" s="262"/>
      <c r="C32" s="283"/>
      <c r="D32" s="283"/>
      <c r="E32" s="283"/>
      <c r="F32" s="283"/>
      <c r="G32" s="283"/>
      <c r="H32" s="2"/>
      <c r="I32" s="2"/>
      <c r="J32" s="2"/>
      <c r="K32" s="277"/>
      <c r="L32" s="277"/>
      <c r="M32" s="278"/>
      <c r="N32" s="277"/>
      <c r="O32" s="277"/>
      <c r="P32" s="278"/>
      <c r="Q32" s="277"/>
      <c r="R32" s="277"/>
      <c r="S32" s="278"/>
      <c r="T32" s="277"/>
      <c r="U32" s="277"/>
      <c r="V32" s="278"/>
      <c r="W32" s="277"/>
      <c r="X32" s="277"/>
      <c r="Y32" s="278"/>
      <c r="Z32" s="2"/>
      <c r="AA32" s="2"/>
      <c r="AB32" s="2"/>
      <c r="AC32" s="2"/>
      <c r="AD32" s="2"/>
      <c r="AE32" s="2"/>
      <c r="AF32" s="2"/>
    </row>
    <row r="33" spans="2:24" s="2" customFormat="1" ht="16" x14ac:dyDescent="0.2">
      <c r="B33" s="6"/>
      <c r="D33" s="7"/>
      <c r="E33" s="7"/>
      <c r="F33" s="7"/>
      <c r="G33" s="7"/>
      <c r="H33" s="7"/>
      <c r="I33" s="7"/>
      <c r="J33" s="7"/>
      <c r="K33" s="7"/>
      <c r="L33" s="7"/>
      <c r="M33" s="7"/>
      <c r="X33" s="249"/>
    </row>
    <row r="34" spans="2:24" s="2" customFormat="1" ht="19" x14ac:dyDescent="0.25">
      <c r="B34" s="284"/>
      <c r="C34" s="4"/>
      <c r="X34" s="249"/>
    </row>
    <row r="35" spans="2:24" s="2" customFormat="1" ht="16" x14ac:dyDescent="0.2">
      <c r="B35" s="8"/>
      <c r="C35" s="4"/>
      <c r="X35" s="249"/>
    </row>
    <row r="36" spans="2:24" s="2" customFormat="1" ht="16" x14ac:dyDescent="0.2">
      <c r="B36" s="285"/>
      <c r="C36" s="248"/>
      <c r="D36" s="248"/>
      <c r="E36" s="248"/>
      <c r="F36" s="248"/>
      <c r="G36" s="248"/>
      <c r="X36" s="249"/>
    </row>
    <row r="37" spans="2:24" s="2" customFormat="1" ht="16" x14ac:dyDescent="0.2">
      <c r="B37" s="286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286"/>
      <c r="C44" s="263"/>
      <c r="D44" s="263"/>
      <c r="E44" s="263"/>
      <c r="F44" s="263"/>
      <c r="G44" s="263"/>
      <c r="H44" s="4"/>
      <c r="I44" s="4"/>
      <c r="J44" s="4"/>
      <c r="X44" s="249"/>
    </row>
    <row r="45" spans="2:24" s="2" customFormat="1" ht="16" x14ac:dyDescent="0.2">
      <c r="B45" s="287"/>
      <c r="C45" s="263"/>
      <c r="D45" s="263"/>
      <c r="E45" s="263"/>
      <c r="F45" s="263"/>
      <c r="G45" s="263"/>
      <c r="H45" s="4"/>
      <c r="I45" s="4"/>
      <c r="J45" s="4"/>
      <c r="X45" s="249"/>
    </row>
    <row r="46" spans="2:24" s="2" customFormat="1" ht="16" x14ac:dyDescent="0.2">
      <c r="B46" s="9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9" x14ac:dyDescent="0.25">
      <c r="B47" s="284"/>
      <c r="C47" s="10"/>
      <c r="D47" s="10"/>
      <c r="E47" s="10"/>
      <c r="F47" s="10"/>
      <c r="G47" s="10"/>
      <c r="H47" s="4"/>
      <c r="I47" s="4"/>
      <c r="J47" s="4"/>
      <c r="X47" s="249"/>
    </row>
    <row r="48" spans="2:24" s="2" customFormat="1" ht="19" x14ac:dyDescent="0.25">
      <c r="B48" s="284"/>
      <c r="C48" s="10"/>
      <c r="D48" s="10"/>
      <c r="E48" s="10"/>
      <c r="F48" s="10"/>
      <c r="G48" s="10"/>
      <c r="H48" s="4"/>
      <c r="I48" s="4"/>
      <c r="J48" s="4"/>
      <c r="X48" s="249"/>
    </row>
    <row r="49" spans="2:24" s="2" customFormat="1" ht="16" x14ac:dyDescent="0.2">
      <c r="B49" s="285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X51" s="249"/>
    </row>
    <row r="52" spans="2:24" s="2" customFormat="1" ht="16" x14ac:dyDescent="0.2">
      <c r="B52" s="285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B53" s="6"/>
      <c r="C53" s="288"/>
      <c r="D53" s="288"/>
      <c r="E53" s="288"/>
      <c r="F53" s="288"/>
      <c r="G53" s="288"/>
      <c r="H53" s="4"/>
      <c r="I53" s="4"/>
      <c r="J53" s="4"/>
      <c r="K53" s="11"/>
      <c r="L53" s="11"/>
      <c r="M53" s="11"/>
      <c r="X53" s="249"/>
    </row>
    <row r="54" spans="2:24" s="2" customFormat="1" ht="16" x14ac:dyDescent="0.2">
      <c r="B54" s="6"/>
      <c r="C54" s="288"/>
      <c r="D54" s="288"/>
      <c r="E54" s="288"/>
      <c r="F54" s="288"/>
      <c r="G54" s="288"/>
      <c r="H54" s="4"/>
      <c r="I54" s="4"/>
      <c r="J54" s="4"/>
      <c r="X54" s="249"/>
    </row>
    <row r="55" spans="2:24" s="2" customFormat="1" ht="16" x14ac:dyDescent="0.2">
      <c r="H55" s="12"/>
      <c r="I55" s="12"/>
      <c r="J55" s="12"/>
      <c r="X55" s="249"/>
    </row>
    <row r="56" spans="2:24" ht="16" x14ac:dyDescent="0.2">
      <c r="X56" s="289"/>
    </row>
    <row r="57" spans="2:24" ht="16" x14ac:dyDescent="0.2">
      <c r="X57" s="289"/>
    </row>
    <row r="58" spans="2:24" ht="16" x14ac:dyDescent="0.2">
      <c r="C58" s="16"/>
      <c r="X58" s="289"/>
    </row>
    <row r="59" spans="2:24" ht="16" x14ac:dyDescent="0.2">
      <c r="C59" s="229"/>
      <c r="X59" s="289"/>
    </row>
    <row r="60" spans="2:24" ht="16" x14ac:dyDescent="0.2">
      <c r="C60" s="290"/>
      <c r="D60" s="290"/>
      <c r="E60" s="290"/>
      <c r="F60" s="290"/>
      <c r="G60" s="290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ht="16" x14ac:dyDescent="0.2">
      <c r="B66" s="229"/>
      <c r="C66" s="292"/>
      <c r="D66" s="292"/>
      <c r="E66" s="292"/>
      <c r="F66" s="292"/>
      <c r="G66" s="292"/>
      <c r="X66" s="289"/>
    </row>
    <row r="67" spans="2:46" ht="16" x14ac:dyDescent="0.2">
      <c r="C67" s="291"/>
      <c r="D67" s="291"/>
      <c r="E67" s="291"/>
      <c r="F67" s="291"/>
      <c r="G67" s="291"/>
      <c r="X67" s="289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C69" s="294"/>
      <c r="D69" s="294"/>
      <c r="E69" s="294"/>
      <c r="F69" s="294"/>
      <c r="G69" s="294"/>
    </row>
    <row r="70" spans="2:46" x14ac:dyDescent="0.2">
      <c r="B70" s="229"/>
      <c r="C70" s="293"/>
      <c r="D70" s="293"/>
      <c r="E70" s="293"/>
      <c r="F70" s="293"/>
      <c r="G70" s="293"/>
    </row>
    <row r="71" spans="2:46" x14ac:dyDescent="0.2">
      <c r="B71" s="295"/>
      <c r="C71" s="296"/>
      <c r="D71" s="297"/>
      <c r="E71" s="297"/>
      <c r="F71" s="297"/>
      <c r="G71" s="297"/>
    </row>
    <row r="72" spans="2:46" x14ac:dyDescent="0.2">
      <c r="B72" s="295"/>
      <c r="C72" s="296"/>
      <c r="D72" s="297"/>
      <c r="E72" s="297"/>
      <c r="F72" s="297"/>
      <c r="G72" s="297"/>
    </row>
    <row r="73" spans="2:46" s="300" customFormat="1" x14ac:dyDescent="0.2">
      <c r="B73" s="229"/>
      <c r="C73" s="298"/>
      <c r="D73" s="298"/>
      <c r="E73" s="298"/>
      <c r="F73" s="298"/>
      <c r="G73" s="298"/>
      <c r="H73" s="299"/>
      <c r="I73" s="29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</row>
    <row r="74" spans="2:46" x14ac:dyDescent="0.2">
      <c r="C74" s="301"/>
      <c r="D74" s="301"/>
      <c r="E74" s="301"/>
      <c r="F74" s="301"/>
      <c r="G74" s="301"/>
      <c r="H74" s="302"/>
      <c r="I74" s="302"/>
      <c r="J74" s="302"/>
    </row>
    <row r="75" spans="2:46" x14ac:dyDescent="0.2">
      <c r="C75" s="301"/>
      <c r="D75" s="301"/>
      <c r="E75" s="301"/>
      <c r="F75" s="301"/>
      <c r="G75" s="301"/>
      <c r="H75" s="303"/>
      <c r="I75" s="303"/>
      <c r="J75" s="303"/>
    </row>
    <row r="76" spans="2:46" x14ac:dyDescent="0.2">
      <c r="C76" s="304"/>
      <c r="D76" s="303"/>
      <c r="E76" s="303"/>
      <c r="F76" s="303"/>
      <c r="G76" s="303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3"/>
      <c r="I78" s="303"/>
      <c r="J78" s="303"/>
    </row>
    <row r="79" spans="2:46" x14ac:dyDescent="0.2">
      <c r="B79" s="229"/>
      <c r="C79" s="305"/>
      <c r="D79" s="301"/>
      <c r="E79" s="301"/>
      <c r="F79" s="301"/>
      <c r="G79" s="301"/>
      <c r="H79" s="303"/>
      <c r="I79" s="303"/>
      <c r="J79" s="303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5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</row>
    <row r="85" spans="2:19" x14ac:dyDescent="0.2">
      <c r="B85" s="229"/>
      <c r="C85" s="306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5"/>
      <c r="D86" s="301"/>
      <c r="E86" s="301"/>
      <c r="F86" s="307"/>
      <c r="G86" s="301"/>
      <c r="H86" s="301"/>
      <c r="I86" s="301"/>
      <c r="J86" s="301"/>
      <c r="K86" s="303"/>
      <c r="L86" s="303"/>
      <c r="M86" s="303"/>
      <c r="N86" s="301"/>
      <c r="O86" s="301"/>
      <c r="P86" s="301"/>
      <c r="Q86" s="301"/>
      <c r="R86" s="301"/>
      <c r="S86" s="301"/>
    </row>
    <row r="87" spans="2:19" x14ac:dyDescent="0.2">
      <c r="B87" s="229"/>
      <c r="C87" s="305"/>
      <c r="D87" s="301"/>
      <c r="E87" s="301"/>
      <c r="F87" s="303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8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4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6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9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9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8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9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9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8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9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9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B105" s="229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</row>
    <row r="106" spans="2:19" x14ac:dyDescent="0.2">
      <c r="B106" s="229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</row>
    <row r="107" spans="2:19" x14ac:dyDescent="0.2">
      <c r="C107" s="310"/>
      <c r="D107" s="302"/>
    </row>
    <row r="108" spans="2:19" x14ac:dyDescent="0.2">
      <c r="C108" s="311"/>
    </row>
    <row r="109" spans="2:19" x14ac:dyDescent="0.2">
      <c r="C109" s="302"/>
    </row>
    <row r="110" spans="2:19" x14ac:dyDescent="0.2">
      <c r="C110" s="302"/>
      <c r="D110" s="301"/>
    </row>
    <row r="111" spans="2:19" x14ac:dyDescent="0.2">
      <c r="B111" s="312"/>
    </row>
    <row r="113" spans="2:13" x14ac:dyDescent="0.2">
      <c r="B113" s="229"/>
      <c r="C113" s="298"/>
      <c r="E113" s="229"/>
      <c r="F113" s="299"/>
      <c r="G113" s="301"/>
      <c r="K113" s="310"/>
      <c r="L113" s="310"/>
      <c r="M113" s="310"/>
    </row>
    <row r="114" spans="2:13" x14ac:dyDescent="0.2">
      <c r="E114" s="229"/>
      <c r="K114" s="310"/>
      <c r="L114" s="310"/>
      <c r="M114" s="310"/>
    </row>
    <row r="115" spans="2:13" x14ac:dyDescent="0.2">
      <c r="C115" s="302"/>
      <c r="E115" s="229"/>
      <c r="F115" s="298"/>
      <c r="K115" s="310"/>
      <c r="L115" s="310"/>
      <c r="M115" s="310"/>
    </row>
    <row r="116" spans="2:13" x14ac:dyDescent="0.2">
      <c r="C116" s="302"/>
    </row>
    <row r="117" spans="2:13" x14ac:dyDescent="0.2">
      <c r="C117" s="302"/>
      <c r="F117" s="302"/>
    </row>
    <row r="118" spans="2:13" x14ac:dyDescent="0.2">
      <c r="F118" s="302"/>
    </row>
    <row r="120" spans="2:13" x14ac:dyDescent="0.2">
      <c r="B120" s="229"/>
      <c r="C120" s="298"/>
      <c r="E120" s="229"/>
      <c r="F120" s="299"/>
    </row>
    <row r="121" spans="2:13" x14ac:dyDescent="0.2">
      <c r="F121" s="302"/>
    </row>
    <row r="122" spans="2:13" x14ac:dyDescent="0.2">
      <c r="C122" s="302"/>
      <c r="F122" s="302"/>
    </row>
    <row r="123" spans="2:13" x14ac:dyDescent="0.2">
      <c r="C123" s="302"/>
      <c r="F123" s="302"/>
    </row>
    <row r="124" spans="2:13" x14ac:dyDescent="0.2">
      <c r="B124" s="313"/>
      <c r="C124" s="314"/>
      <c r="F124" s="302"/>
    </row>
    <row r="125" spans="2:13" x14ac:dyDescent="0.2">
      <c r="B125" s="313"/>
      <c r="C125" s="314"/>
      <c r="F125" s="302"/>
    </row>
    <row r="126" spans="2:13" x14ac:dyDescent="0.2">
      <c r="C126" s="302"/>
      <c r="F126" s="302"/>
    </row>
    <row r="129" spans="2:7" x14ac:dyDescent="0.2">
      <c r="B129" s="229"/>
      <c r="C129" s="298"/>
      <c r="E129" s="229"/>
      <c r="F129" s="298"/>
    </row>
    <row r="133" spans="2:7" x14ac:dyDescent="0.2">
      <c r="B133" s="312"/>
    </row>
    <row r="134" spans="2:7" x14ac:dyDescent="0.2">
      <c r="F134" s="302"/>
      <c r="G134" s="302"/>
    </row>
    <row r="135" spans="2:7" x14ac:dyDescent="0.2">
      <c r="B135" s="229"/>
      <c r="C135" s="298"/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E138" s="229"/>
      <c r="F138" s="299"/>
      <c r="G138" s="302"/>
    </row>
    <row r="139" spans="2:7" x14ac:dyDescent="0.2">
      <c r="E139" s="229"/>
      <c r="F139" s="299"/>
      <c r="G139" s="302"/>
    </row>
    <row r="140" spans="2:7" x14ac:dyDescent="0.2">
      <c r="B140" s="229"/>
      <c r="C140" s="298"/>
      <c r="E140" s="229"/>
      <c r="F140" s="299"/>
      <c r="G140" s="302"/>
    </row>
    <row r="141" spans="2:7" x14ac:dyDescent="0.2">
      <c r="F141" s="302"/>
      <c r="G141" s="302"/>
    </row>
    <row r="142" spans="2:7" x14ac:dyDescent="0.2">
      <c r="F142" s="302"/>
      <c r="G142" s="302"/>
    </row>
    <row r="144" spans="2:7" x14ac:dyDescent="0.2">
      <c r="B144" s="229"/>
      <c r="C144" s="298"/>
      <c r="E144" s="229"/>
      <c r="F144" s="298"/>
    </row>
    <row r="148" spans="2:10" x14ac:dyDescent="0.2">
      <c r="B148" s="229"/>
      <c r="C148" s="298"/>
      <c r="E148" s="229"/>
      <c r="F148" s="298"/>
    </row>
    <row r="149" spans="2:10" x14ac:dyDescent="0.2">
      <c r="C149" s="229"/>
      <c r="E149" s="229"/>
      <c r="F149" s="301"/>
    </row>
    <row r="150" spans="2:10" x14ac:dyDescent="0.2">
      <c r="C150" s="229"/>
      <c r="H150" s="301"/>
      <c r="I150" s="301"/>
      <c r="J150" s="301"/>
    </row>
    <row r="151" spans="2:10" x14ac:dyDescent="0.2">
      <c r="B151" s="229"/>
      <c r="C151" s="298"/>
      <c r="E151" s="229"/>
      <c r="F151" s="301"/>
    </row>
    <row r="152" spans="2:10" x14ac:dyDescent="0.2">
      <c r="C152" s="229"/>
      <c r="E152" s="229"/>
    </row>
    <row r="154" spans="2:10" x14ac:dyDescent="0.2">
      <c r="B154" s="229"/>
      <c r="C154" s="298"/>
      <c r="D154" s="229"/>
      <c r="E154" s="229"/>
      <c r="F154" s="29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8AE7-AB0A-014D-BBA3-B39CD7086C67}">
  <sheetPr>
    <pageSetUpPr fitToPage="1"/>
  </sheetPr>
  <dimension ref="A2:AT154"/>
  <sheetViews>
    <sheetView zoomScale="119" zoomScaleNormal="90" workbookViewId="0">
      <selection activeCell="D9" sqref="D9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16" t="s">
        <v>79</v>
      </c>
      <c r="D4" s="225" t="s">
        <v>80</v>
      </c>
      <c r="E4" s="315" t="s">
        <v>81</v>
      </c>
      <c r="F4" s="227" t="s">
        <v>82</v>
      </c>
      <c r="G4" s="316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1" t="s">
        <v>134</v>
      </c>
      <c r="F5" s="232" t="s">
        <v>135</v>
      </c>
      <c r="G5" s="232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'Minimum Operator'!C41</f>
        <v>913877.49989999994</v>
      </c>
      <c r="D6" s="317">
        <f>'Minimum Operator'!D41</f>
        <v>880388.41299599968</v>
      </c>
      <c r="E6" s="317">
        <f>'Minimum Operator'!E41</f>
        <v>845869.19658935256</v>
      </c>
      <c r="F6" s="317">
        <f>'Minimum Operator'!F41</f>
        <v>820617.34711280151</v>
      </c>
      <c r="G6" s="319">
        <f>'Minimum Operator'!G41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'Maximum Operator'!C41</f>
        <v>1318076.0602500001</v>
      </c>
      <c r="D7" s="317">
        <f>'Maximum Operator'!D41</f>
        <v>1436587.5458639995</v>
      </c>
      <c r="E7" s="317">
        <f>'Maximum Operator'!E41</f>
        <v>1499351.6164184399</v>
      </c>
      <c r="F7" s="317">
        <f>'Maximum Operator'!F41</f>
        <v>1563860.836222874</v>
      </c>
      <c r="G7" s="37">
        <f>'Maximum Operator'!G41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17">
        <v>1</v>
      </c>
      <c r="D8" s="37">
        <f>1/(J6-1)</f>
        <v>1</v>
      </c>
      <c r="E8" s="14">
        <f>1/(J7-1)</f>
        <v>0.5</v>
      </c>
      <c r="F8" s="37">
        <f>1/(J8-1)</f>
        <v>0.33333333333333331</v>
      </c>
      <c r="G8" s="37">
        <f>1/(J9-1)</f>
        <v>0.25</v>
      </c>
      <c r="I8" s="239" t="s">
        <v>142</v>
      </c>
      <c r="J8" s="240">
        <v>4</v>
      </c>
    </row>
    <row r="9" spans="1:32" s="3" customFormat="1" ht="18" thickBot="1" x14ac:dyDescent="0.3">
      <c r="B9" s="238" t="s">
        <v>129</v>
      </c>
      <c r="C9" s="317">
        <v>1</v>
      </c>
      <c r="D9" s="37">
        <f>1/(ABS(D6-D7)/D7+1)</f>
        <v>0.72089379219359961</v>
      </c>
      <c r="E9" s="14">
        <f>1/(ABS(E6-E7)/E7+1)</f>
        <v>0.69645480848670882</v>
      </c>
      <c r="F9" s="37">
        <f>1/(ABS(F6-F7)/F7+1)</f>
        <v>0.67784573894255418</v>
      </c>
      <c r="G9" s="37">
        <f>1/(ABS(G6-G7)/G7+1)</f>
        <v>0.65494228105027108</v>
      </c>
      <c r="I9" s="245" t="s">
        <v>143</v>
      </c>
      <c r="J9" s="246">
        <v>5</v>
      </c>
    </row>
    <row r="10" spans="1:32" s="3" customFormat="1" ht="16" x14ac:dyDescent="0.2">
      <c r="B10" s="238" t="s">
        <v>145</v>
      </c>
      <c r="C10" s="317">
        <f>C8*C9</f>
        <v>1</v>
      </c>
      <c r="D10" s="317">
        <f>D8*D9</f>
        <v>0.72089379219359961</v>
      </c>
      <c r="E10" s="317">
        <f>E8*E9</f>
        <v>0.34822740424335441</v>
      </c>
      <c r="F10" s="317">
        <f>F8*F9</f>
        <v>0.22594857964751805</v>
      </c>
      <c r="G10" s="37">
        <f>G8*G9</f>
        <v>0.16373557026256777</v>
      </c>
      <c r="I10" s="229"/>
      <c r="J10"/>
    </row>
    <row r="11" spans="1:32" s="2" customFormat="1" ht="17" thickBot="1" x14ac:dyDescent="0.25">
      <c r="B11" s="242" t="s">
        <v>87</v>
      </c>
      <c r="C11" s="318">
        <f>C7*C10+(1-C10)*C6</f>
        <v>1318076.0602500001</v>
      </c>
      <c r="D11" s="243">
        <f>D7*D10+(1-D10)*D6</f>
        <v>1281348.9151040039</v>
      </c>
      <c r="E11" s="318">
        <f>E7*E10+(1-E10)*E6</f>
        <v>1073429.6833651015</v>
      </c>
      <c r="F11" s="243">
        <f>F7*F10+(1-F10)*F6</f>
        <v>988552.15780948789</v>
      </c>
      <c r="G11" s="243">
        <f>G7*G10+(1-G10)*G6</f>
        <v>932369.83363795001</v>
      </c>
      <c r="I11" s="229"/>
      <c r="J11"/>
      <c r="P11" s="247"/>
      <c r="Q11" s="345"/>
      <c r="R11" s="345"/>
      <c r="S11" s="345"/>
      <c r="T11" s="345"/>
      <c r="U11" s="345"/>
      <c r="V11" s="345"/>
      <c r="W11" s="345"/>
      <c r="X11" s="345"/>
      <c r="Y11" s="345"/>
    </row>
    <row r="12" spans="1:32" s="2" customFormat="1" ht="16" x14ac:dyDescent="0.2">
      <c r="Q12" s="249"/>
      <c r="R12" s="249"/>
      <c r="S12" s="250"/>
      <c r="T12" s="249"/>
      <c r="U12" s="249"/>
      <c r="V12" s="250"/>
      <c r="W12" s="249"/>
      <c r="X12" s="249"/>
      <c r="Y12" s="250"/>
    </row>
    <row r="13" spans="1:32" s="254" customFormat="1" ht="16" x14ac:dyDescent="0.2">
      <c r="A13" s="2"/>
      <c r="B13" s="185" t="s">
        <v>124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51"/>
      <c r="Q13" s="252"/>
      <c r="R13" s="252"/>
      <c r="S13" s="251"/>
      <c r="T13" s="252"/>
      <c r="U13" s="252"/>
      <c r="V13" s="251"/>
      <c r="W13" s="252"/>
      <c r="X13" s="253"/>
      <c r="Y13" s="251"/>
      <c r="Z13" s="2"/>
      <c r="AA13" s="2"/>
      <c r="AB13" s="2"/>
      <c r="AC13" s="2"/>
      <c r="AD13" s="2"/>
      <c r="AE13" s="2"/>
      <c r="AF13" s="2"/>
    </row>
    <row r="14" spans="1:32" s="2" customFormat="1" ht="17" thickBot="1" x14ac:dyDescent="0.25">
      <c r="I14" s="255"/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56"/>
      <c r="C15" s="81" t="s">
        <v>79</v>
      </c>
      <c r="D15" s="82" t="s">
        <v>80</v>
      </c>
      <c r="E15" s="39" t="s">
        <v>81</v>
      </c>
      <c r="F15" s="83" t="s">
        <v>82</v>
      </c>
      <c r="G15" s="94" t="s">
        <v>100</v>
      </c>
      <c r="H15" s="129" t="s">
        <v>130</v>
      </c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" customFormat="1" ht="17" thickBot="1" x14ac:dyDescent="0.25">
      <c r="B16" s="257" t="s">
        <v>144</v>
      </c>
      <c r="C16" s="258">
        <f>C11</f>
        <v>1318076.0602500001</v>
      </c>
      <c r="D16" s="259">
        <f>D11</f>
        <v>1281348.9151040039</v>
      </c>
      <c r="E16" s="259">
        <f>E11</f>
        <v>1073429.6833651015</v>
      </c>
      <c r="F16" s="259">
        <f>F11</f>
        <v>988552.15780948789</v>
      </c>
      <c r="G16" s="260">
        <f>G11</f>
        <v>932369.83363795001</v>
      </c>
      <c r="H16" s="261">
        <f>G16*(1+C20)/(C19-C20)</f>
        <v>19020344.606214177</v>
      </c>
      <c r="P16" s="251"/>
      <c r="Q16" s="14"/>
      <c r="R16" s="14"/>
      <c r="S16" s="251"/>
      <c r="T16" s="14"/>
      <c r="U16" s="14"/>
      <c r="V16" s="251"/>
      <c r="W16" s="14"/>
      <c r="X16" s="253"/>
      <c r="Y16" s="23"/>
    </row>
    <row r="17" spans="1:32" s="2" customFormat="1" ht="17" thickBot="1" x14ac:dyDescent="0.25">
      <c r="B17" s="262"/>
      <c r="C17" s="263"/>
      <c r="D17" s="263"/>
      <c r="E17" s="263"/>
      <c r="F17" s="263"/>
      <c r="G17" s="263"/>
      <c r="P17" s="251"/>
      <c r="Q17" s="14"/>
      <c r="R17" s="14"/>
      <c r="S17" s="251"/>
      <c r="T17" s="14"/>
      <c r="U17" s="14"/>
      <c r="V17" s="251"/>
      <c r="W17" s="14"/>
      <c r="X17" s="253"/>
      <c r="Y17" s="23"/>
    </row>
    <row r="18" spans="1:32" s="254" customFormat="1" ht="16" x14ac:dyDescent="0.2">
      <c r="A18" s="2"/>
      <c r="B18" s="188" t="s">
        <v>121</v>
      </c>
      <c r="C18" s="264">
        <v>14921222</v>
      </c>
      <c r="D18" s="265"/>
      <c r="E18" s="265"/>
      <c r="F18" s="265"/>
      <c r="G18" s="265"/>
      <c r="H18" s="2"/>
      <c r="I18" s="2"/>
      <c r="J18" s="2"/>
      <c r="K18" s="2"/>
      <c r="L18" s="2"/>
      <c r="M18" s="2"/>
      <c r="N18" s="2"/>
      <c r="O18" s="2"/>
      <c r="P18" s="251"/>
      <c r="Q18" s="14"/>
      <c r="R18" s="14"/>
      <c r="S18" s="251"/>
      <c r="T18" s="14"/>
      <c r="U18" s="14"/>
      <c r="V18" s="251"/>
      <c r="W18" s="14"/>
      <c r="X18" s="253"/>
      <c r="Y18" s="251"/>
      <c r="Z18" s="2"/>
      <c r="AA18" s="2"/>
      <c r="AB18" s="2"/>
      <c r="AC18" s="2"/>
      <c r="AD18" s="2"/>
      <c r="AE18" s="2"/>
      <c r="AF18" s="2"/>
    </row>
    <row r="19" spans="1:32" s="5" customFormat="1" ht="16" x14ac:dyDescent="0.2">
      <c r="B19" s="190" t="s">
        <v>120</v>
      </c>
      <c r="C19" s="266">
        <v>7.0000000000000007E-2</v>
      </c>
      <c r="D19" s="267"/>
      <c r="E19" s="267"/>
      <c r="F19" s="267"/>
      <c r="G19" s="267"/>
      <c r="H19" s="268"/>
      <c r="I19" s="268"/>
      <c r="P19" s="269"/>
      <c r="Q19" s="270"/>
      <c r="R19" s="270"/>
      <c r="S19" s="269"/>
      <c r="T19" s="270"/>
      <c r="U19" s="270"/>
      <c r="V19" s="269"/>
      <c r="W19" s="270"/>
      <c r="X19" s="271"/>
      <c r="Y19" s="25"/>
    </row>
    <row r="20" spans="1:32" s="2" customFormat="1" ht="17" thickBot="1" x14ac:dyDescent="0.25">
      <c r="B20" s="192" t="s">
        <v>122</v>
      </c>
      <c r="C20" s="272">
        <v>0.02</v>
      </c>
      <c r="D20" s="3"/>
      <c r="E20" s="3"/>
      <c r="F20" s="3"/>
      <c r="G20" s="3"/>
      <c r="H20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7" thickBot="1" x14ac:dyDescent="0.25">
      <c r="B21" s="95"/>
      <c r="C21" s="273"/>
      <c r="D21" s="248"/>
      <c r="E21" s="248"/>
      <c r="F21" s="248"/>
      <c r="G21" s="248"/>
      <c r="H21"/>
      <c r="K21" s="14"/>
      <c r="L21" s="14"/>
      <c r="M21" s="251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20" thickBot="1" x14ac:dyDescent="0.3">
      <c r="B22" s="274" t="s">
        <v>89</v>
      </c>
      <c r="C22" s="275">
        <f>NPV(C19,C16:G16)-C18+H16/((1+C19)^5)</f>
        <v>3286214.2705365214</v>
      </c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K23" s="14"/>
      <c r="L23" s="14"/>
      <c r="M23" s="14"/>
      <c r="N23" s="14"/>
      <c r="O23" s="14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B24"/>
      <c r="C24"/>
      <c r="D24"/>
      <c r="E24"/>
      <c r="F24"/>
      <c r="G24"/>
      <c r="K24" s="14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" customFormat="1" ht="16" x14ac:dyDescent="0.2">
      <c r="D25"/>
      <c r="E25"/>
      <c r="F25"/>
      <c r="G25"/>
      <c r="H25" s="3"/>
      <c r="K25" s="14"/>
      <c r="L25" s="270"/>
      <c r="M25" s="269"/>
      <c r="N25" s="270"/>
      <c r="O25" s="270"/>
      <c r="P25" s="251"/>
      <c r="Q25" s="14"/>
      <c r="R25" s="14"/>
      <c r="S25" s="251"/>
      <c r="T25" s="14"/>
      <c r="U25" s="14"/>
      <c r="V25" s="251"/>
      <c r="W25" s="14"/>
      <c r="X25" s="253"/>
      <c r="Y25" s="23"/>
    </row>
    <row r="26" spans="1:32" s="2" customFormat="1" ht="16" x14ac:dyDescent="0.2">
      <c r="K26" s="276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9"/>
      <c r="Y27" s="278"/>
      <c r="Z27" s="2"/>
      <c r="AA27" s="2"/>
      <c r="AB27" s="2"/>
      <c r="AC27" s="2"/>
      <c r="AD27" s="2"/>
      <c r="AE27" s="2"/>
      <c r="AF27" s="2"/>
    </row>
    <row r="28" spans="1:32" s="2" customFormat="1" ht="16" x14ac:dyDescent="0.2">
      <c r="K28" s="14"/>
      <c r="L28" s="14"/>
      <c r="M28" s="251"/>
      <c r="N28" s="14"/>
      <c r="O28" s="14"/>
      <c r="P28" s="251"/>
      <c r="Q28" s="14"/>
      <c r="R28" s="14"/>
      <c r="S28" s="251"/>
      <c r="T28" s="14"/>
      <c r="U28" s="14"/>
      <c r="V28" s="251"/>
      <c r="W28" s="14"/>
      <c r="X28" s="253"/>
      <c r="Y28" s="23"/>
    </row>
    <row r="29" spans="1:32" s="254" customFormat="1" ht="16" x14ac:dyDescent="0.15">
      <c r="A29" s="2"/>
      <c r="B29" s="2"/>
      <c r="C29" s="2"/>
      <c r="D29" s="2"/>
      <c r="E29" s="2"/>
      <c r="F29" s="2"/>
      <c r="G29" s="2"/>
      <c r="H29" s="255"/>
      <c r="I29" s="2"/>
      <c r="J29" s="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78"/>
      <c r="Z29" s="2"/>
      <c r="AA29" s="2"/>
      <c r="AB29" s="2"/>
      <c r="AC29" s="2"/>
      <c r="AD29" s="2"/>
      <c r="AE29" s="2"/>
      <c r="AF29" s="2"/>
    </row>
    <row r="30" spans="1:32" s="2" customFormat="1" ht="23.25" hidden="1" customHeight="1" x14ac:dyDescent="0.2">
      <c r="B30" s="262"/>
      <c r="C30" s="280"/>
      <c r="D30" s="280"/>
      <c r="E30" s="280"/>
      <c r="F30" s="280"/>
      <c r="G30" s="280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81"/>
    </row>
    <row r="31" spans="1:32" s="2" customFormat="1" ht="16" x14ac:dyDescent="0.2">
      <c r="B31" s="262"/>
      <c r="C31" s="282"/>
      <c r="D31" s="282"/>
      <c r="E31" s="282"/>
      <c r="F31" s="282"/>
      <c r="G31" s="282"/>
      <c r="K31" s="277"/>
      <c r="L31" s="277"/>
      <c r="M31" s="278"/>
      <c r="N31" s="277"/>
      <c r="O31" s="277"/>
      <c r="P31" s="278"/>
      <c r="Q31" s="277"/>
      <c r="R31" s="277"/>
      <c r="S31" s="278"/>
      <c r="T31" s="277"/>
      <c r="U31" s="277"/>
      <c r="V31" s="278"/>
      <c r="W31" s="277"/>
      <c r="X31" s="277"/>
      <c r="Y31" s="281"/>
    </row>
    <row r="32" spans="1:32" s="254" customFormat="1" ht="16" x14ac:dyDescent="0.2">
      <c r="A32" s="2"/>
      <c r="B32" s="262"/>
      <c r="C32" s="283"/>
      <c r="D32" s="283"/>
      <c r="E32" s="283"/>
      <c r="F32" s="283"/>
      <c r="G32" s="283"/>
      <c r="H32" s="2"/>
      <c r="I32" s="2"/>
      <c r="J32" s="2"/>
      <c r="K32" s="277"/>
      <c r="L32" s="277"/>
      <c r="M32" s="278"/>
      <c r="N32" s="277"/>
      <c r="O32" s="277"/>
      <c r="P32" s="278"/>
      <c r="Q32" s="277"/>
      <c r="R32" s="277"/>
      <c r="S32" s="278"/>
      <c r="T32" s="277"/>
      <c r="U32" s="277"/>
      <c r="V32" s="278"/>
      <c r="W32" s="277"/>
      <c r="X32" s="277"/>
      <c r="Y32" s="278"/>
      <c r="Z32" s="2"/>
      <c r="AA32" s="2"/>
      <c r="AB32" s="2"/>
      <c r="AC32" s="2"/>
      <c r="AD32" s="2"/>
      <c r="AE32" s="2"/>
      <c r="AF32" s="2"/>
    </row>
    <row r="33" spans="2:24" s="2" customFormat="1" ht="16" x14ac:dyDescent="0.2">
      <c r="B33" s="6"/>
      <c r="D33" s="7"/>
      <c r="E33" s="7"/>
      <c r="F33" s="7"/>
      <c r="G33" s="7"/>
      <c r="H33" s="7"/>
      <c r="I33" s="7"/>
      <c r="J33" s="7"/>
      <c r="K33" s="7"/>
      <c r="L33" s="7"/>
      <c r="M33" s="7"/>
      <c r="X33" s="249"/>
    </row>
    <row r="34" spans="2:24" s="2" customFormat="1" ht="19" x14ac:dyDescent="0.25">
      <c r="B34" s="284"/>
      <c r="C34" s="4"/>
      <c r="X34" s="249"/>
    </row>
    <row r="35" spans="2:24" s="2" customFormat="1" ht="16" x14ac:dyDescent="0.2">
      <c r="B35" s="8"/>
      <c r="C35" s="4"/>
      <c r="X35" s="249"/>
    </row>
    <row r="36" spans="2:24" s="2" customFormat="1" ht="16" x14ac:dyDescent="0.2">
      <c r="B36" s="285"/>
      <c r="C36" s="248"/>
      <c r="D36" s="248"/>
      <c r="E36" s="248"/>
      <c r="F36" s="248"/>
      <c r="G36" s="248"/>
      <c r="X36" s="249"/>
    </row>
    <row r="37" spans="2:24" s="2" customFormat="1" ht="16" x14ac:dyDescent="0.2">
      <c r="B37" s="286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286"/>
      <c r="C44" s="263"/>
      <c r="D44" s="263"/>
      <c r="E44" s="263"/>
      <c r="F44" s="263"/>
      <c r="G44" s="263"/>
      <c r="H44" s="4"/>
      <c r="I44" s="4"/>
      <c r="J44" s="4"/>
      <c r="X44" s="249"/>
    </row>
    <row r="45" spans="2:24" s="2" customFormat="1" ht="16" x14ac:dyDescent="0.2">
      <c r="B45" s="287"/>
      <c r="C45" s="263"/>
      <c r="D45" s="263"/>
      <c r="E45" s="263"/>
      <c r="F45" s="263"/>
      <c r="G45" s="263"/>
      <c r="H45" s="4"/>
      <c r="I45" s="4"/>
      <c r="J45" s="4"/>
      <c r="X45" s="249"/>
    </row>
    <row r="46" spans="2:24" s="2" customFormat="1" ht="16" x14ac:dyDescent="0.2">
      <c r="B46" s="9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9" x14ac:dyDescent="0.25">
      <c r="B47" s="284"/>
      <c r="C47" s="10"/>
      <c r="D47" s="10"/>
      <c r="E47" s="10"/>
      <c r="F47" s="10"/>
      <c r="G47" s="10"/>
      <c r="H47" s="4"/>
      <c r="I47" s="4"/>
      <c r="J47" s="4"/>
      <c r="X47" s="249"/>
    </row>
    <row r="48" spans="2:24" s="2" customFormat="1" ht="19" x14ac:dyDescent="0.25">
      <c r="B48" s="284"/>
      <c r="C48" s="10"/>
      <c r="D48" s="10"/>
      <c r="E48" s="10"/>
      <c r="F48" s="10"/>
      <c r="G48" s="10"/>
      <c r="H48" s="4"/>
      <c r="I48" s="4"/>
      <c r="J48" s="4"/>
      <c r="X48" s="249"/>
    </row>
    <row r="49" spans="2:24" s="2" customFormat="1" ht="16" x14ac:dyDescent="0.2">
      <c r="B49" s="285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X51" s="249"/>
    </row>
    <row r="52" spans="2:24" s="2" customFormat="1" ht="16" x14ac:dyDescent="0.2">
      <c r="B52" s="285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B53" s="6"/>
      <c r="C53" s="288"/>
      <c r="D53" s="288"/>
      <c r="E53" s="288"/>
      <c r="F53" s="288"/>
      <c r="G53" s="288"/>
      <c r="H53" s="4"/>
      <c r="I53" s="4"/>
      <c r="J53" s="4"/>
      <c r="K53" s="11"/>
      <c r="L53" s="11"/>
      <c r="M53" s="11"/>
      <c r="X53" s="249"/>
    </row>
    <row r="54" spans="2:24" s="2" customFormat="1" ht="16" x14ac:dyDescent="0.2">
      <c r="B54" s="6"/>
      <c r="C54" s="288"/>
      <c r="D54" s="288"/>
      <c r="E54" s="288"/>
      <c r="F54" s="288"/>
      <c r="G54" s="288"/>
      <c r="H54" s="4"/>
      <c r="I54" s="4"/>
      <c r="J54" s="4"/>
      <c r="X54" s="249"/>
    </row>
    <row r="55" spans="2:24" s="2" customFormat="1" ht="16" x14ac:dyDescent="0.2">
      <c r="H55" s="12"/>
      <c r="I55" s="12"/>
      <c r="J55" s="12"/>
      <c r="X55" s="249"/>
    </row>
    <row r="56" spans="2:24" ht="16" x14ac:dyDescent="0.2">
      <c r="X56" s="289"/>
    </row>
    <row r="57" spans="2:24" ht="16" x14ac:dyDescent="0.2">
      <c r="X57" s="289"/>
    </row>
    <row r="58" spans="2:24" ht="16" x14ac:dyDescent="0.2">
      <c r="C58" s="16"/>
      <c r="X58" s="289"/>
    </row>
    <row r="59" spans="2:24" ht="16" x14ac:dyDescent="0.2">
      <c r="C59" s="229"/>
      <c r="X59" s="289"/>
    </row>
    <row r="60" spans="2:24" ht="16" x14ac:dyDescent="0.2">
      <c r="C60" s="290"/>
      <c r="D60" s="290"/>
      <c r="E60" s="290"/>
      <c r="F60" s="290"/>
      <c r="G60" s="290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ht="16" x14ac:dyDescent="0.2">
      <c r="B66" s="229"/>
      <c r="C66" s="292"/>
      <c r="D66" s="292"/>
      <c r="E66" s="292"/>
      <c r="F66" s="292"/>
      <c r="G66" s="292"/>
      <c r="X66" s="289"/>
    </row>
    <row r="67" spans="2:46" ht="16" x14ac:dyDescent="0.2">
      <c r="C67" s="291"/>
      <c r="D67" s="291"/>
      <c r="E67" s="291"/>
      <c r="F67" s="291"/>
      <c r="G67" s="291"/>
      <c r="X67" s="289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C69" s="294"/>
      <c r="D69" s="294"/>
      <c r="E69" s="294"/>
      <c r="F69" s="294"/>
      <c r="G69" s="294"/>
    </row>
    <row r="70" spans="2:46" x14ac:dyDescent="0.2">
      <c r="B70" s="229"/>
      <c r="C70" s="293"/>
      <c r="D70" s="293"/>
      <c r="E70" s="293"/>
      <c r="F70" s="293"/>
      <c r="G70" s="293"/>
    </row>
    <row r="71" spans="2:46" x14ac:dyDescent="0.2">
      <c r="B71" s="295"/>
      <c r="C71" s="296"/>
      <c r="D71" s="297"/>
      <c r="E71" s="297"/>
      <c r="F71" s="297"/>
      <c r="G71" s="297"/>
    </row>
    <row r="72" spans="2:46" x14ac:dyDescent="0.2">
      <c r="B72" s="295"/>
      <c r="C72" s="296"/>
      <c r="D72" s="297"/>
      <c r="E72" s="297"/>
      <c r="F72" s="297"/>
      <c r="G72" s="297"/>
    </row>
    <row r="73" spans="2:46" s="300" customFormat="1" x14ac:dyDescent="0.2">
      <c r="B73" s="229"/>
      <c r="C73" s="298"/>
      <c r="D73" s="298"/>
      <c r="E73" s="298"/>
      <c r="F73" s="298"/>
      <c r="G73" s="298"/>
      <c r="H73" s="299"/>
      <c r="I73" s="29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29"/>
      <c r="AC73" s="229"/>
      <c r="AD73" s="229"/>
      <c r="AE73" s="229"/>
      <c r="AF73" s="229"/>
      <c r="AG73" s="229"/>
      <c r="AH73" s="229"/>
      <c r="AI73" s="229"/>
      <c r="AJ73" s="229"/>
      <c r="AK73" s="229"/>
      <c r="AL73" s="229"/>
      <c r="AM73" s="229"/>
      <c r="AN73" s="229"/>
      <c r="AO73" s="229"/>
      <c r="AP73" s="229"/>
      <c r="AQ73" s="229"/>
      <c r="AR73" s="229"/>
      <c r="AS73" s="229"/>
      <c r="AT73" s="229"/>
    </row>
    <row r="74" spans="2:46" x14ac:dyDescent="0.2">
      <c r="C74" s="301"/>
      <c r="D74" s="301"/>
      <c r="E74" s="301"/>
      <c r="F74" s="301"/>
      <c r="G74" s="301"/>
      <c r="H74" s="302"/>
      <c r="I74" s="302"/>
      <c r="J74" s="302"/>
    </row>
    <row r="75" spans="2:46" x14ac:dyDescent="0.2">
      <c r="C75" s="301"/>
      <c r="D75" s="301"/>
      <c r="E75" s="301"/>
      <c r="F75" s="301"/>
      <c r="G75" s="301"/>
      <c r="H75" s="303"/>
      <c r="I75" s="303"/>
      <c r="J75" s="303"/>
    </row>
    <row r="76" spans="2:46" x14ac:dyDescent="0.2">
      <c r="C76" s="304"/>
      <c r="D76" s="303"/>
      <c r="E76" s="303"/>
      <c r="F76" s="303"/>
      <c r="G76" s="303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3"/>
      <c r="I78" s="303"/>
      <c r="J78" s="303"/>
    </row>
    <row r="79" spans="2:46" x14ac:dyDescent="0.2">
      <c r="B79" s="229"/>
      <c r="C79" s="305"/>
      <c r="D79" s="301"/>
      <c r="E79" s="301"/>
      <c r="F79" s="301"/>
      <c r="G79" s="301"/>
      <c r="H79" s="303"/>
      <c r="I79" s="303"/>
      <c r="J79" s="303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5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</row>
    <row r="85" spans="2:19" x14ac:dyDescent="0.2">
      <c r="B85" s="229"/>
      <c r="C85" s="306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5"/>
      <c r="D86" s="301"/>
      <c r="E86" s="301"/>
      <c r="F86" s="307"/>
      <c r="G86" s="301"/>
      <c r="H86" s="301"/>
      <c r="I86" s="301"/>
      <c r="J86" s="301"/>
      <c r="K86" s="303"/>
      <c r="L86" s="303"/>
      <c r="M86" s="303"/>
      <c r="N86" s="301"/>
      <c r="O86" s="301"/>
      <c r="P86" s="301"/>
      <c r="Q86" s="301"/>
      <c r="R86" s="301"/>
      <c r="S86" s="301"/>
    </row>
    <row r="87" spans="2:19" x14ac:dyDescent="0.2">
      <c r="B87" s="229"/>
      <c r="C87" s="305"/>
      <c r="D87" s="301"/>
      <c r="E87" s="301"/>
      <c r="F87" s="303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8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4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6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9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9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8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9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9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8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9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9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B105" s="229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</row>
    <row r="106" spans="2:19" x14ac:dyDescent="0.2">
      <c r="B106" s="229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</row>
    <row r="107" spans="2:19" x14ac:dyDescent="0.2">
      <c r="C107" s="310"/>
      <c r="D107" s="302"/>
    </row>
    <row r="108" spans="2:19" x14ac:dyDescent="0.2">
      <c r="C108" s="311"/>
    </row>
    <row r="109" spans="2:19" x14ac:dyDescent="0.2">
      <c r="C109" s="302"/>
    </row>
    <row r="110" spans="2:19" x14ac:dyDescent="0.2">
      <c r="C110" s="302"/>
      <c r="D110" s="301"/>
    </row>
    <row r="111" spans="2:19" x14ac:dyDescent="0.2">
      <c r="B111" s="312"/>
    </row>
    <row r="113" spans="2:13" x14ac:dyDescent="0.2">
      <c r="B113" s="229"/>
      <c r="C113" s="298"/>
      <c r="E113" s="229"/>
      <c r="F113" s="299"/>
      <c r="G113" s="301"/>
      <c r="K113" s="310"/>
      <c r="L113" s="310"/>
      <c r="M113" s="310"/>
    </row>
    <row r="114" spans="2:13" x14ac:dyDescent="0.2">
      <c r="E114" s="229"/>
      <c r="K114" s="310"/>
      <c r="L114" s="310"/>
      <c r="M114" s="310"/>
    </row>
    <row r="115" spans="2:13" x14ac:dyDescent="0.2">
      <c r="C115" s="302"/>
      <c r="E115" s="229"/>
      <c r="F115" s="298"/>
      <c r="K115" s="310"/>
      <c r="L115" s="310"/>
      <c r="M115" s="310"/>
    </row>
    <row r="116" spans="2:13" x14ac:dyDescent="0.2">
      <c r="C116" s="302"/>
    </row>
    <row r="117" spans="2:13" x14ac:dyDescent="0.2">
      <c r="C117" s="302"/>
      <c r="F117" s="302"/>
    </row>
    <row r="118" spans="2:13" x14ac:dyDescent="0.2">
      <c r="F118" s="302"/>
    </row>
    <row r="120" spans="2:13" x14ac:dyDescent="0.2">
      <c r="B120" s="229"/>
      <c r="C120" s="298"/>
      <c r="E120" s="229"/>
      <c r="F120" s="299"/>
    </row>
    <row r="121" spans="2:13" x14ac:dyDescent="0.2">
      <c r="F121" s="302"/>
    </row>
    <row r="122" spans="2:13" x14ac:dyDescent="0.2">
      <c r="C122" s="302"/>
      <c r="F122" s="302"/>
    </row>
    <row r="123" spans="2:13" x14ac:dyDescent="0.2">
      <c r="C123" s="302"/>
      <c r="F123" s="302"/>
    </row>
    <row r="124" spans="2:13" x14ac:dyDescent="0.2">
      <c r="B124" s="313"/>
      <c r="C124" s="314"/>
      <c r="F124" s="302"/>
    </row>
    <row r="125" spans="2:13" x14ac:dyDescent="0.2">
      <c r="B125" s="313"/>
      <c r="C125" s="314"/>
      <c r="F125" s="302"/>
    </row>
    <row r="126" spans="2:13" x14ac:dyDescent="0.2">
      <c r="C126" s="302"/>
      <c r="F126" s="302"/>
    </row>
    <row r="129" spans="2:7" x14ac:dyDescent="0.2">
      <c r="B129" s="229"/>
      <c r="C129" s="298"/>
      <c r="E129" s="229"/>
      <c r="F129" s="298"/>
    </row>
    <row r="133" spans="2:7" x14ac:dyDescent="0.2">
      <c r="B133" s="312"/>
    </row>
    <row r="134" spans="2:7" x14ac:dyDescent="0.2">
      <c r="F134" s="302"/>
      <c r="G134" s="302"/>
    </row>
    <row r="135" spans="2:7" x14ac:dyDescent="0.2">
      <c r="B135" s="229"/>
      <c r="C135" s="298"/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E138" s="229"/>
      <c r="F138" s="299"/>
      <c r="G138" s="302"/>
    </row>
    <row r="139" spans="2:7" x14ac:dyDescent="0.2">
      <c r="E139" s="229"/>
      <c r="F139" s="299"/>
      <c r="G139" s="302"/>
    </row>
    <row r="140" spans="2:7" x14ac:dyDescent="0.2">
      <c r="B140" s="229"/>
      <c r="C140" s="298"/>
      <c r="E140" s="229"/>
      <c r="F140" s="299"/>
      <c r="G140" s="302"/>
    </row>
    <row r="141" spans="2:7" x14ac:dyDescent="0.2">
      <c r="F141" s="302"/>
      <c r="G141" s="302"/>
    </row>
    <row r="142" spans="2:7" x14ac:dyDescent="0.2">
      <c r="F142" s="302"/>
      <c r="G142" s="302"/>
    </row>
    <row r="144" spans="2:7" x14ac:dyDescent="0.2">
      <c r="B144" s="229"/>
      <c r="C144" s="298"/>
      <c r="E144" s="229"/>
      <c r="F144" s="298"/>
    </row>
    <row r="148" spans="2:10" x14ac:dyDescent="0.2">
      <c r="B148" s="229"/>
      <c r="C148" s="298"/>
      <c r="E148" s="229"/>
      <c r="F148" s="298"/>
    </row>
    <row r="149" spans="2:10" x14ac:dyDescent="0.2">
      <c r="C149" s="229"/>
      <c r="E149" s="229"/>
      <c r="F149" s="301"/>
    </row>
    <row r="150" spans="2:10" x14ac:dyDescent="0.2">
      <c r="C150" s="229"/>
      <c r="H150" s="301"/>
      <c r="I150" s="301"/>
      <c r="J150" s="301"/>
    </row>
    <row r="151" spans="2:10" x14ac:dyDescent="0.2">
      <c r="B151" s="229"/>
      <c r="C151" s="298"/>
      <c r="E151" s="229"/>
      <c r="F151" s="301"/>
    </row>
    <row r="152" spans="2:10" x14ac:dyDescent="0.2">
      <c r="C152" s="229"/>
      <c r="E152" s="229"/>
    </row>
    <row r="154" spans="2:10" x14ac:dyDescent="0.2">
      <c r="B154" s="229"/>
      <c r="C154" s="298"/>
      <c r="D154" s="229"/>
      <c r="E154" s="229"/>
      <c r="F154" s="298"/>
    </row>
  </sheetData>
  <mergeCells count="3">
    <mergeCell ref="Q11:S11"/>
    <mergeCell ref="T11:V11"/>
    <mergeCell ref="W11:Y11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5232-775E-8F4A-ACDA-37CC7BA333BA}">
  <sheetPr>
    <pageSetUpPr fitToPage="1"/>
  </sheetPr>
  <dimension ref="A2:AT152"/>
  <sheetViews>
    <sheetView tabSelected="1" zoomScale="119" zoomScaleNormal="90" workbookViewId="0">
      <selection activeCell="G26" sqref="G26"/>
    </sheetView>
  </sheetViews>
  <sheetFormatPr baseColWidth="10" defaultColWidth="11.5" defaultRowHeight="15" x14ac:dyDescent="0.2"/>
  <cols>
    <col min="1" max="1" width="7.5" customWidth="1"/>
    <col min="2" max="2" width="36.83203125" customWidth="1"/>
    <col min="3" max="3" width="15.5" bestFit="1" customWidth="1"/>
    <col min="4" max="4" width="13.5" bestFit="1" customWidth="1"/>
    <col min="5" max="5" width="16.33203125" customWidth="1"/>
    <col min="6" max="6" width="14.5" bestFit="1" customWidth="1"/>
    <col min="7" max="7" width="15.5" bestFit="1" customWidth="1"/>
    <col min="8" max="9" width="16.5" customWidth="1"/>
    <col min="10" max="10" width="10.1640625" bestFit="1" customWidth="1"/>
    <col min="11" max="11" width="12.6640625" bestFit="1" customWidth="1"/>
    <col min="12" max="12" width="13.33203125" customWidth="1"/>
    <col min="13" max="13" width="14.1640625" customWidth="1"/>
    <col min="14" max="14" width="12.6640625" bestFit="1" customWidth="1"/>
    <col min="15" max="15" width="13.6640625" bestFit="1" customWidth="1"/>
    <col min="16" max="16" width="15" bestFit="1" customWidth="1"/>
    <col min="17" max="17" width="14.1640625" bestFit="1" customWidth="1"/>
    <col min="18" max="18" width="14.1640625" customWidth="1"/>
    <col min="19" max="19" width="15" bestFit="1" customWidth="1"/>
    <col min="20" max="20" width="11" bestFit="1" customWidth="1"/>
    <col min="21" max="21" width="11" customWidth="1"/>
    <col min="22" max="22" width="15" bestFit="1" customWidth="1"/>
    <col min="23" max="23" width="12.5" bestFit="1" customWidth="1"/>
    <col min="25" max="25" width="15" bestFit="1" customWidth="1"/>
  </cols>
  <sheetData>
    <row r="2" spans="1:32" ht="16" x14ac:dyDescent="0.2">
      <c r="B2" s="220" t="s">
        <v>131</v>
      </c>
    </row>
    <row r="3" spans="1:32" ht="16" thickBot="1" x14ac:dyDescent="0.25">
      <c r="J3" s="221"/>
      <c r="K3" s="222"/>
      <c r="M3" s="221"/>
    </row>
    <row r="4" spans="1:32" ht="17" thickBot="1" x14ac:dyDescent="0.25">
      <c r="B4" s="223"/>
      <c r="C4" s="224" t="s">
        <v>79</v>
      </c>
      <c r="D4" s="225" t="s">
        <v>80</v>
      </c>
      <c r="E4" s="226" t="s">
        <v>81</v>
      </c>
      <c r="F4" s="227" t="s">
        <v>82</v>
      </c>
      <c r="G4" s="228" t="s">
        <v>100</v>
      </c>
      <c r="J4" s="221"/>
      <c r="K4" s="222"/>
      <c r="M4" s="229"/>
      <c r="N4" s="230"/>
    </row>
    <row r="5" spans="1:32" ht="18" thickBot="1" x14ac:dyDescent="0.3">
      <c r="B5" s="34"/>
      <c r="C5" s="231" t="s">
        <v>132</v>
      </c>
      <c r="D5" s="232" t="s">
        <v>133</v>
      </c>
      <c r="E5" s="232" t="s">
        <v>134</v>
      </c>
      <c r="F5" s="232" t="s">
        <v>135</v>
      </c>
      <c r="G5" s="233" t="s">
        <v>136</v>
      </c>
      <c r="I5" s="234" t="s">
        <v>137</v>
      </c>
      <c r="J5" s="235">
        <v>1</v>
      </c>
      <c r="K5" s="236"/>
      <c r="L5" s="2"/>
      <c r="M5" s="221"/>
      <c r="N5" s="237"/>
    </row>
    <row r="6" spans="1:32" ht="17" x14ac:dyDescent="0.25">
      <c r="B6" s="238" t="s">
        <v>138</v>
      </c>
      <c r="C6" s="317">
        <f>'Minimum Operator'!C41</f>
        <v>913877.49989999994</v>
      </c>
      <c r="D6" s="317">
        <f>'Minimum Operator'!D41</f>
        <v>880388.41299599968</v>
      </c>
      <c r="E6" s="317">
        <f>'Minimum Operator'!E41</f>
        <v>845869.19658935256</v>
      </c>
      <c r="F6" s="317">
        <f>'Minimum Operator'!F41</f>
        <v>820617.34711280151</v>
      </c>
      <c r="G6" s="319">
        <f>'Minimum Operator'!G41</f>
        <v>788593.32328556362</v>
      </c>
      <c r="I6" s="239" t="s">
        <v>139</v>
      </c>
      <c r="J6" s="240">
        <v>2</v>
      </c>
      <c r="K6" s="23"/>
      <c r="L6" s="3"/>
      <c r="M6" s="3"/>
      <c r="N6" s="237"/>
    </row>
    <row r="7" spans="1:32" s="2" customFormat="1" ht="17" x14ac:dyDescent="0.25">
      <c r="B7" s="241" t="s">
        <v>140</v>
      </c>
      <c r="C7" s="317">
        <f>'Maximum Operator'!C41</f>
        <v>1318076.0602500001</v>
      </c>
      <c r="D7" s="317">
        <f>'Maximum Operator'!D41</f>
        <v>1436587.5458639995</v>
      </c>
      <c r="E7" s="317">
        <f>'Maximum Operator'!E41</f>
        <v>1499351.6164184399</v>
      </c>
      <c r="F7" s="317">
        <f>'Maximum Operator'!F41</f>
        <v>1563860.836222874</v>
      </c>
      <c r="G7" s="37">
        <f>'Maximum Operator'!G41</f>
        <v>1666695.1927927528</v>
      </c>
      <c r="I7" s="239" t="s">
        <v>141</v>
      </c>
      <c r="J7" s="240">
        <v>3</v>
      </c>
      <c r="K7" s="23"/>
      <c r="L7" s="3"/>
      <c r="M7" s="3"/>
      <c r="N7" s="237"/>
    </row>
    <row r="8" spans="1:32" s="3" customFormat="1" ht="17" x14ac:dyDescent="0.25">
      <c r="B8" s="238" t="s">
        <v>125</v>
      </c>
      <c r="C8" s="37">
        <f>1/((J5-1)+(ABS(C6-C7)/C6)+1)</f>
        <v>0.69334200617122532</v>
      </c>
      <c r="D8" s="37">
        <f>1/((J6-1)+(ABS(D6-D7)/D6)+1)</f>
        <v>0.37997304617229144</v>
      </c>
      <c r="E8" s="37">
        <f>1/((J7-1)+(ABS(E6-E7)/E6)+1)</f>
        <v>0.26507218350012579</v>
      </c>
      <c r="F8" s="37">
        <f>1/((J8-1)+(ABS(F6-F7)/F6)+1)</f>
        <v>0.20384398293450082</v>
      </c>
      <c r="G8" s="37">
        <f>1/((J9-1)+(ABS(G6-G7)/G6)+1)</f>
        <v>0.1635723129812835</v>
      </c>
      <c r="I8" s="239" t="s">
        <v>142</v>
      </c>
      <c r="J8" s="240">
        <v>4</v>
      </c>
    </row>
    <row r="9" spans="1:32" s="2" customFormat="1" ht="18" thickBot="1" x14ac:dyDescent="0.3">
      <c r="B9" s="242" t="s">
        <v>87</v>
      </c>
      <c r="C9" s="243">
        <f>C7*C8+(1-C8)*C6</f>
        <v>1194125.3406245902</v>
      </c>
      <c r="D9" s="243">
        <f>D7*D8+(1-D8)*D6</f>
        <v>1091729.0917902407</v>
      </c>
      <c r="E9" s="243">
        <f>E7*E8+(1-E8)*E6</f>
        <v>1019089.2084923947</v>
      </c>
      <c r="F9" s="243">
        <f>F7*F8+(1-F8)*F6</f>
        <v>972123.060223134</v>
      </c>
      <c r="G9" s="244">
        <f>G7*G8+(1-G8)*G6</f>
        <v>932226.47711404366</v>
      </c>
      <c r="I9" s="245" t="s">
        <v>143</v>
      </c>
      <c r="J9" s="246">
        <v>5</v>
      </c>
      <c r="P9" s="247"/>
      <c r="Q9" s="345"/>
      <c r="R9" s="345"/>
      <c r="S9" s="345"/>
      <c r="T9" s="345"/>
      <c r="U9" s="345"/>
      <c r="V9" s="345"/>
      <c r="W9" s="345"/>
      <c r="X9" s="345"/>
      <c r="Y9" s="345"/>
    </row>
    <row r="10" spans="1:32" s="2" customFormat="1" ht="16" x14ac:dyDescent="0.2">
      <c r="Q10" s="249"/>
      <c r="R10" s="249"/>
      <c r="S10" s="250"/>
      <c r="T10" s="249"/>
      <c r="U10" s="249"/>
      <c r="V10" s="250"/>
      <c r="W10" s="249"/>
      <c r="X10" s="249"/>
      <c r="Y10" s="250"/>
    </row>
    <row r="11" spans="1:32" s="254" customFormat="1" ht="16" x14ac:dyDescent="0.2">
      <c r="A11" s="2"/>
      <c r="B11" s="185" t="s">
        <v>124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51"/>
      <c r="Q11" s="252"/>
      <c r="R11" s="252"/>
      <c r="S11" s="251"/>
      <c r="T11" s="252"/>
      <c r="U11" s="252"/>
      <c r="V11" s="251"/>
      <c r="W11" s="252"/>
      <c r="X11" s="253"/>
      <c r="Y11" s="251"/>
      <c r="Z11" s="2"/>
      <c r="AA11" s="2"/>
      <c r="AB11" s="2"/>
      <c r="AC11" s="2"/>
      <c r="AD11" s="2"/>
      <c r="AE11" s="2"/>
      <c r="AF11" s="2"/>
    </row>
    <row r="12" spans="1:32" s="2" customFormat="1" ht="17" thickBot="1" x14ac:dyDescent="0.25">
      <c r="I12" s="255"/>
      <c r="P12" s="251"/>
      <c r="Q12" s="14"/>
      <c r="R12" s="14"/>
      <c r="S12" s="251"/>
      <c r="T12" s="14"/>
      <c r="U12" s="14"/>
      <c r="V12" s="251"/>
      <c r="W12" s="14"/>
      <c r="X12" s="253"/>
      <c r="Y12" s="23"/>
    </row>
    <row r="13" spans="1:32" s="2" customFormat="1" ht="17" thickBot="1" x14ac:dyDescent="0.25">
      <c r="B13" s="256"/>
      <c r="C13" s="81" t="s">
        <v>79</v>
      </c>
      <c r="D13" s="82" t="s">
        <v>80</v>
      </c>
      <c r="E13" s="39" t="s">
        <v>81</v>
      </c>
      <c r="F13" s="83" t="s">
        <v>82</v>
      </c>
      <c r="G13" s="94" t="s">
        <v>100</v>
      </c>
      <c r="H13" s="129" t="s">
        <v>130</v>
      </c>
      <c r="P13" s="251"/>
      <c r="Q13" s="14"/>
      <c r="R13" s="14"/>
      <c r="S13" s="251"/>
      <c r="T13" s="14"/>
      <c r="U13" s="14"/>
      <c r="V13" s="251"/>
      <c r="W13" s="14"/>
      <c r="X13" s="253"/>
      <c r="Y13" s="23"/>
    </row>
    <row r="14" spans="1:32" s="2" customFormat="1" ht="17" thickBot="1" x14ac:dyDescent="0.25">
      <c r="B14" s="257" t="s">
        <v>144</v>
      </c>
      <c r="C14" s="258">
        <f>C9</f>
        <v>1194125.3406245902</v>
      </c>
      <c r="D14" s="259">
        <f>D9</f>
        <v>1091729.0917902407</v>
      </c>
      <c r="E14" s="259">
        <f>E9</f>
        <v>1019089.2084923947</v>
      </c>
      <c r="F14" s="259">
        <f>F9</f>
        <v>972123.060223134</v>
      </c>
      <c r="G14" s="260">
        <f>G9</f>
        <v>932226.47711404366</v>
      </c>
      <c r="H14" s="261">
        <f>G14*(1+C18)/(C17-C18)</f>
        <v>19017420.13312649</v>
      </c>
      <c r="P14" s="251"/>
      <c r="Q14" s="14"/>
      <c r="R14" s="14"/>
      <c r="S14" s="251"/>
      <c r="T14" s="14"/>
      <c r="U14" s="14"/>
      <c r="V14" s="251"/>
      <c r="W14" s="14"/>
      <c r="X14" s="253"/>
      <c r="Y14" s="23"/>
    </row>
    <row r="15" spans="1:32" s="2" customFormat="1" ht="17" thickBot="1" x14ac:dyDescent="0.25">
      <c r="B15" s="262"/>
      <c r="C15" s="263"/>
      <c r="D15" s="263"/>
      <c r="E15" s="263"/>
      <c r="F15" s="263"/>
      <c r="G15" s="263"/>
      <c r="P15" s="251"/>
      <c r="Q15" s="14"/>
      <c r="R15" s="14"/>
      <c r="S15" s="251"/>
      <c r="T15" s="14"/>
      <c r="U15" s="14"/>
      <c r="V15" s="251"/>
      <c r="W15" s="14"/>
      <c r="X15" s="253"/>
      <c r="Y15" s="23"/>
    </row>
    <row r="16" spans="1:32" s="254" customFormat="1" ht="16" x14ac:dyDescent="0.2">
      <c r="A16" s="2"/>
      <c r="B16" s="188" t="s">
        <v>121</v>
      </c>
      <c r="C16" s="264">
        <v>14921222</v>
      </c>
      <c r="D16" s="265"/>
      <c r="E16" s="265"/>
      <c r="F16" s="265"/>
      <c r="G16" s="265"/>
      <c r="H16" s="2"/>
      <c r="I16" s="2"/>
      <c r="J16" s="2"/>
      <c r="K16" s="2"/>
      <c r="L16" s="2"/>
      <c r="M16" s="2"/>
      <c r="N16" s="2"/>
      <c r="O16" s="2"/>
      <c r="P16" s="251"/>
      <c r="Q16" s="14"/>
      <c r="R16" s="14"/>
      <c r="S16" s="251"/>
      <c r="T16" s="14"/>
      <c r="U16" s="14"/>
      <c r="V16" s="251"/>
      <c r="W16" s="14"/>
      <c r="X16" s="253"/>
      <c r="Y16" s="251"/>
      <c r="Z16" s="2"/>
      <c r="AA16" s="2"/>
      <c r="AB16" s="2"/>
      <c r="AC16" s="2"/>
      <c r="AD16" s="2"/>
      <c r="AE16" s="2"/>
      <c r="AF16" s="2"/>
    </row>
    <row r="17" spans="1:32" s="5" customFormat="1" ht="16" x14ac:dyDescent="0.2">
      <c r="B17" s="190" t="s">
        <v>120</v>
      </c>
      <c r="C17" s="266">
        <v>7.0000000000000007E-2</v>
      </c>
      <c r="D17" s="267"/>
      <c r="E17" s="267"/>
      <c r="F17" s="267"/>
      <c r="G17" s="267"/>
      <c r="H17" s="268"/>
      <c r="I17" s="268"/>
      <c r="P17" s="269"/>
      <c r="Q17" s="270"/>
      <c r="R17" s="270"/>
      <c r="S17" s="269"/>
      <c r="T17" s="270"/>
      <c r="U17" s="270"/>
      <c r="V17" s="269"/>
      <c r="W17" s="270"/>
      <c r="X17" s="271"/>
      <c r="Y17" s="25"/>
    </row>
    <row r="18" spans="1:32" s="2" customFormat="1" ht="17" thickBot="1" x14ac:dyDescent="0.25">
      <c r="B18" s="192" t="s">
        <v>122</v>
      </c>
      <c r="C18" s="272">
        <v>0.02</v>
      </c>
      <c r="D18" s="3"/>
      <c r="E18" s="3"/>
      <c r="F18" s="3"/>
      <c r="G18" s="3"/>
      <c r="H18"/>
      <c r="P18" s="251"/>
      <c r="Q18" s="14"/>
      <c r="R18" s="14"/>
      <c r="S18" s="251"/>
      <c r="T18" s="14"/>
      <c r="U18" s="14"/>
      <c r="V18" s="251"/>
      <c r="W18" s="14"/>
      <c r="X18" s="253"/>
      <c r="Y18" s="23"/>
    </row>
    <row r="19" spans="1:32" s="2" customFormat="1" ht="17" thickBot="1" x14ac:dyDescent="0.25">
      <c r="B19" s="95"/>
      <c r="C19" s="273"/>
      <c r="D19" s="248"/>
      <c r="E19" s="248"/>
      <c r="F19" s="248"/>
      <c r="G19" s="248"/>
      <c r="H19"/>
      <c r="K19" s="14"/>
      <c r="L19" s="14"/>
      <c r="M19" s="251"/>
      <c r="N19" s="14"/>
      <c r="O19" s="14"/>
      <c r="P19" s="251"/>
      <c r="Q19" s="14"/>
      <c r="R19" s="14"/>
      <c r="S19" s="251"/>
      <c r="T19" s="14"/>
      <c r="U19" s="14"/>
      <c r="V19" s="251"/>
      <c r="W19" s="14"/>
      <c r="X19" s="253"/>
      <c r="Y19" s="23"/>
    </row>
    <row r="20" spans="1:32" s="2" customFormat="1" ht="20" thickBot="1" x14ac:dyDescent="0.3">
      <c r="B20" s="274" t="s">
        <v>89</v>
      </c>
      <c r="C20" s="275">
        <f>NPV(C17,C14:G14)-C16+H14/((1+C17)^5)</f>
        <v>2945672.1648947224</v>
      </c>
      <c r="K20" s="14"/>
      <c r="L20" s="14"/>
      <c r="M20" s="251"/>
      <c r="N20" s="14"/>
      <c r="O20" s="14"/>
      <c r="P20" s="251"/>
      <c r="Q20" s="14"/>
      <c r="R20" s="14"/>
      <c r="S20" s="251"/>
      <c r="T20" s="14"/>
      <c r="U20" s="14"/>
      <c r="V20" s="251"/>
      <c r="W20" s="14"/>
      <c r="X20" s="253"/>
      <c r="Y20" s="23"/>
    </row>
    <row r="21" spans="1:32" s="2" customFormat="1" ht="16" x14ac:dyDescent="0.2">
      <c r="K21" s="14"/>
      <c r="L21" s="14"/>
      <c r="M21" s="14"/>
      <c r="N21" s="14"/>
      <c r="O21" s="14"/>
      <c r="P21" s="251"/>
      <c r="Q21" s="14"/>
      <c r="R21" s="14"/>
      <c r="S21" s="251"/>
      <c r="T21" s="14"/>
      <c r="U21" s="14"/>
      <c r="V21" s="251"/>
      <c r="W21" s="14"/>
      <c r="X21" s="253"/>
      <c r="Y21" s="23"/>
    </row>
    <row r="22" spans="1:32" s="2" customFormat="1" ht="16" x14ac:dyDescent="0.2">
      <c r="B22"/>
      <c r="C22"/>
      <c r="D22"/>
      <c r="E22"/>
      <c r="F22"/>
      <c r="G22"/>
      <c r="K22" s="14"/>
      <c r="L22" s="14"/>
      <c r="M22" s="251"/>
      <c r="N22" s="14"/>
      <c r="O22" s="14"/>
      <c r="P22" s="251"/>
      <c r="Q22" s="14"/>
      <c r="R22" s="14"/>
      <c r="S22" s="251"/>
      <c r="T22" s="14"/>
      <c r="U22" s="14"/>
      <c r="V22" s="251"/>
      <c r="W22" s="14"/>
      <c r="X22" s="253"/>
      <c r="Y22" s="23"/>
    </row>
    <row r="23" spans="1:32" s="2" customFormat="1" ht="16" x14ac:dyDescent="0.2">
      <c r="D23"/>
      <c r="E23"/>
      <c r="F23"/>
      <c r="G23"/>
      <c r="H23" s="3"/>
      <c r="K23" s="14"/>
      <c r="L23" s="270"/>
      <c r="M23" s="269"/>
      <c r="N23" s="270"/>
      <c r="O23" s="270"/>
      <c r="P23" s="251"/>
      <c r="Q23" s="14"/>
      <c r="R23" s="14"/>
      <c r="S23" s="251"/>
      <c r="T23" s="14"/>
      <c r="U23" s="14"/>
      <c r="V23" s="251"/>
      <c r="W23" s="14"/>
      <c r="X23" s="253"/>
      <c r="Y23" s="23"/>
    </row>
    <row r="24" spans="1:32" s="2" customFormat="1" ht="16" x14ac:dyDescent="0.2">
      <c r="K24" s="276"/>
      <c r="L24" s="14"/>
      <c r="M24" s="251"/>
      <c r="N24" s="14"/>
      <c r="O24" s="14"/>
      <c r="P24" s="251"/>
      <c r="Q24" s="14"/>
      <c r="R24" s="14"/>
      <c r="S24" s="251"/>
      <c r="T24" s="14"/>
      <c r="U24" s="14"/>
      <c r="V24" s="251"/>
      <c r="W24" s="14"/>
      <c r="X24" s="253"/>
      <c r="Y24" s="23"/>
    </row>
    <row r="25" spans="1:32" s="254" customFormat="1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77"/>
      <c r="L25" s="277"/>
      <c r="M25" s="278"/>
      <c r="N25" s="277"/>
      <c r="O25" s="277"/>
      <c r="P25" s="278"/>
      <c r="Q25" s="277"/>
      <c r="R25" s="277"/>
      <c r="S25" s="278"/>
      <c r="T25" s="277"/>
      <c r="U25" s="277"/>
      <c r="V25" s="278"/>
      <c r="W25" s="277"/>
      <c r="X25" s="279"/>
      <c r="Y25" s="278"/>
      <c r="Z25" s="2"/>
      <c r="AA25" s="2"/>
      <c r="AB25" s="2"/>
      <c r="AC25" s="2"/>
      <c r="AD25" s="2"/>
      <c r="AE25" s="2"/>
      <c r="AF25" s="2"/>
    </row>
    <row r="26" spans="1:32" s="2" customFormat="1" ht="16" x14ac:dyDescent="0.2">
      <c r="K26" s="14"/>
      <c r="L26" s="14"/>
      <c r="M26" s="251"/>
      <c r="N26" s="14"/>
      <c r="O26" s="14"/>
      <c r="P26" s="251"/>
      <c r="Q26" s="14"/>
      <c r="R26" s="14"/>
      <c r="S26" s="251"/>
      <c r="T26" s="14"/>
      <c r="U26" s="14"/>
      <c r="V26" s="251"/>
      <c r="W26" s="14"/>
      <c r="X26" s="253"/>
      <c r="Y26" s="23"/>
    </row>
    <row r="27" spans="1:32" s="254" customFormat="1" ht="16" x14ac:dyDescent="0.15">
      <c r="A27" s="2"/>
      <c r="B27" s="2"/>
      <c r="C27" s="2"/>
      <c r="D27" s="2"/>
      <c r="E27" s="2"/>
      <c r="F27" s="2"/>
      <c r="G27" s="2"/>
      <c r="H27" s="255"/>
      <c r="I27" s="2"/>
      <c r="J27" s="2"/>
      <c r="K27" s="277"/>
      <c r="L27" s="277"/>
      <c r="M27" s="278"/>
      <c r="N27" s="277"/>
      <c r="O27" s="277"/>
      <c r="P27" s="278"/>
      <c r="Q27" s="277"/>
      <c r="R27" s="277"/>
      <c r="S27" s="278"/>
      <c r="T27" s="277"/>
      <c r="U27" s="277"/>
      <c r="V27" s="278"/>
      <c r="W27" s="277"/>
      <c r="X27" s="277"/>
      <c r="Y27" s="278"/>
      <c r="Z27" s="2"/>
      <c r="AA27" s="2"/>
      <c r="AB27" s="2"/>
      <c r="AC27" s="2"/>
      <c r="AD27" s="2"/>
      <c r="AE27" s="2"/>
      <c r="AF27" s="2"/>
    </row>
    <row r="28" spans="1:32" s="2" customFormat="1" ht="23.25" hidden="1" customHeight="1" x14ac:dyDescent="0.2">
      <c r="B28" s="262"/>
      <c r="C28" s="280"/>
      <c r="D28" s="280"/>
      <c r="E28" s="280"/>
      <c r="F28" s="280"/>
      <c r="G28" s="280"/>
      <c r="K28" s="277"/>
      <c r="L28" s="277"/>
      <c r="M28" s="278"/>
      <c r="N28" s="277"/>
      <c r="O28" s="277"/>
      <c r="P28" s="278"/>
      <c r="Q28" s="277"/>
      <c r="R28" s="277"/>
      <c r="S28" s="278"/>
      <c r="T28" s="277"/>
      <c r="U28" s="277"/>
      <c r="V28" s="278"/>
      <c r="W28" s="277"/>
      <c r="X28" s="277"/>
      <c r="Y28" s="281"/>
    </row>
    <row r="29" spans="1:32" s="2" customFormat="1" ht="16" x14ac:dyDescent="0.2">
      <c r="B29" s="262"/>
      <c r="C29" s="282"/>
      <c r="D29" s="282"/>
      <c r="E29" s="282"/>
      <c r="F29" s="282"/>
      <c r="G29" s="282"/>
      <c r="K29" s="277"/>
      <c r="L29" s="277"/>
      <c r="M29" s="278"/>
      <c r="N29" s="277"/>
      <c r="O29" s="277"/>
      <c r="P29" s="278"/>
      <c r="Q29" s="277"/>
      <c r="R29" s="277"/>
      <c r="S29" s="278"/>
      <c r="T29" s="277"/>
      <c r="U29" s="277"/>
      <c r="V29" s="278"/>
      <c r="W29" s="277"/>
      <c r="X29" s="277"/>
      <c r="Y29" s="281"/>
    </row>
    <row r="30" spans="1:32" s="254" customFormat="1" ht="16" x14ac:dyDescent="0.2">
      <c r="A30" s="2"/>
      <c r="B30" s="262"/>
      <c r="C30" s="283"/>
      <c r="D30" s="283"/>
      <c r="E30" s="283"/>
      <c r="F30" s="283"/>
      <c r="G30" s="283"/>
      <c r="H30" s="2"/>
      <c r="I30" s="2"/>
      <c r="J30" s="2"/>
      <c r="K30" s="277"/>
      <c r="L30" s="277"/>
      <c r="M30" s="278"/>
      <c r="N30" s="277"/>
      <c r="O30" s="277"/>
      <c r="P30" s="278"/>
      <c r="Q30" s="277"/>
      <c r="R30" s="277"/>
      <c r="S30" s="278"/>
      <c r="T30" s="277"/>
      <c r="U30" s="277"/>
      <c r="V30" s="278"/>
      <c r="W30" s="277"/>
      <c r="X30" s="277"/>
      <c r="Y30" s="278"/>
      <c r="Z30" s="2"/>
      <c r="AA30" s="2"/>
      <c r="AB30" s="2"/>
      <c r="AC30" s="2"/>
      <c r="AD30" s="2"/>
      <c r="AE30" s="2"/>
      <c r="AF30" s="2"/>
    </row>
    <row r="31" spans="1:32" s="2" customFormat="1" ht="16" x14ac:dyDescent="0.2">
      <c r="B31" s="6"/>
      <c r="D31" s="7"/>
      <c r="E31" s="7"/>
      <c r="F31" s="7"/>
      <c r="G31" s="7"/>
      <c r="H31" s="7"/>
      <c r="I31" s="7"/>
      <c r="J31" s="7"/>
      <c r="K31" s="7"/>
      <c r="L31" s="7"/>
      <c r="M31" s="7"/>
      <c r="X31" s="249"/>
    </row>
    <row r="32" spans="1:32" s="2" customFormat="1" ht="19" x14ac:dyDescent="0.25">
      <c r="B32" s="284"/>
      <c r="C32" s="4"/>
      <c r="X32" s="249"/>
    </row>
    <row r="33" spans="2:24" s="2" customFormat="1" ht="16" x14ac:dyDescent="0.2">
      <c r="B33" s="8"/>
      <c r="C33" s="4"/>
      <c r="X33" s="249"/>
    </row>
    <row r="34" spans="2:24" s="2" customFormat="1" ht="16" x14ac:dyDescent="0.2">
      <c r="B34" s="285"/>
      <c r="C34" s="248"/>
      <c r="D34" s="248"/>
      <c r="E34" s="248"/>
      <c r="F34" s="248"/>
      <c r="G34" s="248"/>
      <c r="X34" s="249"/>
    </row>
    <row r="35" spans="2:24" s="2" customFormat="1" ht="16" x14ac:dyDescent="0.2">
      <c r="B35" s="286"/>
      <c r="C35" s="263"/>
      <c r="D35" s="263"/>
      <c r="E35" s="263"/>
      <c r="F35" s="263"/>
      <c r="G35" s="263"/>
      <c r="H35" s="4"/>
      <c r="I35" s="4"/>
      <c r="J35" s="4"/>
      <c r="X35" s="249"/>
    </row>
    <row r="36" spans="2:24" s="2" customFormat="1" ht="16" x14ac:dyDescent="0.2">
      <c r="B36" s="286"/>
      <c r="C36" s="263"/>
      <c r="D36" s="263"/>
      <c r="E36" s="263"/>
      <c r="F36" s="263"/>
      <c r="G36" s="263"/>
      <c r="H36" s="4"/>
      <c r="I36" s="4"/>
      <c r="J36" s="4"/>
      <c r="X36" s="249"/>
    </row>
    <row r="37" spans="2:24" s="2" customFormat="1" ht="16" x14ac:dyDescent="0.2">
      <c r="B37" s="287"/>
      <c r="C37" s="263"/>
      <c r="D37" s="263"/>
      <c r="E37" s="263"/>
      <c r="F37" s="263"/>
      <c r="G37" s="263"/>
      <c r="H37" s="4"/>
      <c r="I37" s="4"/>
      <c r="J37" s="4"/>
      <c r="X37" s="249"/>
    </row>
    <row r="38" spans="2:24" s="2" customFormat="1" ht="16" x14ac:dyDescent="0.2">
      <c r="B38" s="286"/>
      <c r="C38" s="263"/>
      <c r="D38" s="263"/>
      <c r="E38" s="263"/>
      <c r="F38" s="263"/>
      <c r="G38" s="263"/>
      <c r="H38" s="4"/>
      <c r="I38" s="4"/>
      <c r="J38" s="4"/>
      <c r="X38" s="249"/>
    </row>
    <row r="39" spans="2:24" s="2" customFormat="1" ht="16" x14ac:dyDescent="0.2">
      <c r="B39" s="287"/>
      <c r="C39" s="263"/>
      <c r="D39" s="263"/>
      <c r="E39" s="263"/>
      <c r="F39" s="263"/>
      <c r="G39" s="263"/>
      <c r="H39" s="4"/>
      <c r="I39" s="4"/>
      <c r="J39" s="4"/>
      <c r="X39" s="249"/>
    </row>
    <row r="40" spans="2:24" s="2" customFormat="1" ht="16" x14ac:dyDescent="0.2">
      <c r="B40" s="286"/>
      <c r="C40" s="263"/>
      <c r="D40" s="263"/>
      <c r="E40" s="263"/>
      <c r="F40" s="263"/>
      <c r="G40" s="263"/>
      <c r="H40" s="4"/>
      <c r="I40" s="4"/>
      <c r="J40" s="4"/>
      <c r="X40" s="249"/>
    </row>
    <row r="41" spans="2:24" s="2" customFormat="1" ht="16" x14ac:dyDescent="0.2">
      <c r="B41" s="287"/>
      <c r="C41" s="263"/>
      <c r="D41" s="263"/>
      <c r="E41" s="263"/>
      <c r="F41" s="263"/>
      <c r="G41" s="263"/>
      <c r="H41" s="4"/>
      <c r="I41" s="4"/>
      <c r="J41" s="4"/>
      <c r="X41" s="249"/>
    </row>
    <row r="42" spans="2:24" s="2" customFormat="1" ht="16" x14ac:dyDescent="0.2">
      <c r="B42" s="286"/>
      <c r="C42" s="263"/>
      <c r="D42" s="263"/>
      <c r="E42" s="263"/>
      <c r="F42" s="263"/>
      <c r="G42" s="263"/>
      <c r="H42" s="4"/>
      <c r="I42" s="4"/>
      <c r="J42" s="4"/>
      <c r="X42" s="249"/>
    </row>
    <row r="43" spans="2:24" s="2" customFormat="1" ht="16" x14ac:dyDescent="0.2">
      <c r="B43" s="287"/>
      <c r="C43" s="263"/>
      <c r="D43" s="263"/>
      <c r="E43" s="263"/>
      <c r="F43" s="263"/>
      <c r="G43" s="263"/>
      <c r="H43" s="4"/>
      <c r="I43" s="4"/>
      <c r="J43" s="4"/>
      <c r="X43" s="249"/>
    </row>
    <row r="44" spans="2:24" s="2" customFormat="1" ht="16" x14ac:dyDescent="0.2">
      <c r="B44" s="9"/>
      <c r="C44" s="10"/>
      <c r="D44" s="10"/>
      <c r="E44" s="10"/>
      <c r="F44" s="10"/>
      <c r="G44" s="10"/>
      <c r="H44" s="4"/>
      <c r="I44" s="4"/>
      <c r="J44" s="4"/>
      <c r="X44" s="249"/>
    </row>
    <row r="45" spans="2:24" s="2" customFormat="1" ht="19" x14ac:dyDescent="0.25">
      <c r="B45" s="284"/>
      <c r="C45" s="10"/>
      <c r="D45" s="10"/>
      <c r="E45" s="10"/>
      <c r="F45" s="10"/>
      <c r="G45" s="10"/>
      <c r="H45" s="4"/>
      <c r="I45" s="4"/>
      <c r="J45" s="4"/>
      <c r="X45" s="249"/>
    </row>
    <row r="46" spans="2:24" s="2" customFormat="1" ht="19" x14ac:dyDescent="0.25">
      <c r="B46" s="284"/>
      <c r="C46" s="10"/>
      <c r="D46" s="10"/>
      <c r="E46" s="10"/>
      <c r="F46" s="10"/>
      <c r="G46" s="10"/>
      <c r="H46" s="4"/>
      <c r="I46" s="4"/>
      <c r="J46" s="4"/>
      <c r="X46" s="249"/>
    </row>
    <row r="47" spans="2:24" s="2" customFormat="1" ht="16" x14ac:dyDescent="0.2">
      <c r="B47" s="285"/>
      <c r="H47" s="4"/>
      <c r="I47" s="4"/>
      <c r="J47" s="4"/>
      <c r="X47" s="249"/>
    </row>
    <row r="48" spans="2:24" s="2" customFormat="1" ht="16" x14ac:dyDescent="0.2">
      <c r="B48" s="285"/>
      <c r="C48" s="288"/>
      <c r="D48" s="288"/>
      <c r="E48" s="288"/>
      <c r="F48" s="288"/>
      <c r="G48" s="288"/>
      <c r="H48" s="4"/>
      <c r="I48" s="4"/>
      <c r="J48" s="4"/>
      <c r="X48" s="249"/>
    </row>
    <row r="49" spans="2:24" s="2" customFormat="1" ht="16" x14ac:dyDescent="0.2">
      <c r="B49" s="6"/>
      <c r="C49" s="288"/>
      <c r="D49" s="288"/>
      <c r="E49" s="288"/>
      <c r="F49" s="288"/>
      <c r="G49" s="288"/>
      <c r="H49" s="4"/>
      <c r="I49" s="4"/>
      <c r="J49" s="4"/>
      <c r="X49" s="249"/>
    </row>
    <row r="50" spans="2:24" s="2" customFormat="1" ht="16" x14ac:dyDescent="0.2">
      <c r="B50" s="285"/>
      <c r="C50" s="288"/>
      <c r="D50" s="288"/>
      <c r="E50" s="288"/>
      <c r="F50" s="288"/>
      <c r="G50" s="288"/>
      <c r="H50" s="4"/>
      <c r="I50" s="4"/>
      <c r="J50" s="4"/>
      <c r="X50" s="249"/>
    </row>
    <row r="51" spans="2:24" s="2" customFormat="1" ht="16" x14ac:dyDescent="0.2">
      <c r="B51" s="6"/>
      <c r="C51" s="288"/>
      <c r="D51" s="288"/>
      <c r="E51" s="288"/>
      <c r="F51" s="288"/>
      <c r="G51" s="288"/>
      <c r="H51" s="4"/>
      <c r="I51" s="4"/>
      <c r="J51" s="4"/>
      <c r="K51" s="11"/>
      <c r="L51" s="11"/>
      <c r="M51" s="11"/>
      <c r="X51" s="249"/>
    </row>
    <row r="52" spans="2:24" s="2" customFormat="1" ht="16" x14ac:dyDescent="0.2">
      <c r="B52" s="6"/>
      <c r="C52" s="288"/>
      <c r="D52" s="288"/>
      <c r="E52" s="288"/>
      <c r="F52" s="288"/>
      <c r="G52" s="288"/>
      <c r="H52" s="4"/>
      <c r="I52" s="4"/>
      <c r="J52" s="4"/>
      <c r="X52" s="249"/>
    </row>
    <row r="53" spans="2:24" s="2" customFormat="1" ht="16" x14ac:dyDescent="0.2">
      <c r="H53" s="12"/>
      <c r="I53" s="12"/>
      <c r="J53" s="12"/>
      <c r="X53" s="249"/>
    </row>
    <row r="54" spans="2:24" ht="16" x14ac:dyDescent="0.2">
      <c r="X54" s="289"/>
    </row>
    <row r="55" spans="2:24" ht="16" x14ac:dyDescent="0.2">
      <c r="X55" s="289"/>
    </row>
    <row r="56" spans="2:24" ht="16" x14ac:dyDescent="0.2">
      <c r="C56" s="16"/>
      <c r="X56" s="289"/>
    </row>
    <row r="57" spans="2:24" ht="16" x14ac:dyDescent="0.2">
      <c r="C57" s="229"/>
      <c r="X57" s="289"/>
    </row>
    <row r="58" spans="2:24" ht="16" x14ac:dyDescent="0.2">
      <c r="C58" s="290"/>
      <c r="D58" s="290"/>
      <c r="E58" s="290"/>
      <c r="F58" s="290"/>
      <c r="G58" s="290"/>
      <c r="X58" s="289"/>
    </row>
    <row r="59" spans="2:24" ht="16" x14ac:dyDescent="0.2">
      <c r="C59" s="291"/>
      <c r="D59" s="291"/>
      <c r="E59" s="291"/>
      <c r="F59" s="291"/>
      <c r="G59" s="291"/>
      <c r="X59" s="289"/>
    </row>
    <row r="60" spans="2:24" ht="16" x14ac:dyDescent="0.2">
      <c r="B60" s="229"/>
      <c r="C60" s="292"/>
      <c r="D60" s="292"/>
      <c r="E60" s="292"/>
      <c r="F60" s="292"/>
      <c r="G60" s="292"/>
      <c r="X60" s="289"/>
    </row>
    <row r="61" spans="2:24" ht="16" x14ac:dyDescent="0.2">
      <c r="C61" s="291"/>
      <c r="D61" s="291"/>
      <c r="E61" s="291"/>
      <c r="F61" s="291"/>
      <c r="G61" s="291"/>
      <c r="X61" s="289"/>
    </row>
    <row r="62" spans="2:24" ht="16" x14ac:dyDescent="0.2">
      <c r="B62" s="229"/>
      <c r="C62" s="292"/>
      <c r="D62" s="292"/>
      <c r="E62" s="292"/>
      <c r="F62" s="292"/>
      <c r="G62" s="292"/>
      <c r="X62" s="289"/>
    </row>
    <row r="63" spans="2:24" ht="16" x14ac:dyDescent="0.2">
      <c r="C63" s="291"/>
      <c r="D63" s="291"/>
      <c r="E63" s="291"/>
      <c r="F63" s="291"/>
      <c r="G63" s="291"/>
      <c r="X63" s="289"/>
    </row>
    <row r="64" spans="2:24" ht="16" x14ac:dyDescent="0.2">
      <c r="B64" s="229"/>
      <c r="C64" s="292"/>
      <c r="D64" s="292"/>
      <c r="E64" s="292"/>
      <c r="F64" s="292"/>
      <c r="G64" s="292"/>
      <c r="X64" s="289"/>
    </row>
    <row r="65" spans="2:46" ht="16" x14ac:dyDescent="0.2">
      <c r="C65" s="291"/>
      <c r="D65" s="291"/>
      <c r="E65" s="291"/>
      <c r="F65" s="291"/>
      <c r="G65" s="291"/>
      <c r="X65" s="289"/>
    </row>
    <row r="66" spans="2:46" x14ac:dyDescent="0.2">
      <c r="B66" s="229"/>
      <c r="C66" s="293"/>
      <c r="D66" s="293"/>
      <c r="E66" s="293"/>
      <c r="F66" s="293"/>
      <c r="G66" s="293"/>
    </row>
    <row r="67" spans="2:46" x14ac:dyDescent="0.2">
      <c r="C67" s="294"/>
      <c r="D67" s="294"/>
      <c r="E67" s="294"/>
      <c r="F67" s="294"/>
      <c r="G67" s="294"/>
    </row>
    <row r="68" spans="2:46" x14ac:dyDescent="0.2">
      <c r="B68" s="229"/>
      <c r="C68" s="293"/>
      <c r="D68" s="293"/>
      <c r="E68" s="293"/>
      <c r="F68" s="293"/>
      <c r="G68" s="293"/>
    </row>
    <row r="69" spans="2:46" x14ac:dyDescent="0.2">
      <c r="B69" s="295"/>
      <c r="C69" s="296"/>
      <c r="D69" s="297"/>
      <c r="E69" s="297"/>
      <c r="F69" s="297"/>
      <c r="G69" s="297"/>
    </row>
    <row r="70" spans="2:46" x14ac:dyDescent="0.2">
      <c r="B70" s="295"/>
      <c r="C70" s="296"/>
      <c r="D70" s="297"/>
      <c r="E70" s="297"/>
      <c r="F70" s="297"/>
      <c r="G70" s="297"/>
    </row>
    <row r="71" spans="2:46" s="300" customFormat="1" x14ac:dyDescent="0.2">
      <c r="B71" s="229"/>
      <c r="C71" s="298"/>
      <c r="D71" s="298"/>
      <c r="E71" s="298"/>
      <c r="F71" s="298"/>
      <c r="G71" s="298"/>
      <c r="H71" s="299"/>
      <c r="I71" s="29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  <c r="AA71" s="229"/>
      <c r="AB71" s="229"/>
      <c r="AC71" s="229"/>
      <c r="AD71" s="229"/>
      <c r="AE71" s="229"/>
      <c r="AF71" s="229"/>
      <c r="AG71" s="229"/>
      <c r="AH71" s="229"/>
      <c r="AI71" s="229"/>
      <c r="AJ71" s="229"/>
      <c r="AK71" s="229"/>
      <c r="AL71" s="229"/>
      <c r="AM71" s="229"/>
      <c r="AN71" s="229"/>
      <c r="AO71" s="229"/>
      <c r="AP71" s="229"/>
      <c r="AQ71" s="229"/>
      <c r="AR71" s="229"/>
      <c r="AS71" s="229"/>
      <c r="AT71" s="229"/>
    </row>
    <row r="72" spans="2:46" x14ac:dyDescent="0.2">
      <c r="C72" s="301"/>
      <c r="D72" s="301"/>
      <c r="E72" s="301"/>
      <c r="F72" s="301"/>
      <c r="G72" s="301"/>
      <c r="H72" s="302"/>
      <c r="I72" s="302"/>
      <c r="J72" s="302"/>
    </row>
    <row r="73" spans="2:46" x14ac:dyDescent="0.2">
      <c r="C73" s="301"/>
      <c r="D73" s="301"/>
      <c r="E73" s="301"/>
      <c r="F73" s="301"/>
      <c r="G73" s="301"/>
      <c r="H73" s="303"/>
      <c r="I73" s="303"/>
      <c r="J73" s="303"/>
    </row>
    <row r="74" spans="2:46" x14ac:dyDescent="0.2">
      <c r="C74" s="304"/>
      <c r="D74" s="303"/>
      <c r="E74" s="303"/>
      <c r="F74" s="303"/>
      <c r="G74" s="303"/>
      <c r="H74" s="303"/>
      <c r="I74" s="303"/>
      <c r="J74" s="303"/>
    </row>
    <row r="75" spans="2:46" x14ac:dyDescent="0.2">
      <c r="B75" s="229"/>
      <c r="C75" s="305"/>
      <c r="D75" s="301"/>
      <c r="E75" s="301"/>
      <c r="F75" s="301"/>
      <c r="G75" s="301"/>
      <c r="H75" s="303"/>
      <c r="I75" s="303"/>
      <c r="J75" s="303"/>
    </row>
    <row r="76" spans="2:46" x14ac:dyDescent="0.2">
      <c r="B76" s="229"/>
      <c r="C76" s="305"/>
      <c r="D76" s="301"/>
      <c r="E76" s="301"/>
      <c r="F76" s="301"/>
      <c r="G76" s="301"/>
      <c r="H76" s="303"/>
      <c r="I76" s="303"/>
      <c r="J76" s="303"/>
    </row>
    <row r="77" spans="2:46" x14ac:dyDescent="0.2">
      <c r="B77" s="229"/>
      <c r="C77" s="305"/>
      <c r="D77" s="301"/>
      <c r="E77" s="301"/>
      <c r="F77" s="301"/>
      <c r="G77" s="301"/>
      <c r="H77" s="303"/>
      <c r="I77" s="303"/>
      <c r="J77" s="303"/>
    </row>
    <row r="78" spans="2:46" x14ac:dyDescent="0.2">
      <c r="B78" s="229"/>
      <c r="C78" s="305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</row>
    <row r="79" spans="2:46" x14ac:dyDescent="0.2">
      <c r="B79" s="229"/>
      <c r="C79" s="305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</row>
    <row r="80" spans="2:46" x14ac:dyDescent="0.2">
      <c r="B80" s="229"/>
      <c r="C80" s="305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</row>
    <row r="81" spans="2:19" x14ac:dyDescent="0.2">
      <c r="B81" s="229"/>
      <c r="C81" s="305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</row>
    <row r="82" spans="2:19" x14ac:dyDescent="0.2">
      <c r="B82" s="229"/>
      <c r="C82" s="305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</row>
    <row r="83" spans="2:19" x14ac:dyDescent="0.2">
      <c r="B83" s="229"/>
      <c r="C83" s="306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</row>
    <row r="84" spans="2:19" x14ac:dyDescent="0.2">
      <c r="B84" s="229"/>
      <c r="C84" s="305"/>
      <c r="D84" s="301"/>
      <c r="E84" s="301"/>
      <c r="F84" s="307"/>
      <c r="G84" s="301"/>
      <c r="H84" s="301"/>
      <c r="I84" s="301"/>
      <c r="J84" s="301"/>
      <c r="K84" s="303"/>
      <c r="L84" s="303"/>
      <c r="M84" s="303"/>
      <c r="N84" s="301"/>
      <c r="O84" s="301"/>
      <c r="P84" s="301"/>
      <c r="Q84" s="301"/>
      <c r="R84" s="301"/>
      <c r="S84" s="301"/>
    </row>
    <row r="85" spans="2:19" x14ac:dyDescent="0.2">
      <c r="B85" s="229"/>
      <c r="C85" s="305"/>
      <c r="D85" s="301"/>
      <c r="E85" s="301"/>
      <c r="F85" s="303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</row>
    <row r="86" spans="2:19" x14ac:dyDescent="0.2">
      <c r="B86" s="229"/>
      <c r="C86" s="308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</row>
    <row r="87" spans="2:19" x14ac:dyDescent="0.2">
      <c r="B87" s="229"/>
      <c r="C87" s="304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</row>
    <row r="88" spans="2:19" x14ac:dyDescent="0.2">
      <c r="B88" s="229"/>
      <c r="C88" s="306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</row>
    <row r="89" spans="2:19" x14ac:dyDescent="0.2">
      <c r="B89" s="229"/>
      <c r="C89" s="309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</row>
    <row r="90" spans="2:19" x14ac:dyDescent="0.2">
      <c r="B90" s="229"/>
      <c r="C90" s="309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</row>
    <row r="91" spans="2:19" x14ac:dyDescent="0.2">
      <c r="B91" s="229"/>
      <c r="C91" s="308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</row>
    <row r="92" spans="2:19" x14ac:dyDescent="0.2">
      <c r="B92" s="229"/>
      <c r="C92" s="301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</row>
    <row r="93" spans="2:19" x14ac:dyDescent="0.2">
      <c r="B93" s="229"/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</row>
    <row r="94" spans="2:19" x14ac:dyDescent="0.2">
      <c r="B94" s="229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</row>
    <row r="95" spans="2:19" x14ac:dyDescent="0.2">
      <c r="B95" s="229"/>
      <c r="C95" s="309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</row>
    <row r="96" spans="2:19" x14ac:dyDescent="0.2">
      <c r="B96" s="229"/>
      <c r="C96" s="309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</row>
    <row r="97" spans="2:19" x14ac:dyDescent="0.2">
      <c r="B97" s="229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</row>
    <row r="98" spans="2:19" x14ac:dyDescent="0.2">
      <c r="B98" s="229"/>
      <c r="C98" s="308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</row>
    <row r="99" spans="2:19" x14ac:dyDescent="0.2">
      <c r="B99" s="229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</row>
    <row r="100" spans="2:19" x14ac:dyDescent="0.2">
      <c r="B100" s="229"/>
      <c r="C100" s="308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</row>
    <row r="101" spans="2:19" x14ac:dyDescent="0.2">
      <c r="B101" s="229"/>
      <c r="C101" s="309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</row>
    <row r="102" spans="2:19" x14ac:dyDescent="0.2">
      <c r="B102" s="229"/>
      <c r="C102" s="309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</row>
    <row r="103" spans="2:19" x14ac:dyDescent="0.2">
      <c r="B103" s="229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</row>
    <row r="104" spans="2:19" x14ac:dyDescent="0.2">
      <c r="B104" s="229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</row>
    <row r="105" spans="2:19" x14ac:dyDescent="0.2">
      <c r="C105" s="310"/>
      <c r="D105" s="302"/>
    </row>
    <row r="106" spans="2:19" x14ac:dyDescent="0.2">
      <c r="C106" s="311"/>
    </row>
    <row r="107" spans="2:19" x14ac:dyDescent="0.2">
      <c r="C107" s="302"/>
    </row>
    <row r="108" spans="2:19" x14ac:dyDescent="0.2">
      <c r="C108" s="302"/>
      <c r="D108" s="301"/>
    </row>
    <row r="109" spans="2:19" x14ac:dyDescent="0.2">
      <c r="B109" s="312"/>
    </row>
    <row r="111" spans="2:19" x14ac:dyDescent="0.2">
      <c r="B111" s="229"/>
      <c r="C111" s="298"/>
      <c r="E111" s="229"/>
      <c r="F111" s="299"/>
      <c r="G111" s="301"/>
      <c r="K111" s="310"/>
      <c r="L111" s="310"/>
      <c r="M111" s="310"/>
    </row>
    <row r="112" spans="2:19" x14ac:dyDescent="0.2">
      <c r="E112" s="229"/>
      <c r="K112" s="310"/>
      <c r="L112" s="310"/>
      <c r="M112" s="310"/>
    </row>
    <row r="113" spans="2:13" x14ac:dyDescent="0.2">
      <c r="C113" s="302"/>
      <c r="E113" s="229"/>
      <c r="F113" s="298"/>
      <c r="K113" s="310"/>
      <c r="L113" s="310"/>
      <c r="M113" s="310"/>
    </row>
    <row r="114" spans="2:13" x14ac:dyDescent="0.2">
      <c r="C114" s="302"/>
    </row>
    <row r="115" spans="2:13" x14ac:dyDescent="0.2">
      <c r="C115" s="302"/>
      <c r="F115" s="302"/>
    </row>
    <row r="116" spans="2:13" x14ac:dyDescent="0.2">
      <c r="F116" s="302"/>
    </row>
    <row r="118" spans="2:13" x14ac:dyDescent="0.2">
      <c r="B118" s="229"/>
      <c r="C118" s="298"/>
      <c r="E118" s="229"/>
      <c r="F118" s="299"/>
    </row>
    <row r="119" spans="2:13" x14ac:dyDescent="0.2">
      <c r="F119" s="302"/>
    </row>
    <row r="120" spans="2:13" x14ac:dyDescent="0.2">
      <c r="C120" s="302"/>
      <c r="F120" s="302"/>
    </row>
    <row r="121" spans="2:13" x14ac:dyDescent="0.2">
      <c r="C121" s="302"/>
      <c r="F121" s="302"/>
    </row>
    <row r="122" spans="2:13" x14ac:dyDescent="0.2">
      <c r="B122" s="313"/>
      <c r="C122" s="314"/>
      <c r="F122" s="302"/>
    </row>
    <row r="123" spans="2:13" x14ac:dyDescent="0.2">
      <c r="B123" s="313"/>
      <c r="C123" s="314"/>
      <c r="F123" s="302"/>
    </row>
    <row r="124" spans="2:13" x14ac:dyDescent="0.2">
      <c r="C124" s="302"/>
      <c r="F124" s="302"/>
    </row>
    <row r="127" spans="2:13" x14ac:dyDescent="0.2">
      <c r="B127" s="229"/>
      <c r="C127" s="298"/>
      <c r="E127" s="229"/>
      <c r="F127" s="298"/>
    </row>
    <row r="131" spans="2:7" x14ac:dyDescent="0.2">
      <c r="B131" s="312"/>
    </row>
    <row r="132" spans="2:7" x14ac:dyDescent="0.2">
      <c r="F132" s="302"/>
      <c r="G132" s="302"/>
    </row>
    <row r="133" spans="2:7" x14ac:dyDescent="0.2">
      <c r="B133" s="229"/>
      <c r="C133" s="298"/>
      <c r="E133" s="229"/>
      <c r="F133" s="299"/>
      <c r="G133" s="302"/>
    </row>
    <row r="134" spans="2:7" x14ac:dyDescent="0.2">
      <c r="E134" s="229"/>
      <c r="F134" s="299"/>
      <c r="G134" s="302"/>
    </row>
    <row r="135" spans="2:7" x14ac:dyDescent="0.2">
      <c r="E135" s="229"/>
      <c r="F135" s="299"/>
      <c r="G135" s="302"/>
    </row>
    <row r="136" spans="2:7" x14ac:dyDescent="0.2">
      <c r="E136" s="229"/>
      <c r="F136" s="299"/>
      <c r="G136" s="302"/>
    </row>
    <row r="137" spans="2:7" x14ac:dyDescent="0.2">
      <c r="E137" s="229"/>
      <c r="F137" s="299"/>
      <c r="G137" s="302"/>
    </row>
    <row r="138" spans="2:7" x14ac:dyDescent="0.2">
      <c r="B138" s="229"/>
      <c r="C138" s="298"/>
      <c r="E138" s="229"/>
      <c r="F138" s="299"/>
      <c r="G138" s="302"/>
    </row>
    <row r="139" spans="2:7" x14ac:dyDescent="0.2">
      <c r="F139" s="302"/>
      <c r="G139" s="302"/>
    </row>
    <row r="140" spans="2:7" x14ac:dyDescent="0.2">
      <c r="F140" s="302"/>
      <c r="G140" s="302"/>
    </row>
    <row r="142" spans="2:7" x14ac:dyDescent="0.2">
      <c r="B142" s="229"/>
      <c r="C142" s="298"/>
      <c r="E142" s="229"/>
      <c r="F142" s="298"/>
    </row>
    <row r="146" spans="2:10" x14ac:dyDescent="0.2">
      <c r="B146" s="229"/>
      <c r="C146" s="298"/>
      <c r="E146" s="229"/>
      <c r="F146" s="298"/>
    </row>
    <row r="147" spans="2:10" x14ac:dyDescent="0.2">
      <c r="C147" s="229"/>
      <c r="E147" s="229"/>
      <c r="F147" s="301"/>
    </row>
    <row r="148" spans="2:10" x14ac:dyDescent="0.2">
      <c r="C148" s="229"/>
      <c r="H148" s="301"/>
      <c r="I148" s="301"/>
      <c r="J148" s="301"/>
    </row>
    <row r="149" spans="2:10" x14ac:dyDescent="0.2">
      <c r="B149" s="229"/>
      <c r="C149" s="298"/>
      <c r="E149" s="229"/>
      <c r="F149" s="301"/>
    </row>
    <row r="150" spans="2:10" x14ac:dyDescent="0.2">
      <c r="C150" s="229"/>
      <c r="E150" s="229"/>
    </row>
    <row r="152" spans="2:10" x14ac:dyDescent="0.2">
      <c r="B152" s="229"/>
      <c r="C152" s="298"/>
      <c r="D152" s="229"/>
      <c r="E152" s="229"/>
      <c r="F152" s="298"/>
    </row>
  </sheetData>
  <mergeCells count="3">
    <mergeCell ref="Q9:S9"/>
    <mergeCell ref="T9:V9"/>
    <mergeCell ref="W9:Y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Results</vt:lpstr>
      <vt:lpstr>Weights</vt:lpstr>
      <vt:lpstr>Variables</vt:lpstr>
      <vt:lpstr>Arithmetic Mean</vt:lpstr>
      <vt:lpstr>Maximum Operator</vt:lpstr>
      <vt:lpstr>Minimum Operator</vt:lpstr>
      <vt:lpstr>M2w1</vt:lpstr>
      <vt:lpstr>M2w2</vt:lpstr>
      <vt:lpstr>M2w3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BEEP</dc:creator>
  <cp:lastModifiedBy>Miquel Àngel Serra Moll</cp:lastModifiedBy>
  <cp:lastPrinted>2013-11-29T08:07:50Z</cp:lastPrinted>
  <dcterms:created xsi:type="dcterms:W3CDTF">2013-11-28T11:26:27Z</dcterms:created>
  <dcterms:modified xsi:type="dcterms:W3CDTF">2024-03-19T13:39:37Z</dcterms:modified>
</cp:coreProperties>
</file>