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ED_Snowboard\Electrical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Turnkey!$A$1:$K$12</definedName>
  </definedNames>
  <calcPr calcId="171027"/>
</workbook>
</file>

<file path=xl/calcChain.xml><?xml version="1.0" encoding="utf-8"?>
<calcChain xmlns="http://schemas.openxmlformats.org/spreadsheetml/2006/main">
  <c r="G19" i="2" l="1"/>
  <c r="G20" i="2"/>
  <c r="G18" i="2"/>
  <c r="G47" i="2"/>
  <c r="G43" i="2"/>
  <c r="G45" i="2"/>
  <c r="G42" i="2"/>
  <c r="G37" i="2"/>
  <c r="G36" i="2"/>
  <c r="G35" i="2"/>
  <c r="B34" i="2"/>
  <c r="G34" i="2"/>
  <c r="G44" i="2"/>
  <c r="G41" i="2"/>
  <c r="G40" i="2"/>
  <c r="G39" i="2"/>
  <c r="G16" i="2" l="1"/>
  <c r="G53" i="2"/>
  <c r="B7" i="2"/>
  <c r="G7" i="2" s="1"/>
  <c r="B46" i="2"/>
  <c r="B45" i="2"/>
  <c r="B43" i="2"/>
  <c r="H43" i="2" s="1"/>
  <c r="B39" i="2"/>
  <c r="B38" i="2"/>
  <c r="G38" i="2" s="1"/>
  <c r="B35" i="2"/>
  <c r="B33" i="2"/>
  <c r="G33" i="2" s="1"/>
  <c r="B25" i="2"/>
  <c r="G25" i="2" s="1"/>
  <c r="B23" i="2"/>
  <c r="G23" i="2" s="1"/>
  <c r="B17" i="2"/>
  <c r="G17" i="2" s="1"/>
  <c r="B16" i="2"/>
  <c r="B14" i="2"/>
  <c r="G14" i="2" s="1"/>
  <c r="B47" i="2"/>
  <c r="H47" i="2" s="1"/>
  <c r="B44" i="2"/>
  <c r="B42" i="2"/>
  <c r="H42" i="2" s="1"/>
  <c r="B41" i="2"/>
  <c r="B40" i="2"/>
  <c r="B37" i="2"/>
  <c r="B36" i="2"/>
  <c r="B32" i="2"/>
  <c r="G32" i="2" s="1"/>
  <c r="B31" i="2"/>
  <c r="G31" i="2" s="1"/>
  <c r="B30" i="2"/>
  <c r="B29" i="2"/>
  <c r="G29" i="2" s="1"/>
  <c r="B28" i="2"/>
  <c r="G28" i="2" s="1"/>
  <c r="B27" i="2"/>
  <c r="G27" i="2" s="1"/>
  <c r="B26" i="2"/>
  <c r="B24" i="2"/>
  <c r="G24" i="2" s="1"/>
  <c r="B22" i="2"/>
  <c r="G22" i="2" s="1"/>
  <c r="B21" i="2"/>
  <c r="G21" i="2" s="1"/>
  <c r="B53" i="2"/>
  <c r="B20" i="2"/>
  <c r="B19" i="2"/>
  <c r="B18" i="2"/>
  <c r="B15" i="2"/>
  <c r="G15" i="2" s="1"/>
  <c r="H15" i="2" s="1"/>
  <c r="B13" i="2"/>
  <c r="B12" i="2"/>
  <c r="B11" i="2"/>
  <c r="G11" i="2" s="1"/>
  <c r="B10" i="2"/>
  <c r="G10" i="2" s="1"/>
  <c r="B9" i="2"/>
  <c r="G9" i="2" s="1"/>
  <c r="H9" i="2" s="1"/>
  <c r="G26" i="2" l="1"/>
  <c r="H26" i="2" s="1"/>
  <c r="G30" i="2"/>
  <c r="H30" i="2" s="1"/>
  <c r="H34" i="2"/>
  <c r="H53" i="2"/>
  <c r="H39" i="2"/>
  <c r="H44" i="2"/>
  <c r="H40" i="2"/>
  <c r="H35" i="2"/>
  <c r="H45" i="2"/>
  <c r="H27" i="2"/>
  <c r="H31" i="2"/>
  <c r="H21" i="2"/>
  <c r="H33" i="2"/>
  <c r="H11" i="2"/>
  <c r="H18" i="2"/>
  <c r="H37" i="2"/>
  <c r="H23" i="2"/>
  <c r="H29" i="2"/>
  <c r="H17" i="2"/>
  <c r="H41" i="2"/>
  <c r="H25" i="2"/>
  <c r="H24" i="2"/>
  <c r="H36" i="2"/>
  <c r="H16" i="2"/>
  <c r="H19" i="2"/>
  <c r="H38" i="2"/>
  <c r="H22" i="2"/>
  <c r="H32" i="2"/>
  <c r="H28" i="2"/>
  <c r="H20" i="2"/>
  <c r="H10" i="2"/>
  <c r="B51" i="2"/>
  <c r="G52" i="2" s="1"/>
  <c r="B52" i="2"/>
  <c r="G48" i="2"/>
  <c r="B50" i="2"/>
  <c r="G50" i="2" s="1"/>
  <c r="B48" i="2"/>
  <c r="B49" i="2"/>
  <c r="G49" i="2"/>
  <c r="G46" i="2"/>
  <c r="G51" i="2" l="1"/>
  <c r="H67" i="2" l="1"/>
  <c r="H49" i="2"/>
  <c r="H50" i="2" l="1"/>
  <c r="H14" i="2"/>
  <c r="H52" i="2"/>
  <c r="H51" i="2"/>
  <c r="H46" i="2"/>
  <c r="H48" i="2"/>
  <c r="B6" i="2"/>
  <c r="G6" i="2" s="1"/>
  <c r="G13" i="2" l="1"/>
  <c r="G12" i="2"/>
  <c r="B8" i="2"/>
  <c r="G8" i="2" s="1"/>
  <c r="H13" i="2" l="1"/>
  <c r="H12" i="2"/>
  <c r="H7" i="2"/>
  <c r="H8" i="2"/>
  <c r="H6" i="2"/>
  <c r="H65" i="2" l="1"/>
  <c r="H70" i="2" s="1"/>
</calcChain>
</file>

<file path=xl/sharedStrings.xml><?xml version="1.0" encoding="utf-8"?>
<sst xmlns="http://schemas.openxmlformats.org/spreadsheetml/2006/main" count="376" uniqueCount="250">
  <si>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</si>
  <si>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</si>
  <si>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</si>
  <si>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</si>
  <si>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</si>
  <si>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</si>
  <si>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</si>
  <si>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</si>
  <si>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</si>
  <si>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</si>
  <si>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</si>
  <si>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</si>
  <si>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</si>
  <si>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</si>
  <si>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Notes</t>
  </si>
  <si>
    <t>Board Multiplier:</t>
  </si>
  <si>
    <t>D1,D2,D3</t>
  </si>
  <si>
    <t>Q1</t>
  </si>
  <si>
    <t>D4</t>
  </si>
  <si>
    <t>R3</t>
  </si>
  <si>
    <t>L1</t>
  </si>
  <si>
    <t>R1,R2</t>
  </si>
  <si>
    <t>0603</t>
  </si>
  <si>
    <t>Panasonic</t>
  </si>
  <si>
    <t>Bourns</t>
  </si>
  <si>
    <t>PCB Total:</t>
  </si>
  <si>
    <t>EEE-1AA101WR</t>
  </si>
  <si>
    <t>667-EEE-1AA101WR</t>
  </si>
  <si>
    <t>100uF Electrolytic Capacitor</t>
  </si>
  <si>
    <t>5mm x 5.5mm</t>
  </si>
  <si>
    <t>http://www.mouser.com/ds/2/315/ABA0000C1145-947633.pdf</t>
  </si>
  <si>
    <t>Texas Instruments</t>
  </si>
  <si>
    <t>SN74AHCT125PWR</t>
  </si>
  <si>
    <t>595-SN74AHCT125PWR</t>
  </si>
  <si>
    <t>3.3V to 5V Level Shifter</t>
  </si>
  <si>
    <t>TSSOP-14</t>
  </si>
  <si>
    <t>http://www.ti.com/lit/gpn/sn74ahct125</t>
  </si>
  <si>
    <t>PCB</t>
  </si>
  <si>
    <t>CSD17313Q2</t>
  </si>
  <si>
    <t>595-CSD17313Q2</t>
  </si>
  <si>
    <t>NMOS Power MOSFET</t>
  </si>
  <si>
    <t>WSON-FET-6</t>
  </si>
  <si>
    <t>http://www.ti.com/lit/gpn/csd17313q2</t>
  </si>
  <si>
    <t>L2</t>
  </si>
  <si>
    <t>L3</t>
  </si>
  <si>
    <t>SRN8040-1R0Y</t>
  </si>
  <si>
    <t>652-SRN8040-1R0Y</t>
  </si>
  <si>
    <t>http://www.mouser.com/ds/2/54/RN8040-778099.pdf</t>
  </si>
  <si>
    <t>5V Regulator 1uH Inductor</t>
  </si>
  <si>
    <t>8mm x 8mm</t>
  </si>
  <si>
    <t>4.5mm x 4.5mm</t>
  </si>
  <si>
    <t>3.3V Regulator 1.4uH Inductor</t>
  </si>
  <si>
    <t>652-SDR0403-1R4ML</t>
  </si>
  <si>
    <t>SDR0403-1R4ML</t>
  </si>
  <si>
    <t>Fairchild Semiconductor</t>
  </si>
  <si>
    <t>FSV530AF</t>
  </si>
  <si>
    <t>512-FSV530AF</t>
  </si>
  <si>
    <t>Charging Circuit Diode</t>
  </si>
  <si>
    <t>http://www.mouser.com/ds/2/149/FSV530AF-607397.pdf</t>
  </si>
  <si>
    <t>DO-214-2</t>
  </si>
  <si>
    <t>Kingbright</t>
  </si>
  <si>
    <t>AP1608SGC</t>
  </si>
  <si>
    <t>604-AP1608SGC</t>
  </si>
  <si>
    <t>Green LED</t>
  </si>
  <si>
    <t>http://www.mouser.com/ds/2/216/AP1608SGC-29521.pdf</t>
  </si>
  <si>
    <t>SRP7030-3R3FM</t>
  </si>
  <si>
    <t>652-SRP7030-3R3FM</t>
  </si>
  <si>
    <t>http://www.mouser.com/ds/2/54/SRP7030F-76916.pdf</t>
  </si>
  <si>
    <t>http://www.mouser.com/ds/2/54/dr0403-778115.pdf</t>
  </si>
  <si>
    <t>Battery Charger 3.3uH Inductor</t>
  </si>
  <si>
    <t>6.5mm x 6.5mm</t>
  </si>
  <si>
    <t>C22,C23</t>
  </si>
  <si>
    <t>U7</t>
  </si>
  <si>
    <t>U1</t>
  </si>
  <si>
    <t>U2</t>
  </si>
  <si>
    <t>U3</t>
  </si>
  <si>
    <t>U5</t>
  </si>
  <si>
    <t>U6</t>
  </si>
  <si>
    <t>U4</t>
  </si>
  <si>
    <t>R7</t>
  </si>
  <si>
    <t>R8</t>
  </si>
  <si>
    <t>R4,R5,R9</t>
  </si>
  <si>
    <t>R10</t>
  </si>
  <si>
    <t>R12</t>
  </si>
  <si>
    <t>R6,R11,R13</t>
  </si>
  <si>
    <t>R14</t>
  </si>
  <si>
    <t>R15,R16</t>
  </si>
  <si>
    <t>R17</t>
  </si>
  <si>
    <t>R19</t>
  </si>
  <si>
    <t>R20</t>
  </si>
  <si>
    <t>R21</t>
  </si>
  <si>
    <t>R22</t>
  </si>
  <si>
    <t>R18,R23</t>
  </si>
  <si>
    <t>R24</t>
  </si>
  <si>
    <t>R25</t>
  </si>
  <si>
    <t>R26</t>
  </si>
  <si>
    <t>C1,C3,C4</t>
  </si>
  <si>
    <t>C2,C6,C16,C29,C30</t>
  </si>
  <si>
    <t>C5,C21</t>
  </si>
  <si>
    <t>C7</t>
  </si>
  <si>
    <t>C8</t>
  </si>
  <si>
    <t>C9,C18,C26,C28</t>
  </si>
  <si>
    <t>C10,C12,C13,C14</t>
  </si>
  <si>
    <t>C11</t>
  </si>
  <si>
    <t>C15</t>
  </si>
  <si>
    <t>C17</t>
  </si>
  <si>
    <t>C19,C20</t>
  </si>
  <si>
    <t>C24</t>
  </si>
  <si>
    <t>C25,C27</t>
  </si>
  <si>
    <t>TH1</t>
  </si>
  <si>
    <t>PJRC</t>
  </si>
  <si>
    <t>STMicro</t>
  </si>
  <si>
    <t>Sparkfun</t>
  </si>
  <si>
    <t>Teensy 3.6</t>
  </si>
  <si>
    <t>TPS63021</t>
  </si>
  <si>
    <t>TPS61236</t>
  </si>
  <si>
    <t>BQ24170</t>
  </si>
  <si>
    <t>LSM9DS1</t>
  </si>
  <si>
    <t>VenusGPS</t>
  </si>
  <si>
    <t>PVSON-14</t>
  </si>
  <si>
    <t>VQFN-9</t>
  </si>
  <si>
    <t>VQFN-24</t>
  </si>
  <si>
    <t>LGA-24</t>
  </si>
  <si>
    <t>OSHPark</t>
  </si>
  <si>
    <t>Circuit Board (3 boards)</t>
  </si>
  <si>
    <t xml:space="preserve">                 Bill of Materials (BOM) - LED Snowboard Project</t>
  </si>
  <si>
    <t>71-CRCW0603-4.7K-E3</t>
  </si>
  <si>
    <t>CRCW06034K70FKEA</t>
  </si>
  <si>
    <t>http://www.mouser.com/ds/2/427/dcrcwe3-109170.pdf</t>
  </si>
  <si>
    <t>1206</t>
  </si>
  <si>
    <t>0805</t>
  </si>
  <si>
    <t>Through Hole</t>
  </si>
  <si>
    <t>Mixed</t>
  </si>
  <si>
    <t>Vishay</t>
  </si>
  <si>
    <t>AS12J10R0ET</t>
  </si>
  <si>
    <t>588-AS12J10R0ET</t>
  </si>
  <si>
    <t>Ohmite</t>
  </si>
  <si>
    <t>http://www.ti.com/lit/gpn/tps63021</t>
  </si>
  <si>
    <t>TPS63021DSJR</t>
  </si>
  <si>
    <t>595-TPS63021DSJR</t>
  </si>
  <si>
    <t>http://www.ti.com/lit/ds/symlink/tps61236p.pdf</t>
  </si>
  <si>
    <t>TPS61236PRWLR</t>
  </si>
  <si>
    <t>595-TPS61236PRWLR</t>
  </si>
  <si>
    <t>BQ24170RGYR</t>
  </si>
  <si>
    <t>595-BQ24170RGYR</t>
  </si>
  <si>
    <t>BOM Total:</t>
  </si>
  <si>
    <t>LSM9DS1TR</t>
  </si>
  <si>
    <t>497-14946-1-ND</t>
  </si>
  <si>
    <t>DIGIKEY</t>
  </si>
  <si>
    <t>http://www.st.com/content/ccc/resource/technical/document/datasheet/1e/3f/2a/d6/25/eb/48/46/DM00103319.pdf/files/DM00103319.pdf/jcr:content/translations/en.DM00103319.pdf</t>
  </si>
  <si>
    <t>Yageo</t>
  </si>
  <si>
    <t>RC0603FR-071ML</t>
  </si>
  <si>
    <t>603-RC0603FR-071ML</t>
  </si>
  <si>
    <t>Buy 10</t>
  </si>
  <si>
    <t>71-CRCW0603-100K-E3</t>
  </si>
  <si>
    <t>CRCW0603100KFKEA</t>
  </si>
  <si>
    <t>603-RC0603FR-0730K9L</t>
  </si>
  <si>
    <t>RC0603FR-0730K9L</t>
  </si>
  <si>
    <t>KOA Speer</t>
  </si>
  <si>
    <t>RK73H1JTTD3242F</t>
  </si>
  <si>
    <t>660-RK73H1JTTD3242F</t>
  </si>
  <si>
    <t>CRCW060313K7FKEA</t>
  </si>
  <si>
    <t>71-CRCW0603-13.7K-E3</t>
  </si>
  <si>
    <t>CRCW06034K02FKEA</t>
  </si>
  <si>
    <t>71-CRCW0603-4.02K-E3</t>
  </si>
  <si>
    <t>CRCW06031K50JNEA</t>
  </si>
  <si>
    <t>71-CRCW0603J-1.5K-E3</t>
  </si>
  <si>
    <t>CRCW0603619KFKEA</t>
  </si>
  <si>
    <t>71-CRCW0603-619K-E3</t>
  </si>
  <si>
    <t>RC0603FR-07205KL</t>
  </si>
  <si>
    <t>603-RC0603FR-07205KL</t>
  </si>
  <si>
    <t>CRCW0603261RFKEA</t>
  </si>
  <si>
    <t>71-CRCW0603-261-E3</t>
  </si>
  <si>
    <t>CRCW0603604RFKEA</t>
  </si>
  <si>
    <t>71-CRCW0603-604-E3</t>
  </si>
  <si>
    <t>CRCW060310K0FKEA</t>
  </si>
  <si>
    <t>71-CRCW0603-10K-E3</t>
  </si>
  <si>
    <t>CRCW060336K0FKEA</t>
  </si>
  <si>
    <t>71-CRCW0603-36K-E3</t>
  </si>
  <si>
    <t>ERJ-8GEYJ2R0V</t>
  </si>
  <si>
    <t>667-ERJ-8GEYJ2R0V</t>
  </si>
  <si>
    <t>2176055-1</t>
  </si>
  <si>
    <t>TE Connectivity / CGS</t>
  </si>
  <si>
    <t>279-2176055-1</t>
  </si>
  <si>
    <t>Murata Electronics</t>
  </si>
  <si>
    <t>GRM21BR61A106KE19L</t>
  </si>
  <si>
    <t>81-GRM21BR61A106KE19</t>
  </si>
  <si>
    <t>0805ZD226KAT2A</t>
  </si>
  <si>
    <t>AVX</t>
  </si>
  <si>
    <t>581-0805ZD226KAT2A</t>
  </si>
  <si>
    <t>885012207072</t>
  </si>
  <si>
    <t>710-885012207072</t>
  </si>
  <si>
    <t>Wurth Electronics</t>
  </si>
  <si>
    <t>Vishay / Vitramon</t>
  </si>
  <si>
    <t>VJ0805V475MXQTW1BC</t>
  </si>
  <si>
    <t>77-VJ0805V475MXQTBC</t>
  </si>
  <si>
    <t>VJ0805V225MXJTW1BC</t>
  </si>
  <si>
    <t>77-VJ0805V225MXJTBC</t>
  </si>
  <si>
    <t>GRM188R61E105KA12D</t>
  </si>
  <si>
    <t>81-GRM188R61E105KA12</t>
  </si>
  <si>
    <t>885012206040</t>
  </si>
  <si>
    <t>710-885012206040</t>
  </si>
  <si>
    <t>06033C104K4T2A</t>
  </si>
  <si>
    <t>581-06033C104K4</t>
  </si>
  <si>
    <t>VJ0603A100JXACW1BC</t>
  </si>
  <si>
    <t>77-VJ0603A100JXACBC</t>
  </si>
  <si>
    <t>885012206044</t>
  </si>
  <si>
    <t>710-885012206044</t>
  </si>
  <si>
    <t>GRM188C80G106ME47D</t>
  </si>
  <si>
    <t>81-GRM188C80G106ME7D</t>
  </si>
  <si>
    <t>VJ1206V106ZXQTW1BC</t>
  </si>
  <si>
    <t>77-VJ1206V106ZXQTBC</t>
  </si>
  <si>
    <t>30.1K ohm Resistor</t>
  </si>
  <si>
    <t>5.23K ohm Resistor</t>
  </si>
  <si>
    <t>30.9K ohm Resistor</t>
  </si>
  <si>
    <t>32.4K ohm Resistor</t>
  </si>
  <si>
    <t>13.7K ohm Resistor</t>
  </si>
  <si>
    <t>954-103AT-2</t>
  </si>
  <si>
    <t>103AT-2</t>
  </si>
  <si>
    <t>Semitec</t>
  </si>
  <si>
    <t>103AT Thermistor</t>
  </si>
  <si>
    <t>4.02k ohm Resistor</t>
  </si>
  <si>
    <t>1.5k ohm Resistor</t>
  </si>
  <si>
    <t>10m ohm Resistor</t>
  </si>
  <si>
    <t>619k ohm Resistor</t>
  </si>
  <si>
    <t>205k ohm Resistor</t>
  </si>
  <si>
    <t>260 ohm Resistor</t>
  </si>
  <si>
    <t>600 ohm Resistor</t>
  </si>
  <si>
    <t>2 ohm Resistor</t>
  </si>
  <si>
    <t>10k ohm Resistor</t>
  </si>
  <si>
    <t>36k ohm Resistor</t>
  </si>
  <si>
    <t>4.7k ohm Resistor</t>
  </si>
  <si>
    <t>10 ohm Resistor</t>
  </si>
  <si>
    <t>1M ohm Resistor</t>
  </si>
  <si>
    <t>100k ohm Resistor</t>
  </si>
  <si>
    <t>0.1uF Capacitor</t>
  </si>
  <si>
    <t>10uF Capacitor</t>
  </si>
  <si>
    <t>1uF Capacitor</t>
  </si>
  <si>
    <t>10nF Capacitor</t>
  </si>
  <si>
    <t>100nF Capacitor</t>
  </si>
  <si>
    <t>10pF Capacitor</t>
  </si>
  <si>
    <t>22uF Capacitor</t>
  </si>
  <si>
    <t>4.7uF Capacitor</t>
  </si>
  <si>
    <t>0.047uF Capacitor</t>
  </si>
  <si>
    <t>2.2uF Capacitor</t>
  </si>
  <si>
    <t>http://www.mouser.com/ds/2/362/semitec_atthermistor-371460.pdf</t>
  </si>
  <si>
    <t>CRCW06035K23FKEA</t>
  </si>
  <si>
    <t>71-CRCW0603-5.23K-E3</t>
  </si>
  <si>
    <t>CR0603-FX-3012ELF</t>
  </si>
  <si>
    <t>652-CR0603FX-3012ELF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</si>
</sst>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8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F1" zoomScale="85" zoomScaleNormal="85" workbookViewId="0">
      <selection activeCell="J1" sqref="J1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62.90625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3" t="s">
        <v>125</v>
      </c>
      <c r="B1" s="33"/>
      <c r="C1" s="33"/>
      <c r="D1" s="33"/>
      <c r="E1" s="33"/>
      <c r="F1" s="33"/>
      <c r="G1" s="33"/>
      <c r="H1" s="33"/>
      <c r="I1" s="33"/>
    </row>
    <row r="2" spans="1:18" x14ac:dyDescent="0.25">
      <c r="C2" s="5"/>
      <c r="D2" s="1"/>
      <c r="E2" s="1"/>
      <c r="F2" s="1"/>
      <c r="G2" s="1"/>
      <c r="I2" s="4"/>
    </row>
    <row r="4" spans="1:18" ht="13" x14ac:dyDescent="0.3">
      <c r="A4" s="29" t="s">
        <v>3</v>
      </c>
      <c r="B4" s="29" t="s">
        <v>4</v>
      </c>
      <c r="C4" s="29" t="s">
        <v>1</v>
      </c>
      <c r="D4" s="29" t="s">
        <v>6</v>
      </c>
      <c r="E4" s="29" t="s">
        <v>7</v>
      </c>
      <c r="F4" s="29" t="s">
        <v>8</v>
      </c>
      <c r="G4" s="30" t="s">
        <v>9</v>
      </c>
      <c r="H4" s="29" t="s">
        <v>10</v>
      </c>
      <c r="I4" s="29" t="s">
        <v>0</v>
      </c>
      <c r="J4" s="29" t="s">
        <v>5</v>
      </c>
      <c r="K4" s="30" t="s">
        <v>2</v>
      </c>
      <c r="L4" s="31" t="s">
        <v>11</v>
      </c>
      <c r="R4" s="2" t="s">
        <v>14</v>
      </c>
    </row>
    <row r="5" spans="1:18" x14ac:dyDescent="0.25">
      <c r="A5" s="16"/>
      <c r="B5" s="16"/>
      <c r="C5" s="16"/>
      <c r="D5" s="16"/>
      <c r="E5" s="16"/>
      <c r="F5" s="17"/>
      <c r="G5" s="16"/>
      <c r="H5" s="18"/>
      <c r="I5" s="16"/>
      <c r="J5" s="19"/>
      <c r="K5" s="19"/>
    </row>
    <row r="6" spans="1:18" x14ac:dyDescent="0.25">
      <c r="A6" s="15">
        <v>1</v>
      </c>
      <c r="B6" s="10">
        <f>(1*G64)</f>
        <v>1</v>
      </c>
      <c r="C6" s="10" t="s">
        <v>73</v>
      </c>
      <c r="D6" s="5" t="s">
        <v>110</v>
      </c>
      <c r="E6" s="9"/>
      <c r="F6" s="11"/>
      <c r="G6" s="12">
        <f>IF(B6&lt;=9,0,IF(B6&lt;=99,0.747,IF(B6&lt;=499,0.574)))</f>
        <v>0</v>
      </c>
      <c r="H6" s="12">
        <f>(B6*G6)</f>
        <v>0</v>
      </c>
      <c r="I6" s="10" t="s">
        <v>113</v>
      </c>
      <c r="J6" s="13"/>
      <c r="K6" s="10" t="s">
        <v>131</v>
      </c>
    </row>
    <row r="7" spans="1:18" x14ac:dyDescent="0.25">
      <c r="A7" s="15">
        <v>2</v>
      </c>
      <c r="B7" s="9">
        <f>(1*G64)</f>
        <v>1</v>
      </c>
      <c r="C7" s="10" t="s">
        <v>74</v>
      </c>
      <c r="D7" s="10" t="s">
        <v>31</v>
      </c>
      <c r="E7" s="10" t="s">
        <v>138</v>
      </c>
      <c r="F7" s="11" t="s">
        <v>139</v>
      </c>
      <c r="G7" s="12">
        <f>IF(B7&lt;=9,2.74,IF(B7&lt;=24,2.46,IF(B7&lt;=49,2.29)))</f>
        <v>2.74</v>
      </c>
      <c r="H7" s="12">
        <f t="shared" ref="H7:H47" si="0">(B7*G7)</f>
        <v>2.74</v>
      </c>
      <c r="I7" s="10" t="s">
        <v>114</v>
      </c>
      <c r="J7" s="13" t="s">
        <v>119</v>
      </c>
      <c r="K7" s="10" t="s">
        <v>13</v>
      </c>
      <c r="L7" t="s">
        <v>137</v>
      </c>
    </row>
    <row r="8" spans="1:18" x14ac:dyDescent="0.25">
      <c r="A8" s="15">
        <v>3</v>
      </c>
      <c r="B8" s="9">
        <f>(1*G64)</f>
        <v>1</v>
      </c>
      <c r="C8" s="10" t="s">
        <v>75</v>
      </c>
      <c r="D8" s="10" t="s">
        <v>31</v>
      </c>
      <c r="E8" s="9" t="s">
        <v>141</v>
      </c>
      <c r="F8" s="9" t="s">
        <v>142</v>
      </c>
      <c r="G8" s="12">
        <f>IF(B8&lt;=9,2.07,IF(B8&lt;=24,1.86,IF(B8&lt;=49,1.72)))</f>
        <v>2.0699999999999998</v>
      </c>
      <c r="H8" s="12">
        <f t="shared" si="0"/>
        <v>2.0699999999999998</v>
      </c>
      <c r="I8" s="10" t="s">
        <v>115</v>
      </c>
      <c r="J8" s="13" t="s">
        <v>120</v>
      </c>
      <c r="K8" s="10" t="s">
        <v>13</v>
      </c>
      <c r="L8" t="s">
        <v>140</v>
      </c>
    </row>
    <row r="9" spans="1:18" x14ac:dyDescent="0.25">
      <c r="A9" s="15">
        <v>4</v>
      </c>
      <c r="B9" s="9">
        <f>(1*G64)</f>
        <v>1</v>
      </c>
      <c r="C9" s="10" t="s">
        <v>78</v>
      </c>
      <c r="D9" s="10" t="s">
        <v>31</v>
      </c>
      <c r="E9" s="9" t="s">
        <v>143</v>
      </c>
      <c r="F9" s="9" t="s">
        <v>144</v>
      </c>
      <c r="G9" s="12">
        <f>IF(B9&lt;=9,4.05,IF(B9&lt;=24,3.64,IF(B9&lt;=49,3.39)))</f>
        <v>4.05</v>
      </c>
      <c r="H9" s="12">
        <f t="shared" si="0"/>
        <v>4.05</v>
      </c>
      <c r="I9" s="10" t="s">
        <v>116</v>
      </c>
      <c r="J9" s="13" t="s">
        <v>121</v>
      </c>
      <c r="K9" s="10" t="s">
        <v>13</v>
      </c>
    </row>
    <row r="10" spans="1:18" x14ac:dyDescent="0.25">
      <c r="A10" s="15">
        <v>5</v>
      </c>
      <c r="B10" s="9">
        <f>(1*G64)</f>
        <v>1</v>
      </c>
      <c r="C10" s="10" t="s">
        <v>76</v>
      </c>
      <c r="D10" s="10" t="s">
        <v>111</v>
      </c>
      <c r="E10" s="9" t="s">
        <v>146</v>
      </c>
      <c r="F10" s="9" t="s">
        <v>147</v>
      </c>
      <c r="G10" s="12">
        <f>IF(B10&lt;=9,6.4,IF(B10&lt;=99,5.751,IF(B10&gt;=100,4.7119)))</f>
        <v>6.4</v>
      </c>
      <c r="H10" s="12">
        <f t="shared" si="0"/>
        <v>6.4</v>
      </c>
      <c r="I10" s="10" t="s">
        <v>117</v>
      </c>
      <c r="J10" s="13" t="s">
        <v>122</v>
      </c>
      <c r="K10" s="10" t="s">
        <v>13</v>
      </c>
      <c r="L10" t="s">
        <v>149</v>
      </c>
      <c r="R10" s="2" t="s">
        <v>148</v>
      </c>
    </row>
    <row r="11" spans="1:18" x14ac:dyDescent="0.25">
      <c r="A11" s="15">
        <v>6</v>
      </c>
      <c r="B11" s="9">
        <f>(1*G64)</f>
        <v>1</v>
      </c>
      <c r="C11" s="10" t="s">
        <v>77</v>
      </c>
      <c r="D11" s="10" t="s">
        <v>112</v>
      </c>
      <c r="E11" s="9"/>
      <c r="F11" s="9"/>
      <c r="G11" s="12">
        <f>IF(B11&lt;=9,0,IF(B11&lt;=99,0.1,IF(B11&lt;=999,0.047)))</f>
        <v>0</v>
      </c>
      <c r="H11" s="12">
        <f t="shared" si="0"/>
        <v>0</v>
      </c>
      <c r="I11" s="10" t="s">
        <v>118</v>
      </c>
      <c r="J11" s="13"/>
      <c r="K11" s="10" t="s">
        <v>131</v>
      </c>
    </row>
    <row r="12" spans="1:18" x14ac:dyDescent="0.25">
      <c r="A12" s="15">
        <v>7</v>
      </c>
      <c r="B12" s="9">
        <f>(1*G64)</f>
        <v>1</v>
      </c>
      <c r="C12" s="14" t="s">
        <v>72</v>
      </c>
      <c r="D12" s="10" t="s">
        <v>31</v>
      </c>
      <c r="E12" s="9" t="s">
        <v>32</v>
      </c>
      <c r="F12" s="9" t="s">
        <v>33</v>
      </c>
      <c r="G12" s="12">
        <f>IF(B12&lt;=9,0.42,IF(B12&lt;=99,0.323,IF(B12&lt;=999,0.175)))</f>
        <v>0.42</v>
      </c>
      <c r="H12" s="12">
        <f>(B12*G12)</f>
        <v>0.42</v>
      </c>
      <c r="I12" s="10" t="s">
        <v>34</v>
      </c>
      <c r="J12" s="13" t="s">
        <v>35</v>
      </c>
      <c r="K12" s="10" t="s">
        <v>13</v>
      </c>
      <c r="L12" t="s">
        <v>36</v>
      </c>
    </row>
    <row r="13" spans="1:18" x14ac:dyDescent="0.25">
      <c r="A13" s="15">
        <v>8</v>
      </c>
      <c r="B13" s="9">
        <f>(1*G64)</f>
        <v>1</v>
      </c>
      <c r="C13" s="24" t="s">
        <v>17</v>
      </c>
      <c r="D13" s="10" t="s">
        <v>31</v>
      </c>
      <c r="E13" s="9" t="s">
        <v>38</v>
      </c>
      <c r="F13" s="9" t="s">
        <v>39</v>
      </c>
      <c r="G13" s="12">
        <f>IF(B13&lt;=9,0.6,IF(B13&lt;=24,0.522,IF(B13&lt;=99,0.459)))</f>
        <v>0.6</v>
      </c>
      <c r="H13" s="12">
        <f t="shared" si="0"/>
        <v>0.6</v>
      </c>
      <c r="I13" s="10" t="s">
        <v>40</v>
      </c>
      <c r="J13" s="13" t="s">
        <v>41</v>
      </c>
      <c r="K13" s="10" t="s">
        <v>13</v>
      </c>
      <c r="L13" t="s">
        <v>42</v>
      </c>
    </row>
    <row r="14" spans="1:18" x14ac:dyDescent="0.25">
      <c r="A14" s="15">
        <v>9</v>
      </c>
      <c r="B14" s="9">
        <f>(2*G64)</f>
        <v>2</v>
      </c>
      <c r="C14" s="22" t="s">
        <v>21</v>
      </c>
      <c r="D14" s="10" t="s">
        <v>133</v>
      </c>
      <c r="E14" s="9" t="s">
        <v>127</v>
      </c>
      <c r="F14" s="9" t="s">
        <v>126</v>
      </c>
      <c r="G14" s="12">
        <f>IF(B14&lt;=9,0.1,IF(B14&lt;=99,0.044,IF(B14&lt;=999,0.026)))</f>
        <v>0.1</v>
      </c>
      <c r="H14" s="12">
        <f t="shared" si="0"/>
        <v>0.2</v>
      </c>
      <c r="I14" s="10" t="s">
        <v>231</v>
      </c>
      <c r="J14" s="13" t="s">
        <v>22</v>
      </c>
      <c r="K14" s="10" t="s">
        <v>13</v>
      </c>
      <c r="L14" t="s">
        <v>128</v>
      </c>
    </row>
    <row r="15" spans="1:18" x14ac:dyDescent="0.25">
      <c r="A15" s="15">
        <v>10</v>
      </c>
      <c r="B15" s="9">
        <f>(1*G64)</f>
        <v>1</v>
      </c>
      <c r="C15" s="22" t="s">
        <v>19</v>
      </c>
      <c r="D15" s="5" t="s">
        <v>136</v>
      </c>
      <c r="E15" s="9" t="s">
        <v>134</v>
      </c>
      <c r="F15" s="9" t="s">
        <v>135</v>
      </c>
      <c r="G15" s="12">
        <f>IF(B15&lt;=4,0.08,IF(B15&lt;=9,0.077,IF(B15&lt;=24,0.072)))</f>
        <v>0.08</v>
      </c>
      <c r="H15" s="12">
        <f t="shared" si="0"/>
        <v>0.08</v>
      </c>
      <c r="I15" s="10" t="s">
        <v>232</v>
      </c>
      <c r="J15" s="13" t="s">
        <v>129</v>
      </c>
      <c r="K15" s="10" t="s">
        <v>13</v>
      </c>
    </row>
    <row r="16" spans="1:18" x14ac:dyDescent="0.25">
      <c r="A16" s="15">
        <v>11</v>
      </c>
      <c r="B16" s="9">
        <f>(3*G64)</f>
        <v>3</v>
      </c>
      <c r="C16" s="22" t="s">
        <v>81</v>
      </c>
      <c r="D16" s="10" t="s">
        <v>150</v>
      </c>
      <c r="E16" s="9" t="s">
        <v>151</v>
      </c>
      <c r="F16" s="9" t="s">
        <v>152</v>
      </c>
      <c r="G16" s="12">
        <f>IF(B16&lt;=9,0.1,IF(B16&lt;=99,0.01,IF(B16&lt;=999,0.003)))</f>
        <v>0.1</v>
      </c>
      <c r="H16" s="12">
        <f t="shared" si="0"/>
        <v>0.30000000000000004</v>
      </c>
      <c r="I16" s="10" t="s">
        <v>233</v>
      </c>
      <c r="J16" s="13" t="s">
        <v>22</v>
      </c>
      <c r="K16" s="10" t="s">
        <v>13</v>
      </c>
      <c r="R16" s="2" t="s">
        <v>153</v>
      </c>
    </row>
    <row r="17" spans="1:18" x14ac:dyDescent="0.25">
      <c r="A17" s="15">
        <v>12</v>
      </c>
      <c r="B17" s="9">
        <f>(3*G64)</f>
        <v>3</v>
      </c>
      <c r="C17" s="22" t="s">
        <v>84</v>
      </c>
      <c r="D17" s="10" t="s">
        <v>133</v>
      </c>
      <c r="E17" s="9" t="s">
        <v>155</v>
      </c>
      <c r="F17" s="9" t="s">
        <v>154</v>
      </c>
      <c r="G17" s="12">
        <f>IF(B17&lt;=9,0.1,IF(B17&lt;=99,0.044,IF(B17&lt;=499,0.026)))</f>
        <v>0.1</v>
      </c>
      <c r="H17" s="12">
        <f t="shared" si="0"/>
        <v>0.30000000000000004</v>
      </c>
      <c r="I17" s="10" t="s">
        <v>234</v>
      </c>
      <c r="J17" s="13" t="s">
        <v>22</v>
      </c>
      <c r="K17" s="10" t="s">
        <v>13</v>
      </c>
      <c r="L17" t="s">
        <v>128</v>
      </c>
      <c r="R17" s="2" t="s">
        <v>153</v>
      </c>
    </row>
    <row r="18" spans="1:18" x14ac:dyDescent="0.25">
      <c r="A18" s="15">
        <v>13</v>
      </c>
      <c r="B18" s="9">
        <f>(1*G64)</f>
        <v>1</v>
      </c>
      <c r="C18" s="22" t="s">
        <v>79</v>
      </c>
      <c r="D18" s="10" t="s">
        <v>133</v>
      </c>
      <c r="E18" s="9" t="s">
        <v>246</v>
      </c>
      <c r="F18" s="9" t="s">
        <v>247</v>
      </c>
      <c r="G18" s="12">
        <f>IF(B18&lt;=9,0.1,IF(B18&lt;=99,0.044,IF(B18&lt;=499,0.026)))</f>
        <v>0.1</v>
      </c>
      <c r="H18" s="12">
        <f t="shared" si="0"/>
        <v>0.1</v>
      </c>
      <c r="I18" s="10" t="s">
        <v>213</v>
      </c>
      <c r="J18" s="13" t="s">
        <v>22</v>
      </c>
      <c r="K18" s="10" t="s">
        <v>13</v>
      </c>
      <c r="R18" s="2" t="s">
        <v>153</v>
      </c>
    </row>
    <row r="19" spans="1:18" x14ac:dyDescent="0.25">
      <c r="A19" s="15">
        <v>14</v>
      </c>
      <c r="B19" s="9">
        <f>(1*G64)</f>
        <v>1</v>
      </c>
      <c r="C19" s="22" t="s">
        <v>80</v>
      </c>
      <c r="D19" s="10" t="s">
        <v>24</v>
      </c>
      <c r="E19" s="9" t="s">
        <v>248</v>
      </c>
      <c r="F19" s="9" t="s">
        <v>249</v>
      </c>
      <c r="G19" s="12">
        <f>IF(B19&lt;=9,0.1,IF(B19&lt;=99,0.025,IF(B19&lt;=499,0.014)))</f>
        <v>0.1</v>
      </c>
      <c r="H19" s="12">
        <f t="shared" si="0"/>
        <v>0.1</v>
      </c>
      <c r="I19" s="10" t="s">
        <v>212</v>
      </c>
      <c r="J19" s="13" t="s">
        <v>22</v>
      </c>
      <c r="K19" s="10" t="s">
        <v>13</v>
      </c>
      <c r="R19" s="2" t="s">
        <v>153</v>
      </c>
    </row>
    <row r="20" spans="1:18" x14ac:dyDescent="0.25">
      <c r="A20" s="15">
        <v>15</v>
      </c>
      <c r="B20" s="9">
        <f>(1*G64)</f>
        <v>1</v>
      </c>
      <c r="C20" s="22" t="s">
        <v>82</v>
      </c>
      <c r="D20" s="10" t="s">
        <v>150</v>
      </c>
      <c r="E20" s="9" t="s">
        <v>157</v>
      </c>
      <c r="F20" s="9" t="s">
        <v>156</v>
      </c>
      <c r="G20" s="12">
        <f>IF(B20&lt;=9,0.1,IF(B20&lt;=99,0.01,IF(B20&lt;=999,0.003)))</f>
        <v>0.1</v>
      </c>
      <c r="H20" s="12">
        <f t="shared" si="0"/>
        <v>0.1</v>
      </c>
      <c r="I20" s="10" t="s">
        <v>214</v>
      </c>
      <c r="J20" s="13" t="s">
        <v>22</v>
      </c>
      <c r="K20" s="10" t="s">
        <v>13</v>
      </c>
      <c r="R20" s="2" t="s">
        <v>153</v>
      </c>
    </row>
    <row r="21" spans="1:18" x14ac:dyDescent="0.25">
      <c r="A21" s="15">
        <v>16</v>
      </c>
      <c r="B21" s="9">
        <f>(1*G64)</f>
        <v>1</v>
      </c>
      <c r="C21" s="22" t="s">
        <v>83</v>
      </c>
      <c r="D21" s="9" t="s">
        <v>158</v>
      </c>
      <c r="E21" s="9" t="s">
        <v>159</v>
      </c>
      <c r="F21" s="9" t="s">
        <v>160</v>
      </c>
      <c r="G21" s="12">
        <f>IF(B21&lt;=9,0.1,IF(B21&lt;=99,0.013,IF(B21&lt;=499,0.007)))</f>
        <v>0.1</v>
      </c>
      <c r="H21" s="12">
        <f t="shared" si="0"/>
        <v>0.1</v>
      </c>
      <c r="I21" s="10" t="s">
        <v>215</v>
      </c>
      <c r="J21" s="13" t="s">
        <v>22</v>
      </c>
      <c r="K21" s="10" t="s">
        <v>13</v>
      </c>
    </row>
    <row r="22" spans="1:18" x14ac:dyDescent="0.25">
      <c r="A22" s="15">
        <v>17</v>
      </c>
      <c r="B22" s="9">
        <f>(1*G64)</f>
        <v>1</v>
      </c>
      <c r="C22" s="22" t="s">
        <v>85</v>
      </c>
      <c r="D22" s="10" t="s">
        <v>133</v>
      </c>
      <c r="E22" s="9" t="s">
        <v>161</v>
      </c>
      <c r="F22" s="9" t="s">
        <v>162</v>
      </c>
      <c r="G22" s="12">
        <f>IF(B22&lt;=9,0.1,IF(B22&lt;=99,0.044,IF(B22&lt;=499,0.026)))</f>
        <v>0.1</v>
      </c>
      <c r="H22" s="12">
        <f t="shared" si="0"/>
        <v>0.1</v>
      </c>
      <c r="I22" s="10" t="s">
        <v>216</v>
      </c>
      <c r="J22" s="13" t="s">
        <v>22</v>
      </c>
      <c r="K22" s="10" t="s">
        <v>13</v>
      </c>
      <c r="R22" s="2" t="s">
        <v>153</v>
      </c>
    </row>
    <row r="23" spans="1:18" x14ac:dyDescent="0.25">
      <c r="A23" s="15">
        <v>18</v>
      </c>
      <c r="B23" s="9">
        <f>(2*G64)</f>
        <v>2</v>
      </c>
      <c r="C23" s="22" t="s">
        <v>86</v>
      </c>
      <c r="D23" s="10" t="s">
        <v>133</v>
      </c>
      <c r="E23" s="9" t="s">
        <v>163</v>
      </c>
      <c r="F23" s="9" t="s">
        <v>164</v>
      </c>
      <c r="G23" s="12">
        <f>IF(B23&lt;=9,0.1,IF(B23&lt;=99,0.044,IF(B23&lt;=499,0.026)))</f>
        <v>0.1</v>
      </c>
      <c r="H23" s="12">
        <f t="shared" si="0"/>
        <v>0.2</v>
      </c>
      <c r="I23" s="10" t="s">
        <v>221</v>
      </c>
      <c r="J23" s="13" t="s">
        <v>22</v>
      </c>
      <c r="K23" s="10" t="s">
        <v>13</v>
      </c>
      <c r="R23" s="2" t="s">
        <v>153</v>
      </c>
    </row>
    <row r="24" spans="1:18" x14ac:dyDescent="0.25">
      <c r="A24" s="15">
        <v>19</v>
      </c>
      <c r="B24" s="9">
        <f>(1*G64)</f>
        <v>1</v>
      </c>
      <c r="C24" s="22" t="s">
        <v>87</v>
      </c>
      <c r="D24" s="10" t="s">
        <v>133</v>
      </c>
      <c r="E24" s="9" t="s">
        <v>165</v>
      </c>
      <c r="F24" s="9" t="s">
        <v>166</v>
      </c>
      <c r="G24" s="12">
        <f>IF(B24&lt;=9,0.1,IF(B24&lt;=99,0.04,IF(B24&lt;=499,0.023)))</f>
        <v>0.1</v>
      </c>
      <c r="H24" s="12">
        <f t="shared" si="0"/>
        <v>0.1</v>
      </c>
      <c r="I24" s="10" t="s">
        <v>222</v>
      </c>
      <c r="J24" s="13" t="s">
        <v>22</v>
      </c>
      <c r="K24" s="10" t="s">
        <v>13</v>
      </c>
      <c r="R24" s="2" t="s">
        <v>153</v>
      </c>
    </row>
    <row r="25" spans="1:18" x14ac:dyDescent="0.25">
      <c r="A25" s="15">
        <v>20</v>
      </c>
      <c r="B25" s="9">
        <f>(2*G64)</f>
        <v>2</v>
      </c>
      <c r="C25" s="22" t="s">
        <v>92</v>
      </c>
      <c r="D25" s="10" t="s">
        <v>182</v>
      </c>
      <c r="E25" s="1" t="s">
        <v>181</v>
      </c>
      <c r="F25" s="9" t="s">
        <v>183</v>
      </c>
      <c r="G25" s="12">
        <f>IF(B25&lt;=9,0.16,IF(B25&lt;=99,0.153,IF(B25&lt;=499,0.129)))</f>
        <v>0.16</v>
      </c>
      <c r="H25" s="12">
        <f t="shared" si="0"/>
        <v>0.32</v>
      </c>
      <c r="I25" s="10" t="s">
        <v>223</v>
      </c>
      <c r="J25" s="13" t="s">
        <v>129</v>
      </c>
      <c r="K25" s="10" t="s">
        <v>13</v>
      </c>
      <c r="R25" s="2" t="s">
        <v>153</v>
      </c>
    </row>
    <row r="26" spans="1:18" x14ac:dyDescent="0.25">
      <c r="A26" s="15">
        <v>21</v>
      </c>
      <c r="B26" s="9">
        <f>(1*G64)</f>
        <v>1</v>
      </c>
      <c r="C26" s="22" t="s">
        <v>88</v>
      </c>
      <c r="D26" s="10" t="s">
        <v>133</v>
      </c>
      <c r="E26" s="9" t="s">
        <v>167</v>
      </c>
      <c r="F26" s="9" t="s">
        <v>168</v>
      </c>
      <c r="G26" s="12">
        <f>IF(B26&lt;=9,0.1,IF(B26&lt;=99,0.044,IF(B26&lt;=499,0.026)))</f>
        <v>0.1</v>
      </c>
      <c r="H26" s="12">
        <f t="shared" si="0"/>
        <v>0.1</v>
      </c>
      <c r="I26" s="10" t="s">
        <v>224</v>
      </c>
      <c r="J26" s="13" t="s">
        <v>22</v>
      </c>
      <c r="K26" s="10" t="s">
        <v>13</v>
      </c>
      <c r="R26" s="2" t="s">
        <v>153</v>
      </c>
    </row>
    <row r="27" spans="1:18" x14ac:dyDescent="0.25">
      <c r="A27" s="15">
        <v>22</v>
      </c>
      <c r="B27" s="9">
        <f>(1*G64)</f>
        <v>1</v>
      </c>
      <c r="C27" s="22" t="s">
        <v>89</v>
      </c>
      <c r="D27" s="10" t="s">
        <v>150</v>
      </c>
      <c r="E27" s="9" t="s">
        <v>169</v>
      </c>
      <c r="F27" s="9" t="s">
        <v>170</v>
      </c>
      <c r="G27" s="12">
        <f>IF(B27&lt;=9,0.1,IF(B27&lt;=99,0.01,IF(B27&lt;=999,0.003)))</f>
        <v>0.1</v>
      </c>
      <c r="H27" s="12">
        <f t="shared" si="0"/>
        <v>0.1</v>
      </c>
      <c r="I27" s="10" t="s">
        <v>225</v>
      </c>
      <c r="J27" s="13" t="s">
        <v>22</v>
      </c>
      <c r="K27" s="10" t="s">
        <v>13</v>
      </c>
      <c r="R27" s="2" t="s">
        <v>153</v>
      </c>
    </row>
    <row r="28" spans="1:18" x14ac:dyDescent="0.25">
      <c r="A28" s="15">
        <v>23</v>
      </c>
      <c r="B28" s="9">
        <f>(1*G64)</f>
        <v>1</v>
      </c>
      <c r="C28" s="22" t="s">
        <v>90</v>
      </c>
      <c r="D28" s="10" t="s">
        <v>133</v>
      </c>
      <c r="E28" s="9" t="s">
        <v>171</v>
      </c>
      <c r="F28" s="9" t="s">
        <v>172</v>
      </c>
      <c r="G28" s="12">
        <f>IF(B28&lt;=9,0.1,IF(B28&lt;=99,0.044,IF(B28&lt;=499,0.026)))</f>
        <v>0.1</v>
      </c>
      <c r="H28" s="12">
        <f t="shared" si="0"/>
        <v>0.1</v>
      </c>
      <c r="I28" s="10" t="s">
        <v>226</v>
      </c>
      <c r="J28" s="13" t="s">
        <v>22</v>
      </c>
      <c r="K28" s="10" t="s">
        <v>13</v>
      </c>
      <c r="R28" s="2" t="s">
        <v>153</v>
      </c>
    </row>
    <row r="29" spans="1:18" x14ac:dyDescent="0.25">
      <c r="A29" s="15">
        <v>24</v>
      </c>
      <c r="B29" s="9">
        <f>(1*G64)</f>
        <v>1</v>
      </c>
      <c r="C29" s="22" t="s">
        <v>91</v>
      </c>
      <c r="D29" s="10" t="s">
        <v>133</v>
      </c>
      <c r="E29" s="9" t="s">
        <v>173</v>
      </c>
      <c r="F29" s="9" t="s">
        <v>174</v>
      </c>
      <c r="G29" s="12">
        <f>IF(B29&lt;=9,0.1,IF(B29&lt;=99,0.044,IF(B29&lt;=499,0.026)))</f>
        <v>0.1</v>
      </c>
      <c r="H29" s="12">
        <f t="shared" si="0"/>
        <v>0.1</v>
      </c>
      <c r="I29" s="10" t="s">
        <v>227</v>
      </c>
      <c r="J29" s="13" t="s">
        <v>22</v>
      </c>
      <c r="K29" s="10" t="s">
        <v>13</v>
      </c>
      <c r="R29" s="2" t="s">
        <v>153</v>
      </c>
    </row>
    <row r="30" spans="1:18" x14ac:dyDescent="0.25">
      <c r="A30" s="15">
        <v>25</v>
      </c>
      <c r="B30" s="9">
        <f>(1*G64)</f>
        <v>1</v>
      </c>
      <c r="C30" s="22" t="s">
        <v>93</v>
      </c>
      <c r="D30" s="10" t="s">
        <v>23</v>
      </c>
      <c r="E30" s="9" t="s">
        <v>179</v>
      </c>
      <c r="F30" s="9" t="s">
        <v>180</v>
      </c>
      <c r="G30" s="12">
        <f>IF(B30&lt;=9,0.1,IF(B30&lt;=99,0.021,IF(B30&lt;=999,0.009)))</f>
        <v>0.1</v>
      </c>
      <c r="H30" s="12">
        <f t="shared" si="0"/>
        <v>0.1</v>
      </c>
      <c r="I30" s="10" t="s">
        <v>228</v>
      </c>
      <c r="J30" s="13" t="s">
        <v>129</v>
      </c>
      <c r="K30" s="10" t="s">
        <v>13</v>
      </c>
      <c r="R30" s="2" t="s">
        <v>153</v>
      </c>
    </row>
    <row r="31" spans="1:18" x14ac:dyDescent="0.25">
      <c r="A31" s="15">
        <v>26</v>
      </c>
      <c r="B31" s="9">
        <f>(1*G64)</f>
        <v>1</v>
      </c>
      <c r="C31" s="22" t="s">
        <v>94</v>
      </c>
      <c r="D31" s="10" t="s">
        <v>133</v>
      </c>
      <c r="E31" s="9" t="s">
        <v>175</v>
      </c>
      <c r="F31" s="9" t="s">
        <v>176</v>
      </c>
      <c r="G31" s="12">
        <f>IF(B31&lt;=9,0.1,IF(B31&lt;=99,0.044,IF(B31&lt;=499,0.026)))</f>
        <v>0.1</v>
      </c>
      <c r="H31" s="12">
        <f t="shared" si="0"/>
        <v>0.1</v>
      </c>
      <c r="I31" s="10" t="s">
        <v>229</v>
      </c>
      <c r="J31" s="13" t="s">
        <v>22</v>
      </c>
      <c r="K31" s="10" t="s">
        <v>13</v>
      </c>
      <c r="R31" s="2" t="s">
        <v>153</v>
      </c>
    </row>
    <row r="32" spans="1:18" x14ac:dyDescent="0.25">
      <c r="A32" s="15">
        <v>27</v>
      </c>
      <c r="B32" s="9">
        <f>(1*G64)</f>
        <v>1</v>
      </c>
      <c r="C32" s="22" t="s">
        <v>95</v>
      </c>
      <c r="D32" s="10" t="s">
        <v>133</v>
      </c>
      <c r="E32" s="9" t="s">
        <v>177</v>
      </c>
      <c r="F32" s="9" t="s">
        <v>178</v>
      </c>
      <c r="G32" s="12">
        <f>IF(B32&lt;=9,0.1,IF(B32&lt;=99,0.044,IF(B32&lt;=499,0.026)))</f>
        <v>0.1</v>
      </c>
      <c r="H32" s="12">
        <f t="shared" si="0"/>
        <v>0.1</v>
      </c>
      <c r="I32" s="10" t="s">
        <v>230</v>
      </c>
      <c r="J32" s="13" t="s">
        <v>22</v>
      </c>
      <c r="K32" s="10" t="s">
        <v>13</v>
      </c>
    </row>
    <row r="33" spans="1:18" x14ac:dyDescent="0.25">
      <c r="A33" s="15">
        <v>28</v>
      </c>
      <c r="B33" s="9">
        <f>(3*G64)</f>
        <v>3</v>
      </c>
      <c r="C33" s="22" t="s">
        <v>96</v>
      </c>
      <c r="D33" s="10" t="s">
        <v>184</v>
      </c>
      <c r="E33" s="9" t="s">
        <v>185</v>
      </c>
      <c r="F33" s="9" t="s">
        <v>186</v>
      </c>
      <c r="G33" s="12">
        <f>IF(B33&lt;=9,0.1,IF(B33&lt;=99,0.043,IF(B33&lt;=499,0.03)))</f>
        <v>0.1</v>
      </c>
      <c r="H33" s="12">
        <f t="shared" si="0"/>
        <v>0.30000000000000004</v>
      </c>
      <c r="I33" s="10" t="s">
        <v>236</v>
      </c>
      <c r="J33" s="13" t="s">
        <v>130</v>
      </c>
      <c r="K33" s="10" t="s">
        <v>13</v>
      </c>
      <c r="R33" s="2" t="s">
        <v>153</v>
      </c>
    </row>
    <row r="34" spans="1:18" x14ac:dyDescent="0.25">
      <c r="A34" s="15">
        <v>29</v>
      </c>
      <c r="B34" s="9">
        <f>(5*G64)</f>
        <v>5</v>
      </c>
      <c r="C34" s="22" t="s">
        <v>97</v>
      </c>
      <c r="D34" s="10" t="s">
        <v>184</v>
      </c>
      <c r="E34" s="9" t="s">
        <v>198</v>
      </c>
      <c r="F34" s="9" t="s">
        <v>199</v>
      </c>
      <c r="G34" s="12">
        <f>IF(B34&lt;=9,0.1,IF(B34&lt;=99,0.019,IF(B34&lt;=499,0.013)))</f>
        <v>0.1</v>
      </c>
      <c r="H34" s="12">
        <f>(B34*G34)</f>
        <v>0.5</v>
      </c>
      <c r="I34" s="10" t="s">
        <v>237</v>
      </c>
      <c r="J34" s="13" t="s">
        <v>22</v>
      </c>
      <c r="K34" s="10" t="s">
        <v>13</v>
      </c>
      <c r="R34" s="2" t="s">
        <v>153</v>
      </c>
    </row>
    <row r="35" spans="1:18" x14ac:dyDescent="0.25">
      <c r="A35" s="15">
        <v>30</v>
      </c>
      <c r="B35" s="9">
        <f>(2*G64)</f>
        <v>2</v>
      </c>
      <c r="C35" s="22" t="s">
        <v>98</v>
      </c>
      <c r="D35" s="10" t="s">
        <v>192</v>
      </c>
      <c r="E35" s="34" t="s">
        <v>200</v>
      </c>
      <c r="F35" s="9" t="s">
        <v>201</v>
      </c>
      <c r="G35" s="12">
        <f>IF(B35&lt;=9,0.04,IF(B35&lt;=24,0.03,IF(B35&lt;=99,0.02)))</f>
        <v>0.04</v>
      </c>
      <c r="H35" s="12">
        <f t="shared" si="0"/>
        <v>0.08</v>
      </c>
      <c r="I35" s="10" t="s">
        <v>238</v>
      </c>
      <c r="J35" s="13" t="s">
        <v>22</v>
      </c>
      <c r="K35" s="10" t="s">
        <v>13</v>
      </c>
    </row>
    <row r="36" spans="1:18" x14ac:dyDescent="0.25">
      <c r="A36" s="15">
        <v>31</v>
      </c>
      <c r="B36" s="9">
        <f>(1*G64)</f>
        <v>1</v>
      </c>
      <c r="C36" s="22" t="s">
        <v>99</v>
      </c>
      <c r="D36" s="10" t="s">
        <v>188</v>
      </c>
      <c r="E36" s="9" t="s">
        <v>202</v>
      </c>
      <c r="F36" s="9" t="s">
        <v>203</v>
      </c>
      <c r="G36" s="12">
        <f>IF(B36&lt;=9,0.04,IF(B36&lt;=49,0.027,IF(B36&lt;=499,0.022)))</f>
        <v>0.04</v>
      </c>
      <c r="H36" s="12">
        <f t="shared" si="0"/>
        <v>0.04</v>
      </c>
      <c r="I36" s="10" t="s">
        <v>239</v>
      </c>
      <c r="J36" s="13" t="s">
        <v>22</v>
      </c>
      <c r="K36" s="10" t="s">
        <v>13</v>
      </c>
    </row>
    <row r="37" spans="1:18" x14ac:dyDescent="0.25">
      <c r="A37" s="15">
        <v>32</v>
      </c>
      <c r="B37" s="9">
        <f>(1*G64)</f>
        <v>1</v>
      </c>
      <c r="C37" s="22" t="s">
        <v>100</v>
      </c>
      <c r="D37" s="10" t="s">
        <v>193</v>
      </c>
      <c r="E37" s="9" t="s">
        <v>204</v>
      </c>
      <c r="F37" s="9" t="s">
        <v>205</v>
      </c>
      <c r="G37" s="12">
        <f>IF(B37&lt;=9,0.06,IF(B37&lt;=49,0.05,IF(B37&lt;=99,0.04)))</f>
        <v>0.06</v>
      </c>
      <c r="H37" s="12">
        <f t="shared" si="0"/>
        <v>0.06</v>
      </c>
      <c r="I37" s="10" t="s">
        <v>240</v>
      </c>
      <c r="J37" s="13" t="s">
        <v>22</v>
      </c>
      <c r="K37" s="10" t="s">
        <v>13</v>
      </c>
    </row>
    <row r="38" spans="1:18" x14ac:dyDescent="0.25">
      <c r="A38" s="15">
        <v>33</v>
      </c>
      <c r="B38" s="9">
        <f>(4*G64)</f>
        <v>4</v>
      </c>
      <c r="C38" s="22" t="s">
        <v>101</v>
      </c>
      <c r="D38" s="10" t="s">
        <v>188</v>
      </c>
      <c r="E38" s="9" t="s">
        <v>202</v>
      </c>
      <c r="F38" s="9" t="s">
        <v>203</v>
      </c>
      <c r="G38" s="12">
        <f t="shared" ref="G19:G45" si="1">IF(B38&lt;=9,0.08,IF(B38&lt;=99,0.009,IF(B38&lt;=999,0.004)))</f>
        <v>0.08</v>
      </c>
      <c r="H38" s="12">
        <f t="shared" si="0"/>
        <v>0.32</v>
      </c>
      <c r="I38" s="10" t="s">
        <v>235</v>
      </c>
      <c r="J38" s="13" t="s">
        <v>22</v>
      </c>
      <c r="K38" s="10" t="s">
        <v>13</v>
      </c>
    </row>
    <row r="39" spans="1:18" x14ac:dyDescent="0.25">
      <c r="A39" s="15">
        <v>34</v>
      </c>
      <c r="B39" s="9">
        <f>(4*G64)</f>
        <v>4</v>
      </c>
      <c r="C39" s="22" t="s">
        <v>102</v>
      </c>
      <c r="D39" s="10" t="s">
        <v>188</v>
      </c>
      <c r="E39" s="9" t="s">
        <v>187</v>
      </c>
      <c r="F39" s="9" t="s">
        <v>189</v>
      </c>
      <c r="G39" s="12">
        <f>IF(B39&lt;=9,0.2,IF(B39&lt;=24,0.188,IF(B39&lt;=49,0.18)))</f>
        <v>0.2</v>
      </c>
      <c r="H39" s="12">
        <f>(B39*G39)</f>
        <v>0.8</v>
      </c>
      <c r="I39" s="10" t="s">
        <v>241</v>
      </c>
      <c r="J39" s="13" t="s">
        <v>130</v>
      </c>
      <c r="K39" s="10" t="s">
        <v>13</v>
      </c>
    </row>
    <row r="40" spans="1:18" x14ac:dyDescent="0.25">
      <c r="A40" s="15">
        <v>35</v>
      </c>
      <c r="B40" s="9">
        <f>(1*G64)</f>
        <v>1</v>
      </c>
      <c r="C40" s="22" t="s">
        <v>103</v>
      </c>
      <c r="D40" s="10" t="s">
        <v>192</v>
      </c>
      <c r="E40" s="34" t="s">
        <v>190</v>
      </c>
      <c r="F40" s="9" t="s">
        <v>191</v>
      </c>
      <c r="G40" s="12">
        <f>IF(B40&lt;=9,0.07,IF(B40&lt;=49,0.05,IF(B40&lt;=249,0.004)))</f>
        <v>7.0000000000000007E-2</v>
      </c>
      <c r="H40" s="12">
        <f t="shared" si="0"/>
        <v>7.0000000000000007E-2</v>
      </c>
      <c r="I40" s="10" t="s">
        <v>235</v>
      </c>
      <c r="J40" s="13" t="s">
        <v>130</v>
      </c>
      <c r="K40" s="10" t="s">
        <v>13</v>
      </c>
    </row>
    <row r="41" spans="1:18" x14ac:dyDescent="0.25">
      <c r="A41" s="15">
        <v>36</v>
      </c>
      <c r="B41" s="9">
        <f>(1*G64)</f>
        <v>1</v>
      </c>
      <c r="C41" s="22" t="s">
        <v>104</v>
      </c>
      <c r="D41" s="10" t="s">
        <v>193</v>
      </c>
      <c r="E41" s="9" t="s">
        <v>194</v>
      </c>
      <c r="F41" s="9" t="s">
        <v>195</v>
      </c>
      <c r="G41" s="12">
        <f>IF(B41&lt;=9,0.1,IF(B41&lt;=49,0.043,IF(B41&lt;=499,0.036)))</f>
        <v>0.1</v>
      </c>
      <c r="H41" s="12">
        <f t="shared" si="0"/>
        <v>0.1</v>
      </c>
      <c r="I41" s="10" t="s">
        <v>242</v>
      </c>
      <c r="J41" s="13" t="s">
        <v>130</v>
      </c>
      <c r="K41" s="10" t="s">
        <v>13</v>
      </c>
    </row>
    <row r="42" spans="1:18" x14ac:dyDescent="0.25">
      <c r="A42" s="15">
        <v>37</v>
      </c>
      <c r="B42" s="9">
        <f>(1*G64)</f>
        <v>1</v>
      </c>
      <c r="C42" s="22" t="s">
        <v>105</v>
      </c>
      <c r="D42" s="10" t="s">
        <v>192</v>
      </c>
      <c r="E42" s="34" t="s">
        <v>206</v>
      </c>
      <c r="F42" s="9" t="s">
        <v>207</v>
      </c>
      <c r="G42" s="12">
        <f>IF(B42&lt;=24,0.05,IF(B42&lt;=49,0.04,IF(B42&lt;=499,0.03)))</f>
        <v>0.05</v>
      </c>
      <c r="H42" s="12">
        <f t="shared" si="0"/>
        <v>0.05</v>
      </c>
      <c r="I42" s="10" t="s">
        <v>243</v>
      </c>
      <c r="J42" s="13" t="s">
        <v>22</v>
      </c>
      <c r="K42" s="10" t="s">
        <v>13</v>
      </c>
    </row>
    <row r="43" spans="1:18" x14ac:dyDescent="0.25">
      <c r="A43" s="15">
        <v>38</v>
      </c>
      <c r="B43" s="9">
        <f>(2*G64)</f>
        <v>2</v>
      </c>
      <c r="C43" s="22" t="s">
        <v>106</v>
      </c>
      <c r="D43" s="10" t="s">
        <v>193</v>
      </c>
      <c r="E43" s="9" t="s">
        <v>210</v>
      </c>
      <c r="F43" s="9" t="s">
        <v>211</v>
      </c>
      <c r="G43" s="12">
        <f>IF(B43&lt;=9,0.1,IF(B43&lt;=99,0.049,IF(B43&lt;=499,0.042)))</f>
        <v>0.1</v>
      </c>
      <c r="H43" s="12">
        <f t="shared" si="0"/>
        <v>0.2</v>
      </c>
      <c r="I43" s="10" t="s">
        <v>236</v>
      </c>
      <c r="J43" s="13" t="s">
        <v>129</v>
      </c>
      <c r="K43" s="10" t="s">
        <v>13</v>
      </c>
    </row>
    <row r="44" spans="1:18" x14ac:dyDescent="0.25">
      <c r="A44" s="15">
        <v>39</v>
      </c>
      <c r="B44" s="9">
        <f>(1*G64)</f>
        <v>1</v>
      </c>
      <c r="C44" s="22" t="s">
        <v>107</v>
      </c>
      <c r="D44" s="10" t="s">
        <v>193</v>
      </c>
      <c r="E44" s="9" t="s">
        <v>196</v>
      </c>
      <c r="F44" s="9" t="s">
        <v>197</v>
      </c>
      <c r="G44" s="12">
        <f>IF(B44&lt;=9,0.1,IF(B44&lt;=49,0.036,IF(B44&lt;=99,0.03)))</f>
        <v>0.1</v>
      </c>
      <c r="H44" s="12">
        <f t="shared" si="0"/>
        <v>0.1</v>
      </c>
      <c r="I44" s="10" t="s">
        <v>244</v>
      </c>
      <c r="J44" s="13" t="s">
        <v>130</v>
      </c>
      <c r="K44" s="10" t="s">
        <v>13</v>
      </c>
    </row>
    <row r="45" spans="1:18" x14ac:dyDescent="0.25">
      <c r="A45" s="15">
        <v>40</v>
      </c>
      <c r="B45" s="9">
        <f>(2*G64)</f>
        <v>2</v>
      </c>
      <c r="C45" s="22" t="s">
        <v>108</v>
      </c>
      <c r="D45" s="10" t="s">
        <v>184</v>
      </c>
      <c r="E45" s="9" t="s">
        <v>208</v>
      </c>
      <c r="F45" s="9" t="s">
        <v>209</v>
      </c>
      <c r="G45" s="12">
        <f>IF(B45&lt;=9,0.13,IF(B45&lt;=99,0.054,IF(B45&lt;=499,0.037)))</f>
        <v>0.13</v>
      </c>
      <c r="H45" s="12">
        <f t="shared" si="0"/>
        <v>0.26</v>
      </c>
      <c r="I45" s="10" t="s">
        <v>236</v>
      </c>
      <c r="J45" s="13" t="s">
        <v>22</v>
      </c>
      <c r="K45" s="10" t="s">
        <v>13</v>
      </c>
    </row>
    <row r="46" spans="1:18" x14ac:dyDescent="0.25">
      <c r="A46" s="15">
        <v>41</v>
      </c>
      <c r="B46" s="9">
        <f>(2*G64)</f>
        <v>2</v>
      </c>
      <c r="C46" s="22" t="s">
        <v>71</v>
      </c>
      <c r="D46" s="21" t="s">
        <v>23</v>
      </c>
      <c r="E46" s="9" t="s">
        <v>26</v>
      </c>
      <c r="F46" s="10" t="s">
        <v>27</v>
      </c>
      <c r="G46" s="12">
        <f>IF(B46&lt;=9,0.33,IF(B46&lt;=99,0.173,IF(B46&lt;=499,0.113)))</f>
        <v>0.33</v>
      </c>
      <c r="H46" s="12">
        <f t="shared" si="0"/>
        <v>0.66</v>
      </c>
      <c r="I46" s="10" t="s">
        <v>28</v>
      </c>
      <c r="J46" s="10" t="s">
        <v>29</v>
      </c>
      <c r="K46" s="10" t="s">
        <v>13</v>
      </c>
      <c r="L46" t="s">
        <v>30</v>
      </c>
    </row>
    <row r="47" spans="1:18" x14ac:dyDescent="0.25">
      <c r="A47" s="15">
        <v>42</v>
      </c>
      <c r="B47" s="9">
        <f>(1*G64)</f>
        <v>1</v>
      </c>
      <c r="C47" s="9" t="s">
        <v>109</v>
      </c>
      <c r="D47" s="10" t="s">
        <v>219</v>
      </c>
      <c r="E47" s="9" t="s">
        <v>218</v>
      </c>
      <c r="F47" s="9" t="s">
        <v>217</v>
      </c>
      <c r="G47" s="12">
        <f>IF(B47&lt;=9,2.25,IF(B47&lt;=99,2.06,IF(B47&lt;=199,1.67)))</f>
        <v>2.25</v>
      </c>
      <c r="H47" s="12">
        <f t="shared" si="0"/>
        <v>2.25</v>
      </c>
      <c r="I47" s="10" t="s">
        <v>220</v>
      </c>
      <c r="J47" s="34"/>
      <c r="K47" s="23" t="s">
        <v>131</v>
      </c>
      <c r="L47" t="s">
        <v>245</v>
      </c>
    </row>
    <row r="48" spans="1:18" x14ac:dyDescent="0.25">
      <c r="A48" s="15">
        <v>43</v>
      </c>
      <c r="B48" s="9">
        <f>(1*G64)</f>
        <v>1</v>
      </c>
      <c r="C48" s="10" t="s">
        <v>20</v>
      </c>
      <c r="D48" s="10" t="s">
        <v>24</v>
      </c>
      <c r="E48" s="9" t="s">
        <v>53</v>
      </c>
      <c r="F48" s="9" t="s">
        <v>52</v>
      </c>
      <c r="G48" s="12">
        <f>IF(B48&lt;=9,0.47,IF(B48&lt;=99,0.338,IF(B48&lt;=249,0.312)))</f>
        <v>0.47</v>
      </c>
      <c r="H48" s="12">
        <f t="shared" ref="H48:H53" si="2">B48*G48</f>
        <v>0.47</v>
      </c>
      <c r="I48" s="10" t="s">
        <v>51</v>
      </c>
      <c r="J48" s="13" t="s">
        <v>50</v>
      </c>
      <c r="K48" s="10" t="s">
        <v>13</v>
      </c>
      <c r="L48" t="s">
        <v>68</v>
      </c>
    </row>
    <row r="49" spans="1:12" x14ac:dyDescent="0.25">
      <c r="A49" s="15">
        <v>44</v>
      </c>
      <c r="B49" s="9">
        <f>(1*G64)</f>
        <v>1</v>
      </c>
      <c r="C49" s="10" t="s">
        <v>43</v>
      </c>
      <c r="D49" s="10" t="s">
        <v>24</v>
      </c>
      <c r="E49" s="9" t="s">
        <v>45</v>
      </c>
      <c r="F49" s="9" t="s">
        <v>46</v>
      </c>
      <c r="G49" s="12">
        <f>IF(B49&lt;=9,0.58,IF(B49&lt;=99,0.416,IF(B49&lt;=249,0.384)))</f>
        <v>0.57999999999999996</v>
      </c>
      <c r="H49" s="12">
        <f t="shared" si="2"/>
        <v>0.57999999999999996</v>
      </c>
      <c r="I49" s="10" t="s">
        <v>48</v>
      </c>
      <c r="J49" s="13" t="s">
        <v>49</v>
      </c>
      <c r="K49" s="10" t="s">
        <v>13</v>
      </c>
      <c r="L49" t="s">
        <v>47</v>
      </c>
    </row>
    <row r="50" spans="1:12" x14ac:dyDescent="0.25">
      <c r="A50" s="15">
        <v>45</v>
      </c>
      <c r="B50" s="9">
        <f>(1*G64)</f>
        <v>1</v>
      </c>
      <c r="C50" s="10" t="s">
        <v>44</v>
      </c>
      <c r="D50" s="10" t="s">
        <v>24</v>
      </c>
      <c r="E50" s="9" t="s">
        <v>65</v>
      </c>
      <c r="F50" s="10" t="s">
        <v>66</v>
      </c>
      <c r="G50" s="12">
        <f>IF(B50&lt;=9,1.18,IF(B50&lt;=49,1.03,IF(B50&lt;=99,0.888)))</f>
        <v>1.18</v>
      </c>
      <c r="H50" s="12">
        <f t="shared" si="2"/>
        <v>1.18</v>
      </c>
      <c r="I50" s="10" t="s">
        <v>69</v>
      </c>
      <c r="J50" s="13" t="s">
        <v>70</v>
      </c>
      <c r="K50" s="10" t="s">
        <v>13</v>
      </c>
      <c r="L50" t="s">
        <v>67</v>
      </c>
    </row>
    <row r="51" spans="1:12" x14ac:dyDescent="0.25">
      <c r="A51" s="15">
        <v>46</v>
      </c>
      <c r="B51" s="9">
        <f>(3*G64)</f>
        <v>3</v>
      </c>
      <c r="C51" s="21" t="s">
        <v>16</v>
      </c>
      <c r="D51" s="10" t="s">
        <v>60</v>
      </c>
      <c r="E51" s="9" t="s">
        <v>61</v>
      </c>
      <c r="F51" s="9" t="s">
        <v>62</v>
      </c>
      <c r="G51" s="12">
        <f>IF(B51&lt;=9,0.13,IF(B51&lt;=99,0.079,IF(B51&lt;=999,0.065)))</f>
        <v>0.13</v>
      </c>
      <c r="H51" s="12">
        <f t="shared" si="2"/>
        <v>0.39</v>
      </c>
      <c r="I51" s="10" t="s">
        <v>63</v>
      </c>
      <c r="J51" s="13" t="s">
        <v>22</v>
      </c>
      <c r="K51" s="10" t="s">
        <v>13</v>
      </c>
      <c r="L51" t="s">
        <v>64</v>
      </c>
    </row>
    <row r="52" spans="1:12" x14ac:dyDescent="0.25">
      <c r="A52" s="15">
        <v>47</v>
      </c>
      <c r="B52" s="25">
        <f>(1*G64)</f>
        <v>1</v>
      </c>
      <c r="C52" s="28" t="s">
        <v>18</v>
      </c>
      <c r="D52" s="26" t="s">
        <v>54</v>
      </c>
      <c r="E52" s="25" t="s">
        <v>55</v>
      </c>
      <c r="F52" s="25" t="s">
        <v>56</v>
      </c>
      <c r="G52" s="27">
        <f>IF(B51&lt;=9,0.46,IF(B51&lt;=99,0.386,IF(B51&lt;=999,0.235)))</f>
        <v>0.46</v>
      </c>
      <c r="H52" s="27">
        <f t="shared" si="2"/>
        <v>0.46</v>
      </c>
      <c r="I52" s="26" t="s">
        <v>57</v>
      </c>
      <c r="J52" s="26" t="s">
        <v>59</v>
      </c>
      <c r="K52" s="26" t="s">
        <v>13</v>
      </c>
      <c r="L52" t="s">
        <v>58</v>
      </c>
    </row>
    <row r="53" spans="1:12" x14ac:dyDescent="0.25">
      <c r="A53" s="15">
        <v>48</v>
      </c>
      <c r="B53" s="9">
        <f>(1*G64)</f>
        <v>1</v>
      </c>
      <c r="C53" s="21" t="s">
        <v>37</v>
      </c>
      <c r="D53" s="10" t="s">
        <v>123</v>
      </c>
      <c r="E53" s="9"/>
      <c r="F53" s="9"/>
      <c r="G53" s="32">
        <f>39.7/3</f>
        <v>13.233333333333334</v>
      </c>
      <c r="H53" s="12">
        <f t="shared" si="2"/>
        <v>13.233333333333334</v>
      </c>
      <c r="I53" s="10" t="s">
        <v>124</v>
      </c>
      <c r="J53" s="9"/>
      <c r="K53" s="10" t="s">
        <v>132</v>
      </c>
    </row>
    <row r="56" spans="1:12" x14ac:dyDescent="0.25">
      <c r="H56" s="8"/>
    </row>
    <row r="64" spans="1:12" x14ac:dyDescent="0.25">
      <c r="F64" s="20" t="s">
        <v>15</v>
      </c>
      <c r="G64" s="1">
        <v>1</v>
      </c>
      <c r="H64" s="7" t="s">
        <v>145</v>
      </c>
    </row>
    <row r="65" spans="8:8" x14ac:dyDescent="0.25">
      <c r="H65" s="6">
        <f>SUM(H6:H52)</f>
        <v>27.850000000000019</v>
      </c>
    </row>
    <row r="66" spans="8:8" x14ac:dyDescent="0.25">
      <c r="H66" s="5" t="s">
        <v>25</v>
      </c>
    </row>
    <row r="67" spans="8:8" x14ac:dyDescent="0.25">
      <c r="H67" s="6">
        <f>SUM(H53:H53)</f>
        <v>13.233333333333334</v>
      </c>
    </row>
    <row r="69" spans="8:8" x14ac:dyDescent="0.25">
      <c r="H69" s="5" t="s">
        <v>12</v>
      </c>
    </row>
    <row r="70" spans="8:8" x14ac:dyDescent="0.25">
      <c r="H70" s="6">
        <f>SUM(H65+H67)</f>
        <v>41.083333333333357</v>
      </c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2017-01-02T20:25:22Z</dcterms:modified>
</cp:coreProperties>
</file>