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Longboard_Headlights\"/>
    </mc:Choice>
  </mc:AlternateContent>
  <bookViews>
    <workbookView xWindow="0" yWindow="0" windowWidth="21600" windowHeight="10905" xr2:uid="{00000000-000D-0000-FFFF-FFFF00000000}"/>
  </bookViews>
  <sheets>
    <sheet name="Turnkey" sheetId="2" r:id="rId1"/>
  </sheets>
  <definedNames>
    <definedName name="_xlnm.Print_Area" localSheetId="0">Turnkey!$A$1:$L$18</definedName>
  </definedNames>
  <calcPr calcId="171027"/>
</workbook>
</file>

<file path=xl/calcChain.xml><?xml version="1.0" encoding="utf-8"?>
<calcChain xmlns="http://schemas.openxmlformats.org/spreadsheetml/2006/main">
  <c r="H22" i="2" l="1"/>
  <c r="C20" i="2" l="1"/>
  <c r="H20" i="2" s="1"/>
  <c r="I20" i="2" s="1"/>
  <c r="C16" i="2"/>
  <c r="H16" i="2" s="1"/>
  <c r="C15" i="2"/>
  <c r="C14" i="2"/>
  <c r="C13" i="2"/>
  <c r="H13" i="2" s="1"/>
  <c r="C19" i="2"/>
  <c r="H19" i="2" s="1"/>
  <c r="I19" i="2" s="1"/>
  <c r="C9" i="2"/>
  <c r="H9" i="2" s="1"/>
  <c r="C7" i="2"/>
  <c r="H7" i="2" s="1"/>
  <c r="C8" i="2"/>
  <c r="H8" i="2" s="1"/>
  <c r="H14" i="2" l="1"/>
  <c r="I14" i="2" s="1"/>
  <c r="I16" i="2"/>
  <c r="H15" i="2"/>
  <c r="I15" i="2" s="1"/>
  <c r="I9" i="2"/>
  <c r="I8" i="2"/>
  <c r="I7" i="2"/>
  <c r="I13" i="2"/>
  <c r="C23" i="2"/>
  <c r="H23" i="2" l="1"/>
  <c r="I23" i="2" s="1"/>
  <c r="C10" i="2"/>
  <c r="C18" i="2"/>
  <c r="H18" i="2" s="1"/>
  <c r="I18" i="2" s="1"/>
  <c r="C21" i="2"/>
  <c r="H21" i="2" s="1"/>
  <c r="I21" i="2" s="1"/>
  <c r="C22" i="2"/>
  <c r="C12" i="2"/>
  <c r="C24" i="2"/>
  <c r="C11" i="2"/>
  <c r="C25" i="2"/>
  <c r="C26" i="2"/>
  <c r="I26" i="2" s="1"/>
  <c r="C6" i="2"/>
  <c r="H6" i="2" s="1"/>
  <c r="I6" i="2" s="1"/>
  <c r="H10" i="2"/>
  <c r="I10" i="2" l="1"/>
  <c r="H17" i="2"/>
  <c r="I17" i="2" s="1"/>
  <c r="H24" i="2"/>
  <c r="I24" i="2" s="1"/>
  <c r="H25" i="2"/>
  <c r="I25" i="2" s="1"/>
  <c r="H12" i="2"/>
  <c r="I12" i="2" s="1"/>
  <c r="I22" i="2"/>
  <c r="H11" i="2"/>
  <c r="I11" i="2" s="1"/>
  <c r="I36" i="2"/>
  <c r="I33" i="2" l="1"/>
  <c r="I30" i="2"/>
  <c r="I39" i="2" l="1"/>
</calcChain>
</file>

<file path=xl/sharedStrings.xml><?xml version="1.0" encoding="utf-8"?>
<sst xmlns="http://schemas.openxmlformats.org/spreadsheetml/2006/main" count="165" uniqueCount="129">
  <si>
    <t>Description</t>
  </si>
  <si>
    <t>Ref Des</t>
  </si>
  <si>
    <t>Type</t>
  </si>
  <si>
    <t>Item #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</si>
  <si>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</si>
  <si>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</si>
  <si>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</si>
  <si>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</si>
  <si>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</si>
  <si>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</si>
  <si>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</si>
  <si>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</si>
  <si>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SMD</t>
  </si>
  <si>
    <t>Board Multiplier:</t>
  </si>
  <si>
    <t xml:space="preserve">                 Bill of Materials (BOM) - LongboardLights</t>
  </si>
  <si>
    <t>Diodes Inc</t>
  </si>
  <si>
    <t>Cree Inc</t>
  </si>
  <si>
    <t>Q1</t>
  </si>
  <si>
    <t>Red LED</t>
  </si>
  <si>
    <t>941-XPCREDL1R250201</t>
  </si>
  <si>
    <t>SMD-2</t>
  </si>
  <si>
    <t>R1</t>
  </si>
  <si>
    <t>R2</t>
  </si>
  <si>
    <t>L1</t>
  </si>
  <si>
    <t>4.7uF Capacitor</t>
  </si>
  <si>
    <t>0603</t>
  </si>
  <si>
    <t>0805</t>
  </si>
  <si>
    <t>Headlight Total:</t>
  </si>
  <si>
    <t>Taillight Total:</t>
  </si>
  <si>
    <t>Schottky Diode</t>
  </si>
  <si>
    <t>PCB Total:</t>
  </si>
  <si>
    <t>PCB</t>
  </si>
  <si>
    <r>
      <rPr>
        <sz val="10"/>
        <color rgb="FF00B050"/>
        <rFont val="Arial"/>
        <family val="2"/>
      </rPr>
      <t xml:space="preserve">Green </t>
    </r>
    <r>
      <rPr>
        <sz val="10"/>
        <rFont val="Arial"/>
        <family val="2"/>
      </rPr>
      <t xml:space="preserve">- Forward Lighting, </t>
    </r>
    <r>
      <rPr>
        <sz val="10"/>
        <color rgb="FF00B0F0"/>
        <rFont val="Arial"/>
        <family val="2"/>
      </rPr>
      <t xml:space="preserve">Blue </t>
    </r>
    <r>
      <rPr>
        <sz val="10"/>
        <rFont val="Arial"/>
        <family val="2"/>
      </rPr>
      <t>- Rear Lighting,</t>
    </r>
    <r>
      <rPr>
        <sz val="10"/>
        <color rgb="FFFFC000"/>
        <rFont val="Arial"/>
        <family val="2"/>
      </rPr>
      <t xml:space="preserve"> Orange</t>
    </r>
    <r>
      <rPr>
        <sz val="10"/>
        <rFont val="Arial"/>
        <family val="2"/>
      </rPr>
      <t xml:space="preserve"> - PCB</t>
    </r>
  </si>
  <si>
    <t>Oshpark</t>
  </si>
  <si>
    <t>LR8zDDeL</t>
  </si>
  <si>
    <t>10k ohm resistor</t>
  </si>
  <si>
    <t>XPGDWT-B1-0000-00LE1CT-ND</t>
  </si>
  <si>
    <t>XPGDWT-B1-0000-00LE1</t>
  </si>
  <si>
    <t>6500K White LED</t>
  </si>
  <si>
    <t>1414</t>
  </si>
  <si>
    <t>Board Qty</t>
  </si>
  <si>
    <t>Prod. Qty</t>
  </si>
  <si>
    <t>XPCRED-L1-R250-00201CT-ND</t>
  </si>
  <si>
    <t>Taiyo Yuden</t>
  </si>
  <si>
    <t>6mm x 6mm</t>
  </si>
  <si>
    <t>B1</t>
  </si>
  <si>
    <t>36-1043-ND</t>
  </si>
  <si>
    <t>Keystone Electronics</t>
  </si>
  <si>
    <t>DMN2040LTS-13</t>
  </si>
  <si>
    <t>MCP73833T-FCI/MF</t>
  </si>
  <si>
    <t>SS24FL</t>
  </si>
  <si>
    <t>U1</t>
  </si>
  <si>
    <t>U2</t>
  </si>
  <si>
    <t>U3</t>
  </si>
  <si>
    <t>0.1uF Capacitor</t>
  </si>
  <si>
    <t>10uF Capacitor</t>
  </si>
  <si>
    <t>J1</t>
  </si>
  <si>
    <t>Micro USB Port</t>
  </si>
  <si>
    <t>0.3 ohm Resistor</t>
  </si>
  <si>
    <t>R4</t>
  </si>
  <si>
    <t>R5</t>
  </si>
  <si>
    <t>R6</t>
  </si>
  <si>
    <t>2.2K Ohm Resistor</t>
  </si>
  <si>
    <t>330 Ohm Resistor</t>
  </si>
  <si>
    <t>20K Ohm Resistor</t>
  </si>
  <si>
    <t>1K Ohm Resistor</t>
  </si>
  <si>
    <t>Battery Holder</t>
  </si>
  <si>
    <t>Dual NMOS common drain</t>
  </si>
  <si>
    <t>Battery Charger IC</t>
  </si>
  <si>
    <t>Battery Protection IC</t>
  </si>
  <si>
    <t>SW1</t>
  </si>
  <si>
    <t>Power Button</t>
  </si>
  <si>
    <t>SS24FLCT-ND</t>
  </si>
  <si>
    <t>BQ29700DSER</t>
  </si>
  <si>
    <t>296-43985-1-ND</t>
  </si>
  <si>
    <t>http://www.ti.com/lit/ds/symlink/bq2971.pdf</t>
  </si>
  <si>
    <t>6-WFDFN</t>
  </si>
  <si>
    <t>Texas Instruments</t>
  </si>
  <si>
    <t>MCP73833T-FCI/MFCT-ND</t>
  </si>
  <si>
    <t>Microchip Technology</t>
  </si>
  <si>
    <t>http://www.ti.com/lit/ds/symlink/tps55330.pdf</t>
  </si>
  <si>
    <t>16-WFQFN</t>
  </si>
  <si>
    <t>http://www.microchip.com/mymicrochip/filehandler.aspx?ddocname=en027983</t>
  </si>
  <si>
    <t>10-DFN</t>
  </si>
  <si>
    <t>DMN2040LTS-13DICT-ND</t>
  </si>
  <si>
    <t>8-TSSOP</t>
  </si>
  <si>
    <t>https://www.diodes.com/assets/Datasheets/ds31941.pdf</t>
  </si>
  <si>
    <t>https://www.fairchildsemi.com/datasheets/SS/SS24FL.pdf</t>
  </si>
  <si>
    <t>SOD-123F</t>
  </si>
  <si>
    <t>http://www.cree.com/led-components/media/documents/dsXPG3.pdf</t>
  </si>
  <si>
    <t>ThruHole</t>
  </si>
  <si>
    <t>Samsung</t>
  </si>
  <si>
    <t>1276-1005-1-ND</t>
  </si>
  <si>
    <t>CL10B104KO8NNNC</t>
  </si>
  <si>
    <t>CL10A475KO8NNNC</t>
  </si>
  <si>
    <t>1276-1784-1-ND</t>
  </si>
  <si>
    <t>CL21A106KOQNNNG</t>
  </si>
  <si>
    <t>1276-6455-1-ND</t>
  </si>
  <si>
    <t>RUT1608FR300CS</t>
  </si>
  <si>
    <t>1276-6168-1-ND</t>
  </si>
  <si>
    <t>Yageo</t>
  </si>
  <si>
    <t>RC0603FR-0710KL</t>
  </si>
  <si>
    <t>311-10.0KHRCT-ND</t>
  </si>
  <si>
    <t>RC0603JR-072K2L</t>
  </si>
  <si>
    <t>311-2.2KGRCT-ND</t>
  </si>
  <si>
    <t>RC0603JR-07330RL</t>
  </si>
  <si>
    <t>311-330GRCT-ND</t>
  </si>
  <si>
    <t>RC0603FR-071KL</t>
  </si>
  <si>
    <t>311-1.00KHRCT-ND</t>
  </si>
  <si>
    <t>RC0603JR-0720KL</t>
  </si>
  <si>
    <t>311-20KGRCT-ND</t>
  </si>
  <si>
    <t>10118194-0001LF</t>
  </si>
  <si>
    <t>609-4618-1-ND</t>
  </si>
  <si>
    <t>Amphenol</t>
  </si>
  <si>
    <t>GPTS203212B</t>
  </si>
  <si>
    <t>CW182-ND</t>
  </si>
  <si>
    <t>CW Industries</t>
  </si>
  <si>
    <t>AP5724FDCG-7</t>
  </si>
  <si>
    <t>AP5724FDCGDICT-ND</t>
  </si>
  <si>
    <t>LED Driver IC</t>
  </si>
  <si>
    <t>D2,D3</t>
  </si>
  <si>
    <t>D1</t>
  </si>
  <si>
    <t>C1</t>
  </si>
  <si>
    <t>C2,C3</t>
  </si>
  <si>
    <t>C4</t>
  </si>
  <si>
    <t>22uH Inductor</t>
  </si>
  <si>
    <t>R3</t>
  </si>
  <si>
    <t>NRS4018T220MDGJ</t>
  </si>
  <si>
    <t>587-2889-1-ND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</si>
</sst>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rgb="FFFFC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6"/>
  <sheetViews>
    <sheetView tabSelected="1" topLeftCell="E3" zoomScale="85" zoomScaleNormal="85" workbookViewId="0">
      <selection activeCell="F7" sqref="F7"/>
    </sheetView>
  </sheetViews>
  <sheetFormatPr defaultColWidth="11.42578125" defaultRowHeight="12.75" x14ac:dyDescent="0.2"/>
  <cols>
    <col min="1" max="1" width="7.7109375" customWidth="1"/>
    <col min="2" max="2" width="9.42578125" bestFit="1" customWidth="1"/>
    <col min="3" max="3" width="9" style="1" bestFit="1" customWidth="1"/>
    <col min="4" max="4" width="62.85546875" customWidth="1"/>
    <col min="5" max="5" width="24" bestFit="1" customWidth="1"/>
    <col min="6" max="6" width="27.42578125" bestFit="1" customWidth="1"/>
    <col min="7" max="7" width="28.140625" bestFit="1" customWidth="1"/>
    <col min="8" max="8" width="14.5703125" customWidth="1"/>
    <col min="9" max="9" width="13.5703125" style="3" bestFit="1" customWidth="1"/>
    <col min="10" max="10" width="34.140625" customWidth="1"/>
    <col min="11" max="11" width="14.28515625" customWidth="1"/>
  </cols>
  <sheetData>
    <row r="1" spans="1:19" ht="18" x14ac:dyDescent="0.25">
      <c r="A1" s="33" t="s">
        <v>14</v>
      </c>
      <c r="B1" s="33"/>
      <c r="C1" s="33"/>
      <c r="D1" s="33"/>
      <c r="E1" s="33"/>
      <c r="F1" s="33"/>
      <c r="G1" s="33"/>
      <c r="H1" s="33"/>
      <c r="I1" s="33"/>
      <c r="J1" s="33"/>
    </row>
    <row r="2" spans="1:19" x14ac:dyDescent="0.2">
      <c r="D2" s="5" t="s">
        <v>32</v>
      </c>
      <c r="E2" s="1"/>
      <c r="F2" s="1"/>
      <c r="G2" s="1"/>
      <c r="H2" s="1"/>
      <c r="J2" s="4"/>
    </row>
    <row r="4" spans="1:19" x14ac:dyDescent="0.2">
      <c r="A4" s="10" t="s">
        <v>3</v>
      </c>
      <c r="B4" s="12" t="s">
        <v>40</v>
      </c>
      <c r="C4" s="12" t="s">
        <v>41</v>
      </c>
      <c r="D4" s="10" t="s">
        <v>1</v>
      </c>
      <c r="E4" s="10" t="s">
        <v>5</v>
      </c>
      <c r="F4" s="10" t="s">
        <v>6</v>
      </c>
      <c r="G4" s="10" t="s">
        <v>7</v>
      </c>
      <c r="H4" s="11" t="s">
        <v>8</v>
      </c>
      <c r="I4" s="12" t="s">
        <v>9</v>
      </c>
      <c r="J4" s="10" t="s">
        <v>0</v>
      </c>
      <c r="K4" s="10" t="s">
        <v>4</v>
      </c>
      <c r="L4" s="9" t="s">
        <v>2</v>
      </c>
      <c r="M4" s="6" t="s">
        <v>10</v>
      </c>
      <c r="S4" s="2"/>
    </row>
    <row r="5" spans="1:19" x14ac:dyDescent="0.2">
      <c r="A5" s="17"/>
      <c r="B5" s="17"/>
      <c r="C5" s="17"/>
      <c r="D5" s="17"/>
      <c r="E5" s="17"/>
      <c r="F5" s="17"/>
      <c r="G5" s="18"/>
      <c r="H5" s="17"/>
      <c r="I5" s="19"/>
      <c r="J5" s="17"/>
      <c r="K5" s="20"/>
      <c r="L5" s="20"/>
    </row>
    <row r="6" spans="1:19" x14ac:dyDescent="0.2">
      <c r="A6" s="16">
        <v>1</v>
      </c>
      <c r="B6" s="22">
        <v>1</v>
      </c>
      <c r="C6" s="28">
        <f>(B6*$H$29)</f>
        <v>1</v>
      </c>
      <c r="D6" s="12" t="s">
        <v>51</v>
      </c>
      <c r="E6" s="12" t="s">
        <v>77</v>
      </c>
      <c r="F6" s="12" t="s">
        <v>73</v>
      </c>
      <c r="G6" s="13" t="s">
        <v>74</v>
      </c>
      <c r="H6" s="14">
        <f>IF(C6&lt;=9,0.69,IF(C6&lt;=99,0.608,IF(C6&lt;=499,0.4665)))</f>
        <v>0.69</v>
      </c>
      <c r="I6" s="14">
        <f t="shared" ref="I6" si="0">(C6*H6)</f>
        <v>0.69</v>
      </c>
      <c r="J6" s="12" t="s">
        <v>69</v>
      </c>
      <c r="K6" s="29" t="s">
        <v>76</v>
      </c>
      <c r="L6" s="12" t="s">
        <v>12</v>
      </c>
      <c r="M6" t="s">
        <v>75</v>
      </c>
    </row>
    <row r="7" spans="1:19" x14ac:dyDescent="0.2">
      <c r="A7" s="16">
        <v>3</v>
      </c>
      <c r="B7" s="22">
        <v>1</v>
      </c>
      <c r="C7" s="28">
        <f>(B7*$H$29)</f>
        <v>1</v>
      </c>
      <c r="D7" s="12" t="s">
        <v>52</v>
      </c>
      <c r="E7" s="12" t="s">
        <v>79</v>
      </c>
      <c r="F7" s="12" t="s">
        <v>49</v>
      </c>
      <c r="G7" s="13" t="s">
        <v>78</v>
      </c>
      <c r="H7" s="14">
        <f>IF(C7&lt;=9,0.89,IF(C7&lt;=24,0.7456,IF(C7&lt;=99,0.6825)))</f>
        <v>0.89</v>
      </c>
      <c r="I7" s="14">
        <f t="shared" ref="I7:I26" si="1">(C7*H7)</f>
        <v>0.89</v>
      </c>
      <c r="J7" s="12" t="s">
        <v>68</v>
      </c>
      <c r="K7" s="29" t="s">
        <v>83</v>
      </c>
      <c r="L7" s="12" t="s">
        <v>12</v>
      </c>
      <c r="M7" t="s">
        <v>82</v>
      </c>
    </row>
    <row r="8" spans="1:19" x14ac:dyDescent="0.2">
      <c r="A8" s="16">
        <v>4</v>
      </c>
      <c r="B8" s="22">
        <v>1</v>
      </c>
      <c r="C8" s="28">
        <f>(B8*$H$29)</f>
        <v>1</v>
      </c>
      <c r="D8" s="12" t="s">
        <v>53</v>
      </c>
      <c r="E8" s="12" t="s">
        <v>15</v>
      </c>
      <c r="F8" s="12" t="s">
        <v>117</v>
      </c>
      <c r="G8" s="13" t="s">
        <v>118</v>
      </c>
      <c r="H8" s="14">
        <f>IF(C8&lt;=9,0.45,IF(C8&lt;=99,0.363,IF(C8&lt;=499,0.2472)))</f>
        <v>0.45</v>
      </c>
      <c r="I8" s="14">
        <f t="shared" si="1"/>
        <v>0.45</v>
      </c>
      <c r="J8" s="12" t="s">
        <v>119</v>
      </c>
      <c r="K8" s="29" t="s">
        <v>81</v>
      </c>
      <c r="L8" s="12" t="s">
        <v>12</v>
      </c>
      <c r="M8" t="s">
        <v>80</v>
      </c>
    </row>
    <row r="9" spans="1:19" x14ac:dyDescent="0.2">
      <c r="A9" s="16">
        <v>5</v>
      </c>
      <c r="B9" s="22">
        <v>1</v>
      </c>
      <c r="C9" s="28">
        <f>(B9*$H$29)</f>
        <v>1</v>
      </c>
      <c r="D9" s="12" t="s">
        <v>17</v>
      </c>
      <c r="E9" s="12" t="s">
        <v>15</v>
      </c>
      <c r="F9" s="12" t="s">
        <v>48</v>
      </c>
      <c r="G9" s="13" t="s">
        <v>84</v>
      </c>
      <c r="H9" s="14">
        <f>IF(C9&lt;=9,0.46,IF(C9&lt;=99,0.346,IF(C9&lt;=499,0.2153)))</f>
        <v>0.46</v>
      </c>
      <c r="I9" s="14">
        <f t="shared" si="1"/>
        <v>0.46</v>
      </c>
      <c r="J9" s="12" t="s">
        <v>67</v>
      </c>
      <c r="K9" s="29" t="s">
        <v>85</v>
      </c>
      <c r="L9" s="12" t="s">
        <v>12</v>
      </c>
      <c r="M9" t="s">
        <v>86</v>
      </c>
    </row>
    <row r="10" spans="1:19" x14ac:dyDescent="0.2">
      <c r="A10" s="16">
        <v>6</v>
      </c>
      <c r="B10" s="22">
        <v>2</v>
      </c>
      <c r="C10" s="28">
        <f>(B10*$H$29)</f>
        <v>2</v>
      </c>
      <c r="D10" s="12" t="s">
        <v>120</v>
      </c>
      <c r="E10" s="12" t="s">
        <v>16</v>
      </c>
      <c r="F10" s="12" t="s">
        <v>37</v>
      </c>
      <c r="G10" s="13" t="s">
        <v>36</v>
      </c>
      <c r="H10" s="14">
        <f>IF(C10&lt;=9,1.14,IF(C10&lt;=99,1.083,IF(C10&lt;=249,0.969)))</f>
        <v>1.1399999999999999</v>
      </c>
      <c r="I10" s="14">
        <f t="shared" si="1"/>
        <v>2.2799999999999998</v>
      </c>
      <c r="J10" s="12" t="s">
        <v>38</v>
      </c>
      <c r="K10" s="29" t="s">
        <v>39</v>
      </c>
      <c r="L10" s="12" t="s">
        <v>12</v>
      </c>
      <c r="M10" t="s">
        <v>89</v>
      </c>
    </row>
    <row r="11" spans="1:19" x14ac:dyDescent="0.2">
      <c r="A11" s="24">
        <v>6</v>
      </c>
      <c r="B11" s="22">
        <v>2</v>
      </c>
      <c r="C11" s="28">
        <f>(B11*$H$29)</f>
        <v>2</v>
      </c>
      <c r="D11" s="12" t="s">
        <v>120</v>
      </c>
      <c r="E11" s="12" t="s">
        <v>16</v>
      </c>
      <c r="F11" s="10" t="s">
        <v>42</v>
      </c>
      <c r="G11" s="10" t="s">
        <v>19</v>
      </c>
      <c r="H11" s="14">
        <f>IF(C11&lt;=9,1.22,IF(C11&lt;=99,1.159,IF(C11&gt;=100,1.037)))</f>
        <v>1.22</v>
      </c>
      <c r="I11" s="14">
        <f t="shared" si="1"/>
        <v>2.44</v>
      </c>
      <c r="J11" s="12" t="s">
        <v>18</v>
      </c>
      <c r="K11" s="29" t="s">
        <v>20</v>
      </c>
      <c r="L11" s="12" t="s">
        <v>12</v>
      </c>
    </row>
    <row r="12" spans="1:19" x14ac:dyDescent="0.2">
      <c r="A12" s="16">
        <v>7</v>
      </c>
      <c r="B12" s="22">
        <v>1</v>
      </c>
      <c r="C12" s="28">
        <f>(B12*$H$29)</f>
        <v>1</v>
      </c>
      <c r="D12" s="23" t="s">
        <v>121</v>
      </c>
      <c r="E12" s="22" t="s">
        <v>15</v>
      </c>
      <c r="F12" s="12" t="s">
        <v>50</v>
      </c>
      <c r="G12" s="10" t="s">
        <v>72</v>
      </c>
      <c r="H12" s="14">
        <f>IF(C12&lt;=9,0.39,IF(C12&lt;=99,0.293,IF(C12&lt;=499,0.166)))</f>
        <v>0.39</v>
      </c>
      <c r="I12" s="14">
        <f t="shared" si="1"/>
        <v>0.39</v>
      </c>
      <c r="J12" s="12" t="s">
        <v>29</v>
      </c>
      <c r="K12" s="30" t="s">
        <v>88</v>
      </c>
      <c r="L12" s="12" t="s">
        <v>12</v>
      </c>
      <c r="M12" t="s">
        <v>87</v>
      </c>
    </row>
    <row r="13" spans="1:19" x14ac:dyDescent="0.2">
      <c r="A13" s="16">
        <v>8</v>
      </c>
      <c r="B13" s="22">
        <v>1</v>
      </c>
      <c r="C13" s="28">
        <f>(B13*$H$29)</f>
        <v>1</v>
      </c>
      <c r="D13" s="23" t="s">
        <v>122</v>
      </c>
      <c r="E13" s="22" t="s">
        <v>91</v>
      </c>
      <c r="F13" s="10" t="s">
        <v>93</v>
      </c>
      <c r="G13" s="10" t="s">
        <v>92</v>
      </c>
      <c r="H13" s="14">
        <f>IF(C13&lt;=9,0.1,IF(C13&lt;=99,0.018,IF(C13&lt;=499,0.0079)))</f>
        <v>0.1</v>
      </c>
      <c r="I13" s="14">
        <f t="shared" si="1"/>
        <v>0.1</v>
      </c>
      <c r="J13" s="12" t="s">
        <v>54</v>
      </c>
      <c r="K13" s="29" t="s">
        <v>25</v>
      </c>
      <c r="L13" s="12" t="s">
        <v>12</v>
      </c>
    </row>
    <row r="14" spans="1:19" x14ac:dyDescent="0.2">
      <c r="A14" s="16">
        <v>9</v>
      </c>
      <c r="B14" s="22">
        <v>2</v>
      </c>
      <c r="C14" s="28">
        <f>(B14*$H$29)</f>
        <v>2</v>
      </c>
      <c r="D14" s="23" t="s">
        <v>123</v>
      </c>
      <c r="E14" s="22" t="s">
        <v>91</v>
      </c>
      <c r="F14" s="10" t="s">
        <v>94</v>
      </c>
      <c r="G14" s="10" t="s">
        <v>95</v>
      </c>
      <c r="H14" s="14">
        <f>IF(C14&lt;=9,0.26,IF(C14&lt;=99,0.178,IF(C14&lt;=499,0.101)))</f>
        <v>0.26</v>
      </c>
      <c r="I14" s="14">
        <f t="shared" si="1"/>
        <v>0.52</v>
      </c>
      <c r="J14" s="12" t="s">
        <v>24</v>
      </c>
      <c r="K14" s="29" t="s">
        <v>25</v>
      </c>
      <c r="L14" s="12" t="s">
        <v>12</v>
      </c>
    </row>
    <row r="15" spans="1:19" x14ac:dyDescent="0.2">
      <c r="A15" s="16">
        <v>11</v>
      </c>
      <c r="B15" s="22">
        <v>1</v>
      </c>
      <c r="C15" s="28">
        <f>(B15*$H$29)</f>
        <v>1</v>
      </c>
      <c r="D15" s="23" t="s">
        <v>124</v>
      </c>
      <c r="E15" s="22" t="s">
        <v>91</v>
      </c>
      <c r="F15" s="10" t="s">
        <v>96</v>
      </c>
      <c r="G15" s="10" t="s">
        <v>97</v>
      </c>
      <c r="H15" s="14">
        <f>IF(C15&lt;=9,0.13,IF(C15&lt;=99,0.094,IF(C15&lt;=499,0.0444)))</f>
        <v>0.13</v>
      </c>
      <c r="I15" s="14">
        <f t="shared" si="1"/>
        <v>0.13</v>
      </c>
      <c r="J15" s="12" t="s">
        <v>55</v>
      </c>
      <c r="K15" s="29" t="s">
        <v>26</v>
      </c>
      <c r="L15" s="12" t="s">
        <v>12</v>
      </c>
    </row>
    <row r="16" spans="1:19" x14ac:dyDescent="0.2">
      <c r="A16" s="16">
        <v>15</v>
      </c>
      <c r="B16" s="22">
        <v>1</v>
      </c>
      <c r="C16" s="28">
        <f>(B16*$H$29)</f>
        <v>1</v>
      </c>
      <c r="D16" s="15" t="s">
        <v>61</v>
      </c>
      <c r="E16" s="12" t="s">
        <v>91</v>
      </c>
      <c r="F16" s="12" t="s">
        <v>98</v>
      </c>
      <c r="G16" s="12" t="s">
        <v>99</v>
      </c>
      <c r="H16" s="14">
        <f>IF(C16&lt;=9,0.17,IF(C16&lt;=24,0.145,IF(C16&lt;=49,0.0766)))</f>
        <v>0.17</v>
      </c>
      <c r="I16" s="14">
        <f t="shared" si="1"/>
        <v>0.17</v>
      </c>
      <c r="J16" s="12" t="s">
        <v>58</v>
      </c>
      <c r="K16" s="29" t="s">
        <v>25</v>
      </c>
      <c r="L16" s="12" t="s">
        <v>12</v>
      </c>
    </row>
    <row r="17" spans="1:19" x14ac:dyDescent="0.2">
      <c r="A17" s="16">
        <v>17</v>
      </c>
      <c r="B17" s="22">
        <v>3</v>
      </c>
      <c r="C17" s="28">
        <v>1</v>
      </c>
      <c r="D17" s="15" t="s">
        <v>126</v>
      </c>
      <c r="E17" s="12" t="s">
        <v>100</v>
      </c>
      <c r="F17" s="10" t="s">
        <v>101</v>
      </c>
      <c r="G17" s="10" t="s">
        <v>102</v>
      </c>
      <c r="H17" s="14">
        <f>IF(C17&lt;=9,0.1,IF(C17&lt;=99,0.015,IF(C17&lt;=499,0.006)))</f>
        <v>0.1</v>
      </c>
      <c r="I17" s="14">
        <f t="shared" si="1"/>
        <v>0.1</v>
      </c>
      <c r="J17" s="12" t="s">
        <v>35</v>
      </c>
      <c r="K17" s="29" t="s">
        <v>25</v>
      </c>
      <c r="L17" s="12" t="s">
        <v>12</v>
      </c>
    </row>
    <row r="18" spans="1:19" ht="12" customHeight="1" x14ac:dyDescent="0.2">
      <c r="A18" s="16">
        <v>18</v>
      </c>
      <c r="B18" s="22">
        <v>1</v>
      </c>
      <c r="C18" s="28">
        <f>(B18*$H$29)</f>
        <v>1</v>
      </c>
      <c r="D18" s="15" t="s">
        <v>21</v>
      </c>
      <c r="E18" s="15" t="s">
        <v>100</v>
      </c>
      <c r="F18" s="10" t="s">
        <v>103</v>
      </c>
      <c r="G18" s="10" t="s">
        <v>104</v>
      </c>
      <c r="H18" s="14">
        <f>IF(C18&lt;=9,0.1,IF(C18&lt;=99,0.011,IF(C18&lt;=999,0.0046)))</f>
        <v>0.1</v>
      </c>
      <c r="I18" s="14">
        <f t="shared" si="1"/>
        <v>0.1</v>
      </c>
      <c r="J18" s="12" t="s">
        <v>62</v>
      </c>
      <c r="K18" s="29" t="s">
        <v>25</v>
      </c>
      <c r="L18" s="12" t="s">
        <v>12</v>
      </c>
    </row>
    <row r="19" spans="1:19" x14ac:dyDescent="0.2">
      <c r="A19" s="16">
        <v>19</v>
      </c>
      <c r="B19" s="22">
        <v>1</v>
      </c>
      <c r="C19" s="28">
        <f>(B19*$H$29)</f>
        <v>1</v>
      </c>
      <c r="D19" s="12" t="s">
        <v>22</v>
      </c>
      <c r="E19" s="12" t="s">
        <v>100</v>
      </c>
      <c r="F19" s="10" t="s">
        <v>105</v>
      </c>
      <c r="G19" s="10" t="s">
        <v>106</v>
      </c>
      <c r="H19" s="14">
        <f>IF(C19&lt;=9,0.1,IF(C19&lt;=99,0.011,IF(C19&lt;=99,0.0046)))</f>
        <v>0.1</v>
      </c>
      <c r="I19" s="14">
        <f t="shared" si="1"/>
        <v>0.1</v>
      </c>
      <c r="J19" s="12" t="s">
        <v>63</v>
      </c>
      <c r="K19" s="29" t="s">
        <v>25</v>
      </c>
      <c r="L19" s="12" t="s">
        <v>12</v>
      </c>
    </row>
    <row r="20" spans="1:19" x14ac:dyDescent="0.2">
      <c r="A20" s="16">
        <v>22</v>
      </c>
      <c r="B20" s="22">
        <v>1</v>
      </c>
      <c r="C20" s="28">
        <f>(B20*$H$29)</f>
        <v>1</v>
      </c>
      <c r="D20" s="23" t="s">
        <v>59</v>
      </c>
      <c r="E20" s="12" t="s">
        <v>100</v>
      </c>
      <c r="F20" s="10" t="s">
        <v>109</v>
      </c>
      <c r="G20" s="10" t="s">
        <v>110</v>
      </c>
      <c r="H20" s="14">
        <f>IF(C20&lt;=9,0.1,IF(C20&lt;=99,0.011,IF(C20&lt;=499,0.0046)))</f>
        <v>0.1</v>
      </c>
      <c r="I20" s="14">
        <f t="shared" si="1"/>
        <v>0.1</v>
      </c>
      <c r="J20" s="12" t="s">
        <v>64</v>
      </c>
      <c r="K20" s="29" t="s">
        <v>25</v>
      </c>
      <c r="L20" s="12" t="s">
        <v>12</v>
      </c>
      <c r="S20" s="2"/>
    </row>
    <row r="21" spans="1:19" x14ac:dyDescent="0.2">
      <c r="A21" s="16">
        <v>23</v>
      </c>
      <c r="B21" s="22">
        <v>1</v>
      </c>
      <c r="C21" s="28">
        <f>(B21*$H$29)</f>
        <v>1</v>
      </c>
      <c r="D21" s="23" t="s">
        <v>60</v>
      </c>
      <c r="E21" s="12" t="s">
        <v>100</v>
      </c>
      <c r="F21" s="10" t="s">
        <v>107</v>
      </c>
      <c r="G21" s="10" t="s">
        <v>108</v>
      </c>
      <c r="H21" s="14">
        <f>IF(C21&lt;=9,0.1,IF(C21&lt;=99,0.015,IF(C21&lt;=499,0.006)))</f>
        <v>0.1</v>
      </c>
      <c r="I21" s="14">
        <f t="shared" si="1"/>
        <v>0.1</v>
      </c>
      <c r="J21" s="22" t="s">
        <v>65</v>
      </c>
      <c r="K21" s="29" t="s">
        <v>25</v>
      </c>
      <c r="L21" s="12" t="s">
        <v>12</v>
      </c>
    </row>
    <row r="22" spans="1:19" x14ac:dyDescent="0.2">
      <c r="A22" s="16">
        <v>25</v>
      </c>
      <c r="B22" s="22">
        <v>1</v>
      </c>
      <c r="C22" s="28">
        <f>(B22*$H$29)</f>
        <v>1</v>
      </c>
      <c r="D22" s="23" t="s">
        <v>23</v>
      </c>
      <c r="E22" s="22" t="s">
        <v>43</v>
      </c>
      <c r="F22" s="10" t="s">
        <v>127</v>
      </c>
      <c r="G22" s="10" t="s">
        <v>128</v>
      </c>
      <c r="H22" s="14">
        <f>IF(C22&lt;=9,0.29,IF(C22&lt;=99,0.264,IF(C22&lt;=499,0.1793)))</f>
        <v>0.28999999999999998</v>
      </c>
      <c r="I22" s="14">
        <f t="shared" si="1"/>
        <v>0.28999999999999998</v>
      </c>
      <c r="J22" s="12" t="s">
        <v>125</v>
      </c>
      <c r="K22" s="29" t="s">
        <v>44</v>
      </c>
      <c r="L22" s="12" t="s">
        <v>12</v>
      </c>
    </row>
    <row r="23" spans="1:19" x14ac:dyDescent="0.2">
      <c r="A23" s="16">
        <v>27</v>
      </c>
      <c r="B23" s="22">
        <v>1</v>
      </c>
      <c r="C23" s="28">
        <f>(B23*$H$29)</f>
        <v>1</v>
      </c>
      <c r="D23" s="23" t="s">
        <v>45</v>
      </c>
      <c r="E23" s="22" t="s">
        <v>47</v>
      </c>
      <c r="F23" s="10">
        <v>1043</v>
      </c>
      <c r="G23" s="10" t="s">
        <v>46</v>
      </c>
      <c r="H23" s="14">
        <f>IF(C23&lt;=9,2.31,IF(C23&lt;=49,1.962,IF(C23&lt;=99,1.7622)))</f>
        <v>2.31</v>
      </c>
      <c r="I23" s="14">
        <f t="shared" si="1"/>
        <v>2.31</v>
      </c>
      <c r="J23" s="12" t="s">
        <v>66</v>
      </c>
      <c r="K23" s="30"/>
      <c r="L23" s="12" t="s">
        <v>90</v>
      </c>
    </row>
    <row r="24" spans="1:19" x14ac:dyDescent="0.2">
      <c r="A24" s="16">
        <v>28</v>
      </c>
      <c r="B24" s="9">
        <v>1</v>
      </c>
      <c r="C24" s="28">
        <f>(B24*$H$29)</f>
        <v>1</v>
      </c>
      <c r="D24" s="12" t="s">
        <v>70</v>
      </c>
      <c r="E24" s="12" t="s">
        <v>116</v>
      </c>
      <c r="F24" s="10" t="s">
        <v>114</v>
      </c>
      <c r="G24" s="10" t="s">
        <v>115</v>
      </c>
      <c r="H24" s="14">
        <f>IF(C24&lt;=9,0.74,IF(C24&lt;=24,0.693,IF(C24&lt;=49,0.66)))</f>
        <v>0.74</v>
      </c>
      <c r="I24" s="14">
        <f t="shared" si="1"/>
        <v>0.74</v>
      </c>
      <c r="J24" s="12" t="s">
        <v>71</v>
      </c>
      <c r="K24" s="31"/>
      <c r="L24" s="12" t="s">
        <v>90</v>
      </c>
    </row>
    <row r="25" spans="1:19" x14ac:dyDescent="0.2">
      <c r="A25" s="16">
        <v>29</v>
      </c>
      <c r="B25" s="22">
        <v>1</v>
      </c>
      <c r="C25" s="28">
        <f>(B25*$H$29)</f>
        <v>1</v>
      </c>
      <c r="D25" s="12" t="s">
        <v>56</v>
      </c>
      <c r="E25" s="12" t="s">
        <v>113</v>
      </c>
      <c r="F25" s="10" t="s">
        <v>111</v>
      </c>
      <c r="G25" s="10" t="s">
        <v>112</v>
      </c>
      <c r="H25" s="14">
        <f>IF(C25&lt;=9,0.46,IF(C25&lt;=24,0.437,IF(C25&lt;=49,0.3744)))</f>
        <v>0.46</v>
      </c>
      <c r="I25" s="14">
        <f t="shared" si="1"/>
        <v>0.46</v>
      </c>
      <c r="J25" s="12" t="s">
        <v>57</v>
      </c>
      <c r="K25" s="29"/>
      <c r="L25" s="12"/>
    </row>
    <row r="26" spans="1:19" x14ac:dyDescent="0.2">
      <c r="A26" s="25">
        <v>30</v>
      </c>
      <c r="B26" s="22">
        <v>1</v>
      </c>
      <c r="C26" s="28">
        <f>(B26*$H$29)</f>
        <v>1</v>
      </c>
      <c r="D26" s="11" t="s">
        <v>31</v>
      </c>
      <c r="E26" s="12" t="s">
        <v>33</v>
      </c>
      <c r="F26" s="10" t="s">
        <v>34</v>
      </c>
      <c r="G26" s="10"/>
      <c r="H26" s="14">
        <v>5</v>
      </c>
      <c r="I26" s="14">
        <f t="shared" si="1"/>
        <v>5</v>
      </c>
      <c r="J26" s="12" t="s">
        <v>31</v>
      </c>
      <c r="K26" s="32"/>
      <c r="L26" s="10"/>
    </row>
    <row r="27" spans="1:19" x14ac:dyDescent="0.2">
      <c r="D27" s="1"/>
      <c r="E27" s="1"/>
      <c r="F27" s="1"/>
      <c r="G27" s="1"/>
      <c r="H27" s="1"/>
      <c r="I27" s="1"/>
      <c r="J27" s="1"/>
    </row>
    <row r="29" spans="1:19" x14ac:dyDescent="0.2">
      <c r="G29" s="21" t="s">
        <v>13</v>
      </c>
      <c r="H29" s="1">
        <v>1</v>
      </c>
      <c r="I29" s="8" t="s">
        <v>27</v>
      </c>
    </row>
    <row r="30" spans="1:19" x14ac:dyDescent="0.2">
      <c r="I30" s="7">
        <f>SUM(I6:I10,I12:I25)</f>
        <v>10.379999999999999</v>
      </c>
    </row>
    <row r="31" spans="1:19" x14ac:dyDescent="0.2">
      <c r="I31" s="1"/>
    </row>
    <row r="32" spans="1:19" x14ac:dyDescent="0.2">
      <c r="I32" s="5" t="s">
        <v>28</v>
      </c>
    </row>
    <row r="33" spans="4:9" x14ac:dyDescent="0.2">
      <c r="I33" s="7">
        <f>SUM(I6:I9,I11:I25)</f>
        <v>10.54</v>
      </c>
    </row>
    <row r="35" spans="4:9" x14ac:dyDescent="0.2">
      <c r="I35" s="5" t="s">
        <v>30</v>
      </c>
    </row>
    <row r="36" spans="4:9" x14ac:dyDescent="0.2">
      <c r="I36" s="7">
        <f>SUM(I26:I26)</f>
        <v>5</v>
      </c>
    </row>
    <row r="38" spans="4:9" x14ac:dyDescent="0.2">
      <c r="I38" s="5" t="s">
        <v>11</v>
      </c>
    </row>
    <row r="39" spans="4:9" x14ac:dyDescent="0.2">
      <c r="I39" s="7">
        <f>SUM(I30+I33+(2*I36))</f>
        <v>30.919999999999998</v>
      </c>
    </row>
    <row r="44" spans="4:9" x14ac:dyDescent="0.2">
      <c r="D44" s="26"/>
    </row>
    <row r="52" spans="6:6" x14ac:dyDescent="0.2">
      <c r="F52" s="2"/>
    </row>
    <row r="56" spans="6:6" x14ac:dyDescent="0.2">
      <c r="F56" s="27"/>
    </row>
  </sheetData>
  <mergeCells count="1">
    <mergeCell ref="A1:J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2017-11-12T06:17:54Z</dcterms:modified>
</cp:coreProperties>
</file>