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calAdmin\Box Sync\Courses\UIUC\ECE511\Assignment3\"/>
    </mc:Choice>
  </mc:AlternateContent>
  <bookViews>
    <workbookView xWindow="0" yWindow="0" windowWidth="15345" windowHeight="4545" activeTab="3"/>
  </bookViews>
  <sheets>
    <sheet name="BP Acc" sheetId="3" r:id="rId1"/>
    <sheet name="Sheet1" sheetId="10" r:id="rId2"/>
    <sheet name="blackscholes" sheetId="8" r:id="rId3"/>
    <sheet name="x264" sheetId="6" r:id="rId4"/>
    <sheet name="fluidanimate" sheetId="7" r:id="rId5"/>
    <sheet name="bodytrack" sheetId="9" r:id="rId6"/>
  </sheets>
  <calcPr calcId="162913"/>
  <customWorkbookViews>
    <customWorkbookView name="noback" guid="{3F0671C6-E8A1-4707-83F8-8C7D5A2AB6F5}" includeHiddenRowCol="0" maximized="1" xWindow="-8" yWindow="-8" windowWidth="1382" windowHeight="744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3" l="1"/>
  <c r="F41" i="3"/>
  <c r="F32" i="3"/>
  <c r="F23" i="3"/>
  <c r="F14" i="3"/>
  <c r="F9" i="3"/>
  <c r="S64" i="10"/>
  <c r="T64" i="10"/>
  <c r="J38" i="3"/>
  <c r="J37" i="3"/>
  <c r="J36" i="3"/>
  <c r="J20" i="3"/>
  <c r="J11" i="3"/>
  <c r="J19" i="3"/>
  <c r="J18" i="3"/>
  <c r="J10" i="3"/>
  <c r="J9" i="3"/>
  <c r="J29" i="3"/>
  <c r="J27" i="3"/>
  <c r="J28" i="3" s="1"/>
  <c r="J32" i="3"/>
  <c r="J41" i="3"/>
  <c r="J23" i="3"/>
  <c r="J14" i="3"/>
  <c r="I38" i="3"/>
  <c r="I37" i="3"/>
  <c r="I36" i="3"/>
  <c r="I41" i="3"/>
  <c r="I29" i="3"/>
  <c r="I27" i="3"/>
  <c r="I28" i="3" s="1"/>
  <c r="I32" i="3"/>
  <c r="I23" i="3"/>
  <c r="I19" i="3"/>
  <c r="I20" i="3"/>
  <c r="I18" i="3"/>
  <c r="F11" i="3"/>
  <c r="I14" i="3"/>
  <c r="I11" i="3"/>
  <c r="I9" i="3"/>
  <c r="I10" i="3" s="1"/>
  <c r="H14" i="3" l="1"/>
  <c r="H11" i="3"/>
  <c r="K9" i="3"/>
  <c r="K10" i="3" s="1"/>
  <c r="H9" i="3"/>
  <c r="H10" i="3" s="1"/>
  <c r="M38" i="3"/>
  <c r="L38" i="3"/>
  <c r="H38" i="3"/>
  <c r="K38" i="3"/>
  <c r="G38" i="3"/>
  <c r="F38" i="3"/>
  <c r="E38" i="3"/>
  <c r="M29" i="3"/>
  <c r="L29" i="3"/>
  <c r="K29" i="3"/>
  <c r="H29" i="3"/>
  <c r="G29" i="3"/>
  <c r="F29" i="3"/>
  <c r="E29" i="3"/>
  <c r="M20" i="3"/>
  <c r="L20" i="3"/>
  <c r="K20" i="3"/>
  <c r="H20" i="3"/>
  <c r="G20" i="3"/>
  <c r="F20" i="3"/>
  <c r="E20" i="3"/>
  <c r="M11" i="3"/>
  <c r="L11" i="3"/>
  <c r="K11" i="3"/>
  <c r="G11" i="3"/>
  <c r="E11" i="3"/>
  <c r="H23" i="3"/>
  <c r="H19" i="3"/>
  <c r="L36" i="3"/>
  <c r="L37" i="3" s="1"/>
  <c r="L27" i="3"/>
  <c r="L28" i="3" s="1"/>
  <c r="L41" i="3"/>
  <c r="L32" i="3"/>
  <c r="L18" i="3"/>
  <c r="L19" i="3" s="1"/>
  <c r="L23" i="3"/>
  <c r="L14" i="3"/>
  <c r="L9" i="3"/>
  <c r="L10" i="3" s="1"/>
  <c r="M37" i="3"/>
  <c r="M41" i="3"/>
  <c r="M28" i="3"/>
  <c r="E28" i="3"/>
  <c r="M32" i="3"/>
  <c r="M19" i="3"/>
  <c r="M23" i="3"/>
  <c r="M14" i="3"/>
  <c r="M10" i="3"/>
  <c r="K37" i="3"/>
  <c r="K41" i="3"/>
  <c r="K32" i="3"/>
  <c r="K28" i="3"/>
  <c r="K19" i="3"/>
  <c r="K23" i="3"/>
  <c r="K14" i="3"/>
  <c r="E14" i="3"/>
  <c r="G14" i="3" l="1"/>
  <c r="G9" i="3"/>
  <c r="G10" i="3" s="1"/>
  <c r="G23" i="3"/>
  <c r="G18" i="3"/>
  <c r="G19" i="3" s="1"/>
  <c r="E23" i="3"/>
  <c r="E18" i="3"/>
  <c r="E19" i="3" s="1"/>
  <c r="E9" i="3"/>
  <c r="E10" i="3" s="1"/>
  <c r="D19" i="3"/>
  <c r="D10" i="3"/>
  <c r="D23" i="3"/>
  <c r="D14" i="3"/>
  <c r="F10" i="3"/>
  <c r="F19" i="3"/>
  <c r="H32" i="3"/>
  <c r="G32" i="3"/>
  <c r="G41" i="3"/>
  <c r="H39" i="3"/>
  <c r="E32" i="3"/>
  <c r="E41" i="3"/>
  <c r="D32" i="3"/>
  <c r="D41" i="3"/>
  <c r="G37" i="3"/>
  <c r="G28" i="3"/>
  <c r="F37" i="3"/>
  <c r="F28" i="3"/>
  <c r="E37" i="3"/>
  <c r="D37" i="3"/>
  <c r="D29" i="3"/>
  <c r="D28" i="3"/>
  <c r="H41" i="3" l="1"/>
  <c r="H28" i="3"/>
  <c r="H36" i="3"/>
  <c r="H37" i="3" s="1"/>
</calcChain>
</file>

<file path=xl/sharedStrings.xml><?xml version="1.0" encoding="utf-8"?>
<sst xmlns="http://schemas.openxmlformats.org/spreadsheetml/2006/main" count="64" uniqueCount="37">
  <si>
    <t>BodyTrack</t>
  </si>
  <si>
    <t>Blackholes</t>
  </si>
  <si>
    <t>fluidanimate</t>
  </si>
  <si>
    <t>x264</t>
  </si>
  <si>
    <t>stride</t>
  </si>
  <si>
    <t>tagged</t>
  </si>
  <si>
    <t>Markov</t>
  </si>
  <si>
    <t>MSI</t>
  </si>
  <si>
    <t xml:space="preserve">coverage </t>
  </si>
  <si>
    <t>avg.cache.hits</t>
  </si>
  <si>
    <t>avg.cache.miss</t>
  </si>
  <si>
    <t>avg.cache.access</t>
  </si>
  <si>
    <t>MemBWavgRd</t>
  </si>
  <si>
    <t>MemBWavgWr</t>
  </si>
  <si>
    <t>coverage improvement</t>
  </si>
  <si>
    <t>MCPI</t>
  </si>
  <si>
    <t>MI (only one core worked)</t>
  </si>
  <si>
    <t>MESI (multiple core worked)</t>
  </si>
  <si>
    <t>accuracy %</t>
  </si>
  <si>
    <t xml:space="preserve">X264 Benchmark </t>
  </si>
  <si>
    <t>Fluidanimate</t>
  </si>
  <si>
    <t>no prefetching tagged</t>
  </si>
  <si>
    <t>Bodaytrack</t>
  </si>
  <si>
    <t>Blackscholes</t>
  </si>
  <si>
    <t>Figure number</t>
  </si>
  <si>
    <t>avg.cache.hits (data)</t>
  </si>
  <si>
    <t>MSI (v2)</t>
  </si>
  <si>
    <t>MSI (v1)</t>
  </si>
  <si>
    <t>v1</t>
  </si>
  <si>
    <t>v2</t>
  </si>
  <si>
    <t>MESI S</t>
  </si>
  <si>
    <t>MESI E</t>
  </si>
  <si>
    <t>MSI S</t>
  </si>
  <si>
    <t>deviation %</t>
  </si>
  <si>
    <t>no prefetcher (non tagged fullrun)</t>
  </si>
  <si>
    <t xml:space="preserve">IS </t>
  </si>
  <si>
    <t xml:space="preserve">MESI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</si>
</sst>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Acc'!$C$16</c:f>
              <c:strCache>
                <c:ptCount val="1"/>
                <c:pt idx="0">
                  <c:v>avg.cache.hits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Acc'!$D$16:$M$16</c:f>
              <c:numCache>
                <c:formatCode>General</c:formatCode>
                <c:ptCount val="3"/>
                <c:pt idx="0">
                  <c:v>61254576</c:v>
                </c:pt>
                <c:pt idx="1">
                  <c:v>61114012</c:v>
                </c:pt>
                <c:pt idx="2">
                  <c:v>61057854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2-4833-98C1-96C964C7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94767"/>
        <c:axId val="431495183"/>
      </c:lineChart>
      <c:catAx>
        <c:axId val="43149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95183"/>
        <c:crosses val="autoZero"/>
        <c:auto val="1"/>
        <c:lblAlgn val="ctr"/>
        <c:lblOffset val="100"/>
        <c:noMultiLvlLbl val="0"/>
      </c:catAx>
      <c:valAx>
        <c:axId val="4314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9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Acc'!$C$28</c:f>
              <c:strCache>
                <c:ptCount val="1"/>
                <c:pt idx="0">
                  <c:v>accuracy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Acc'!$D$28:$M$28</c:f>
              <c:numCache>
                <c:formatCode>General</c:formatCode>
                <c:ptCount val="3"/>
                <c:pt idx="0">
                  <c:v>99.744638373512629</c:v>
                </c:pt>
                <c:pt idx="1">
                  <c:v>98.40209536118968</c:v>
                </c:pt>
                <c:pt idx="2">
                  <c:v>97.778764961328974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9-48A1-B51B-361F47697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739135"/>
        <c:axId val="321738303"/>
      </c:lineChart>
      <c:catAx>
        <c:axId val="32173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8303"/>
        <c:crosses val="autoZero"/>
        <c:auto val="1"/>
        <c:lblAlgn val="ctr"/>
        <c:lblOffset val="100"/>
        <c:noMultiLvlLbl val="0"/>
      </c:catAx>
      <c:valAx>
        <c:axId val="3217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Acc'!$C$32</c:f>
              <c:strCache>
                <c:ptCount val="1"/>
                <c:pt idx="0">
                  <c:v>MCPI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Acc'!$D$32:$M$32</c:f>
              <c:numCache>
                <c:formatCode>General</c:formatCode>
                <c:ptCount val="3"/>
                <c:pt idx="0">
                  <c:v>9.9668215536183897</c:v>
                </c:pt>
                <c:pt idx="1">
                  <c:v>9.5404890121580497</c:v>
                </c:pt>
                <c:pt idx="2">
                  <c:v>10.152669270184614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8-4D0E-9FC3-1F8D540E6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83007"/>
        <c:axId val="422585087"/>
      </c:lineChart>
      <c:catAx>
        <c:axId val="422583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5087"/>
        <c:crosses val="autoZero"/>
        <c:auto val="1"/>
        <c:lblAlgn val="ctr"/>
        <c:lblOffset val="100"/>
        <c:noMultiLvlLbl val="0"/>
      </c:catAx>
      <c:valAx>
        <c:axId val="42258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Acc'!$C$30</c:f>
              <c:strCache>
                <c:ptCount val="1"/>
                <c:pt idx="0">
                  <c:v>MemBWavgRd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Acc'!$D$30:$M$30</c:f>
              <c:numCache>
                <c:formatCode>General</c:formatCode>
                <c:ptCount val="3"/>
                <c:pt idx="0">
                  <c:v>5.97</c:v>
                </c:pt>
                <c:pt idx="1">
                  <c:v>6.04</c:v>
                </c:pt>
                <c:pt idx="2">
                  <c:v>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C-453A-8470-47103D8B9218}"/>
            </c:ext>
          </c:extLst>
        </c:ser>
        <c:ser>
          <c:idx val="1"/>
          <c:order val="1"/>
          <c:tx>
            <c:strRef>
              <c:f>'BP Acc'!$C$31</c:f>
              <c:strCache>
                <c:ptCount val="1"/>
                <c:pt idx="0">
                  <c:v>MemBWavgWr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'BP Acc'!$D$31:$M$31</c:f>
              <c:numCache>
                <c:formatCode>General</c:formatCode>
                <c:ptCount val="3"/>
                <c:pt idx="0">
                  <c:v>7.07</c:v>
                </c:pt>
                <c:pt idx="1">
                  <c:v>6.56</c:v>
                </c:pt>
                <c:pt idx="2">
                  <c:v>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C-453A-8470-47103D8B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524127"/>
        <c:axId val="323522047"/>
      </c:lineChart>
      <c:catAx>
        <c:axId val="32352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22047"/>
        <c:crosses val="autoZero"/>
        <c:auto val="1"/>
        <c:lblAlgn val="ctr"/>
        <c:lblOffset val="100"/>
        <c:noMultiLvlLbl val="0"/>
      </c:catAx>
      <c:valAx>
        <c:axId val="3235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2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Acc'!$C$34</c:f>
              <c:strCache>
                <c:ptCount val="1"/>
                <c:pt idx="0">
                  <c:v>avg.cache.hits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Acc'!$D$34:$M$34</c:f>
              <c:numCache>
                <c:formatCode>General</c:formatCode>
                <c:ptCount val="3"/>
                <c:pt idx="0">
                  <c:v>64544047</c:v>
                </c:pt>
                <c:pt idx="1">
                  <c:v>63712743</c:v>
                </c:pt>
                <c:pt idx="2">
                  <c:v>64276316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4-4913-AE0F-8C5FC571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182191"/>
        <c:axId val="411182607"/>
      </c:lineChart>
      <c:catAx>
        <c:axId val="41118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82607"/>
        <c:crosses val="autoZero"/>
        <c:auto val="1"/>
        <c:lblAlgn val="ctr"/>
        <c:lblOffset val="100"/>
        <c:noMultiLvlLbl val="0"/>
      </c:catAx>
      <c:valAx>
        <c:axId val="4111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8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Acc'!$C$35</c:f>
              <c:strCache>
                <c:ptCount val="1"/>
                <c:pt idx="0">
                  <c:v>avg.cache.miss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Acc'!$D$35:$M$35</c:f>
              <c:numCache>
                <c:formatCode>General</c:formatCode>
                <c:ptCount val="3"/>
                <c:pt idx="0">
                  <c:v>932764</c:v>
                </c:pt>
                <c:pt idx="1">
                  <c:v>1307893</c:v>
                </c:pt>
                <c:pt idx="2">
                  <c:v>1133178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8-41AB-96EF-192E7BC99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821071"/>
        <c:axId val="417819407"/>
      </c:lineChart>
      <c:catAx>
        <c:axId val="41782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19407"/>
        <c:crosses val="autoZero"/>
        <c:auto val="1"/>
        <c:lblAlgn val="ctr"/>
        <c:lblOffset val="100"/>
        <c:noMultiLvlLbl val="0"/>
      </c:catAx>
      <c:valAx>
        <c:axId val="41781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2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Acc'!$C$36</c:f>
              <c:strCache>
                <c:ptCount val="1"/>
                <c:pt idx="0">
                  <c:v>avg.cache.access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Acc'!$D$36:$M$36</c:f>
              <c:numCache>
                <c:formatCode>General</c:formatCode>
                <c:ptCount val="3"/>
                <c:pt idx="0">
                  <c:v>65476811</c:v>
                </c:pt>
                <c:pt idx="1">
                  <c:v>65020636</c:v>
                </c:pt>
                <c:pt idx="2">
                  <c:v>65409494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F-48AA-8B3B-6EA49E75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819823"/>
        <c:axId val="417817327"/>
      </c:lineChart>
      <c:catAx>
        <c:axId val="41781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17327"/>
        <c:crosses val="autoZero"/>
        <c:auto val="1"/>
        <c:lblAlgn val="ctr"/>
        <c:lblOffset val="100"/>
        <c:noMultiLvlLbl val="0"/>
      </c:catAx>
      <c:valAx>
        <c:axId val="4178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1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Acc'!$C$37</c:f>
              <c:strCache>
                <c:ptCount val="1"/>
                <c:pt idx="0">
                  <c:v>accuracy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Acc'!$D$37:$M$37</c:f>
              <c:numCache>
                <c:formatCode>General</c:formatCode>
                <c:ptCount val="3"/>
                <c:pt idx="0">
                  <c:v>98.575428482611954</c:v>
                </c:pt>
                <c:pt idx="1">
                  <c:v>97.988495529327025</c:v>
                </c:pt>
                <c:pt idx="2">
                  <c:v>98.267563421297837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4-4D5F-B555-F5A71A5C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47391"/>
        <c:axId val="253047807"/>
      </c:lineChart>
      <c:catAx>
        <c:axId val="25304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47807"/>
        <c:crosses val="autoZero"/>
        <c:auto val="1"/>
        <c:lblAlgn val="ctr"/>
        <c:lblOffset val="100"/>
        <c:noMultiLvlLbl val="0"/>
      </c:catAx>
      <c:valAx>
        <c:axId val="2530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4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Acc'!$C$41</c:f>
              <c:strCache>
                <c:ptCount val="1"/>
                <c:pt idx="0">
                  <c:v>MCPI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Acc'!$D$41:$M$41</c:f>
              <c:numCache>
                <c:formatCode>General</c:formatCode>
                <c:ptCount val="3"/>
                <c:pt idx="0">
                  <c:v>9.505045121795467</c:v>
                </c:pt>
                <c:pt idx="1">
                  <c:v>10.011837889008797</c:v>
                </c:pt>
                <c:pt idx="2">
                  <c:v>9.7027136603761281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CE-BB62-6DCF72263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18207"/>
        <c:axId val="321735023"/>
      </c:lineChart>
      <c:catAx>
        <c:axId val="11561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5023"/>
        <c:crosses val="autoZero"/>
        <c:auto val="1"/>
        <c:lblAlgn val="ctr"/>
        <c:lblOffset val="100"/>
        <c:noMultiLvlLbl val="0"/>
      </c:catAx>
      <c:valAx>
        <c:axId val="3217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Acc'!$C$39</c:f>
              <c:strCache>
                <c:ptCount val="1"/>
                <c:pt idx="0">
                  <c:v>MemBWavgRd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Acc'!$D$39:$M$39</c:f>
              <c:numCache>
                <c:formatCode>General</c:formatCode>
                <c:ptCount val="3"/>
                <c:pt idx="0">
                  <c:v>6.05</c:v>
                </c:pt>
                <c:pt idx="1">
                  <c:v>6.15</c:v>
                </c:pt>
                <c:pt idx="2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8-4E97-805D-BABDEC4C525A}"/>
            </c:ext>
          </c:extLst>
        </c:ser>
        <c:ser>
          <c:idx val="1"/>
          <c:order val="1"/>
          <c:tx>
            <c:strRef>
              <c:f>'BP Acc'!$C$40</c:f>
              <c:strCache>
                <c:ptCount val="1"/>
                <c:pt idx="0">
                  <c:v>MemBWavgWr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'BP Acc'!$D$40:$M$40</c:f>
              <c:numCache>
                <c:formatCode>General</c:formatCode>
                <c:ptCount val="3"/>
                <c:pt idx="0">
                  <c:v>6.58</c:v>
                </c:pt>
                <c:pt idx="1">
                  <c:v>7.18</c:v>
                </c:pt>
                <c:pt idx="2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8-4E97-805D-BABDEC4C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18623"/>
        <c:axId val="321736271"/>
      </c:lineChart>
      <c:catAx>
        <c:axId val="11561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6271"/>
        <c:crosses val="autoZero"/>
        <c:auto val="1"/>
        <c:lblAlgn val="ctr"/>
        <c:lblOffset val="100"/>
        <c:noMultiLvlLbl val="0"/>
      </c:catAx>
      <c:valAx>
        <c:axId val="3217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Acc'!$C$7</c:f>
              <c:strCache>
                <c:ptCount val="1"/>
                <c:pt idx="0">
                  <c:v>avg.cache.hits (data)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Acc'!$D$7:$M$7</c:f>
              <c:numCache>
                <c:formatCode>General</c:formatCode>
                <c:ptCount val="3"/>
                <c:pt idx="0">
                  <c:v>61997119</c:v>
                </c:pt>
                <c:pt idx="1">
                  <c:v>61794192</c:v>
                </c:pt>
                <c:pt idx="2">
                  <c:v>61901462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5-4080-B49C-4708B51E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31999"/>
        <c:axId val="411839887"/>
      </c:lineChart>
      <c:catAx>
        <c:axId val="21033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39887"/>
        <c:crosses val="autoZero"/>
        <c:auto val="1"/>
        <c:lblAlgn val="ctr"/>
        <c:lblOffset val="100"/>
        <c:noMultiLvlLbl val="0"/>
      </c:catAx>
      <c:valAx>
        <c:axId val="4118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Acc'!$C$17</c:f>
              <c:strCache>
                <c:ptCount val="1"/>
                <c:pt idx="0">
                  <c:v>avg.cache.miss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Acc'!$D$17:$M$17</c:f>
              <c:numCache>
                <c:formatCode>General</c:formatCode>
                <c:ptCount val="3"/>
                <c:pt idx="0">
                  <c:v>654451</c:v>
                </c:pt>
                <c:pt idx="1">
                  <c:v>758321</c:v>
                </c:pt>
                <c:pt idx="2">
                  <c:v>826077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F-4EBA-964D-A54251F2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662431"/>
        <c:axId val="322664927"/>
      </c:lineChart>
      <c:catAx>
        <c:axId val="32266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64927"/>
        <c:crosses val="autoZero"/>
        <c:auto val="1"/>
        <c:lblAlgn val="ctr"/>
        <c:lblOffset val="100"/>
        <c:noMultiLvlLbl val="0"/>
      </c:catAx>
      <c:valAx>
        <c:axId val="3226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6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Acc'!$C$8</c:f>
              <c:strCache>
                <c:ptCount val="1"/>
                <c:pt idx="0">
                  <c:v>avg.cache.miss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Acc'!$D$8:$M$8</c:f>
              <c:numCache>
                <c:formatCode>General</c:formatCode>
                <c:ptCount val="3"/>
                <c:pt idx="0">
                  <c:v>939524</c:v>
                </c:pt>
                <c:pt idx="1">
                  <c:v>1066704</c:v>
                </c:pt>
                <c:pt idx="2">
                  <c:v>1169154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3-43A5-BA9C-DE3DA8A2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306543"/>
        <c:axId val="2077308623"/>
      </c:lineChart>
      <c:catAx>
        <c:axId val="207730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8623"/>
        <c:crosses val="autoZero"/>
        <c:auto val="1"/>
        <c:lblAlgn val="ctr"/>
        <c:lblOffset val="100"/>
        <c:noMultiLvlLbl val="0"/>
      </c:catAx>
      <c:valAx>
        <c:axId val="207730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Acc'!$C$9</c:f>
              <c:strCache>
                <c:ptCount val="1"/>
                <c:pt idx="0">
                  <c:v>avg.cache.access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Acc'!$D$9:$M$9</c:f>
              <c:numCache>
                <c:formatCode>General</c:formatCode>
                <c:ptCount val="3"/>
                <c:pt idx="0">
                  <c:v>62936643</c:v>
                </c:pt>
                <c:pt idx="1">
                  <c:v>62860896</c:v>
                </c:pt>
                <c:pt idx="2">
                  <c:v>63070616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5-4DA6-B3C8-08EF48D7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468559"/>
        <c:axId val="249577887"/>
      </c:lineChart>
      <c:catAx>
        <c:axId val="25446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77887"/>
        <c:crosses val="autoZero"/>
        <c:auto val="1"/>
        <c:lblAlgn val="ctr"/>
        <c:lblOffset val="100"/>
        <c:noMultiLvlLbl val="0"/>
      </c:catAx>
      <c:valAx>
        <c:axId val="2495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6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Acc'!$C$10</c:f>
              <c:strCache>
                <c:ptCount val="1"/>
                <c:pt idx="0">
                  <c:v>accuracy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Acc'!$D$10:$M$10</c:f>
              <c:numCache>
                <c:formatCode>General</c:formatCode>
                <c:ptCount val="3"/>
                <c:pt idx="0">
                  <c:v>98.507190795034944</c:v>
                </c:pt>
                <c:pt idx="1">
                  <c:v>98.303072231105332</c:v>
                </c:pt>
                <c:pt idx="2">
                  <c:v>98.146277816598456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4-414B-BF58-AC4E6124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13519"/>
        <c:axId val="425114351"/>
      </c:lineChart>
      <c:catAx>
        <c:axId val="42511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14351"/>
        <c:crosses val="autoZero"/>
        <c:auto val="1"/>
        <c:lblAlgn val="ctr"/>
        <c:lblOffset val="100"/>
        <c:noMultiLvlLbl val="0"/>
      </c:catAx>
      <c:valAx>
        <c:axId val="4251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1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Acc'!$C$14</c:f>
              <c:strCache>
                <c:ptCount val="1"/>
                <c:pt idx="0">
                  <c:v>MCPI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Acc'!$D$14:$M$14</c:f>
              <c:numCache>
                <c:formatCode>General</c:formatCode>
                <c:ptCount val="3"/>
                <c:pt idx="0">
                  <c:v>9.7876739898757137</c:v>
                </c:pt>
                <c:pt idx="1">
                  <c:v>9.8405183059670751</c:v>
                </c:pt>
                <c:pt idx="2">
                  <c:v>9.9488567955965408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4-4353-BB72-18EBD335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309039"/>
        <c:axId val="2077309455"/>
      </c:lineChart>
      <c:catAx>
        <c:axId val="207730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9455"/>
        <c:crosses val="autoZero"/>
        <c:auto val="1"/>
        <c:lblAlgn val="ctr"/>
        <c:lblOffset val="100"/>
        <c:noMultiLvlLbl val="0"/>
      </c:catAx>
      <c:valAx>
        <c:axId val="20773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0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Acc'!$C$12</c:f>
              <c:strCache>
                <c:ptCount val="1"/>
                <c:pt idx="0">
                  <c:v>MemBWavgRd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Acc'!$D$12:$M$12</c:f>
              <c:numCache>
                <c:formatCode>General</c:formatCode>
                <c:ptCount val="3"/>
                <c:pt idx="0">
                  <c:v>3.9</c:v>
                </c:pt>
                <c:pt idx="1">
                  <c:v>3.9</c:v>
                </c:pt>
                <c:pt idx="2">
                  <c:v>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0-4296-8F1B-5C360E557362}"/>
            </c:ext>
          </c:extLst>
        </c:ser>
        <c:ser>
          <c:idx val="1"/>
          <c:order val="1"/>
          <c:tx>
            <c:strRef>
              <c:f>'BP Acc'!$C$13</c:f>
              <c:strCache>
                <c:ptCount val="1"/>
                <c:pt idx="0">
                  <c:v>MemBWavgWr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'BP Acc'!$D$13:$M$13</c:f>
              <c:numCache>
                <c:formatCode>General</c:formatCode>
                <c:ptCount val="3"/>
                <c:pt idx="0">
                  <c:v>5.29</c:v>
                </c:pt>
                <c:pt idx="1">
                  <c:v>5.28</c:v>
                </c:pt>
                <c:pt idx="2">
                  <c:v>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0-4296-8F1B-5C360E55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39471"/>
        <c:axId val="411838639"/>
      </c:lineChart>
      <c:catAx>
        <c:axId val="41183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38639"/>
        <c:crosses val="autoZero"/>
        <c:auto val="1"/>
        <c:lblAlgn val="ctr"/>
        <c:lblOffset val="100"/>
        <c:noMultiLvlLbl val="0"/>
      </c:catAx>
      <c:valAx>
        <c:axId val="41183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3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Acc'!$C$18</c:f>
              <c:strCache>
                <c:ptCount val="1"/>
                <c:pt idx="0">
                  <c:v>avg.cache.access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Acc'!$D$18:$M$18</c:f>
              <c:numCache>
                <c:formatCode>General</c:formatCode>
                <c:ptCount val="3"/>
                <c:pt idx="0">
                  <c:v>61909028</c:v>
                </c:pt>
                <c:pt idx="1">
                  <c:v>61872333</c:v>
                </c:pt>
                <c:pt idx="2">
                  <c:v>61883931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6-425C-AA94-D8385D458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96847"/>
        <c:axId val="431497263"/>
      </c:lineChart>
      <c:catAx>
        <c:axId val="43149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97263"/>
        <c:crosses val="autoZero"/>
        <c:auto val="1"/>
        <c:lblAlgn val="ctr"/>
        <c:lblOffset val="100"/>
        <c:noMultiLvlLbl val="0"/>
      </c:catAx>
      <c:valAx>
        <c:axId val="4314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9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Acc'!$C$19</c:f>
              <c:strCache>
                <c:ptCount val="1"/>
                <c:pt idx="0">
                  <c:v>accuracy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Acc'!$D$19:$M$19</c:f>
              <c:numCache>
                <c:formatCode>General</c:formatCode>
                <c:ptCount val="3"/>
                <c:pt idx="0">
                  <c:v>98.942882773090872</c:v>
                </c:pt>
                <c:pt idx="1">
                  <c:v>98.774377879043286</c:v>
                </c:pt>
                <c:pt idx="2">
                  <c:v>98.665118736558611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3-4311-926B-59643D0E0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663679"/>
        <c:axId val="322664095"/>
      </c:lineChart>
      <c:catAx>
        <c:axId val="32266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64095"/>
        <c:crosses val="autoZero"/>
        <c:auto val="1"/>
        <c:lblAlgn val="ctr"/>
        <c:lblOffset val="100"/>
        <c:noMultiLvlLbl val="0"/>
      </c:catAx>
      <c:valAx>
        <c:axId val="3226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6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Acc'!$C$23</c:f>
              <c:strCache>
                <c:ptCount val="1"/>
                <c:pt idx="0">
                  <c:v>MCPI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Acc'!$D$23:$M$23</c:f>
              <c:numCache>
                <c:formatCode>General</c:formatCode>
                <c:ptCount val="3"/>
                <c:pt idx="0">
                  <c:v>9.6318513223559581</c:v>
                </c:pt>
                <c:pt idx="1">
                  <c:v>9.6674053948601202</c:v>
                </c:pt>
                <c:pt idx="2">
                  <c:v>9.7145081951473582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B-49A4-947C-755270ABF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758607"/>
        <c:axId val="431495599"/>
      </c:lineChart>
      <c:catAx>
        <c:axId val="25175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95599"/>
        <c:crosses val="autoZero"/>
        <c:auto val="1"/>
        <c:lblAlgn val="ctr"/>
        <c:lblOffset val="100"/>
        <c:noMultiLvlLbl val="0"/>
      </c:catAx>
      <c:valAx>
        <c:axId val="4314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Acc'!$C$21</c:f>
              <c:strCache>
                <c:ptCount val="1"/>
                <c:pt idx="0">
                  <c:v>MemBWavgRd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Acc'!$D$21:$M$21</c:f>
              <c:numCache>
                <c:formatCode>General</c:formatCode>
                <c:ptCount val="3"/>
                <c:pt idx="0">
                  <c:v>1.08</c:v>
                </c:pt>
                <c:pt idx="1">
                  <c:v>1.07</c:v>
                </c:pt>
                <c:pt idx="2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6-40A2-A8A6-E631B7B6C3E9}"/>
            </c:ext>
          </c:extLst>
        </c:ser>
        <c:ser>
          <c:idx val="1"/>
          <c:order val="1"/>
          <c:tx>
            <c:strRef>
              <c:f>'BP Acc'!$C$22</c:f>
              <c:strCache>
                <c:ptCount val="1"/>
                <c:pt idx="0">
                  <c:v>MemBWavgWr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'BP Acc'!$D$22:$M$22</c:f>
              <c:numCache>
                <c:formatCode>General</c:formatCode>
                <c:ptCount val="3"/>
                <c:pt idx="0">
                  <c:v>1.53</c:v>
                </c:pt>
                <c:pt idx="1">
                  <c:v>1.49</c:v>
                </c:pt>
                <c:pt idx="2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6-40A2-A8A6-E631B7B6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737887"/>
        <c:axId val="321738303"/>
      </c:lineChart>
      <c:catAx>
        <c:axId val="32173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8303"/>
        <c:crosses val="autoZero"/>
        <c:auto val="1"/>
        <c:lblAlgn val="ctr"/>
        <c:lblOffset val="100"/>
        <c:noMultiLvlLbl val="0"/>
      </c:catAx>
      <c:valAx>
        <c:axId val="3217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Acc'!$C$26</c:f>
              <c:strCache>
                <c:ptCount val="1"/>
                <c:pt idx="0">
                  <c:v>avg.cache.miss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Acc'!$D$26:$M$26</c:f>
              <c:numCache>
                <c:formatCode>General</c:formatCode>
                <c:ptCount val="3"/>
                <c:pt idx="0">
                  <c:v>1227765</c:v>
                </c:pt>
                <c:pt idx="1">
                  <c:v>1045092</c:v>
                </c:pt>
                <c:pt idx="2">
                  <c:v>1448997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8-4624-A3D9-88B3B3B0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468559"/>
        <c:axId val="254467727"/>
      </c:lineChart>
      <c:catAx>
        <c:axId val="25446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67727"/>
        <c:crosses val="autoZero"/>
        <c:auto val="1"/>
        <c:lblAlgn val="ctr"/>
        <c:lblOffset val="100"/>
        <c:noMultiLvlLbl val="0"/>
      </c:catAx>
      <c:valAx>
        <c:axId val="2544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6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Acc'!$C$25</c:f>
              <c:strCache>
                <c:ptCount val="1"/>
                <c:pt idx="0">
                  <c:v>avg.cache.hits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Acc'!$D$25:$M$25</c:f>
              <c:numCache>
                <c:formatCode>General</c:formatCode>
                <c:ptCount val="3"/>
                <c:pt idx="0">
                  <c:v>64043211</c:v>
                </c:pt>
                <c:pt idx="1">
                  <c:v>64358811</c:v>
                </c:pt>
                <c:pt idx="2">
                  <c:v>63784847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0-4D3D-9FE9-992916D8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184271"/>
        <c:axId val="411178863"/>
      </c:lineChart>
      <c:catAx>
        <c:axId val="41118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8863"/>
        <c:crosses val="autoZero"/>
        <c:auto val="1"/>
        <c:lblAlgn val="ctr"/>
        <c:lblOffset val="100"/>
        <c:noMultiLvlLbl val="0"/>
      </c:catAx>
      <c:valAx>
        <c:axId val="4111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8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Acc'!$C$27</c:f>
              <c:strCache>
                <c:ptCount val="1"/>
                <c:pt idx="0">
                  <c:v>avg.cache.access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'BP Acc'!$D$27:$M$27</c:f>
              <c:numCache>
                <c:formatCode>General</c:formatCode>
                <c:ptCount val="3"/>
                <c:pt idx="0">
                  <c:v>480794635</c:v>
                </c:pt>
                <c:pt idx="1">
                  <c:v>65403903</c:v>
                </c:pt>
                <c:pt idx="2">
                  <c:v>65233844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F-41E5-85E2-359E98F89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84255"/>
        <c:axId val="422584671"/>
      </c:lineChart>
      <c:catAx>
        <c:axId val="42258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4671"/>
        <c:crosses val="autoZero"/>
        <c:auto val="1"/>
        <c:lblAlgn val="ctr"/>
        <c:lblOffset val="100"/>
        <c:noMultiLvlLbl val="0"/>
      </c:catAx>
      <c:valAx>
        <c:axId val="4225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75276</xdr:colOff>
      <xdr:row>46</xdr:row>
      <xdr:rowOff>46524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90476" cy="8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57150</xdr:rowOff>
    </xdr:from>
    <xdr:to>
      <xdr:col>12</xdr:col>
      <xdr:colOff>380038</xdr:colOff>
      <xdr:row>95</xdr:row>
      <xdr:rowOff>170293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010650"/>
          <a:ext cx="7695238" cy="9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2646</xdr:colOff>
      <xdr:row>16</xdr:row>
      <xdr:rowOff>93927</xdr:rowOff>
    </xdr:from>
    <xdr:to>
      <xdr:col>9</xdr:col>
      <xdr:colOff>307446</xdr:colOff>
      <xdr:row>30</xdr:row>
      <xdr:rowOff>170127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283964</xdr:colOff>
      <xdr:row>2</xdr:row>
      <xdr:rowOff>4299</xdr:rowOff>
    </xdr:from>
    <xdr:to>
      <xdr:col>16</xdr:col>
      <xdr:colOff>589359</xdr:colOff>
      <xdr:row>16</xdr:row>
      <xdr:rowOff>80499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341180</xdr:colOff>
      <xdr:row>16</xdr:row>
      <xdr:rowOff>67800</xdr:rowOff>
    </xdr:from>
    <xdr:to>
      <xdr:col>17</xdr:col>
      <xdr:colOff>32741</xdr:colOff>
      <xdr:row>30</xdr:row>
      <xdr:rowOff>146976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593724</xdr:colOff>
      <xdr:row>2</xdr:row>
      <xdr:rowOff>19844</xdr:rowOff>
    </xdr:from>
    <xdr:to>
      <xdr:col>24</xdr:col>
      <xdr:colOff>288924</xdr:colOff>
      <xdr:row>16</xdr:row>
      <xdr:rowOff>96044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21166</xdr:colOff>
      <xdr:row>16</xdr:row>
      <xdr:rowOff>127001</xdr:rowOff>
    </xdr:from>
    <xdr:to>
      <xdr:col>24</xdr:col>
      <xdr:colOff>321799</xdr:colOff>
      <xdr:row>30</xdr:row>
      <xdr:rowOff>161529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350041</xdr:colOff>
      <xdr:row>2</xdr:row>
      <xdr:rowOff>0</xdr:rowOff>
    </xdr:from>
    <xdr:to>
      <xdr:col>8</xdr:col>
      <xdr:colOff>47622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345278</xdr:colOff>
      <xdr:row>16</xdr:row>
      <xdr:rowOff>104775</xdr:rowOff>
    </xdr:from>
    <xdr:to>
      <xdr:col>8</xdr:col>
      <xdr:colOff>42859</xdr:colOff>
      <xdr:row>30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102390</xdr:colOff>
      <xdr:row>1</xdr:row>
      <xdr:rowOff>173832</xdr:rowOff>
    </xdr:from>
    <xdr:to>
      <xdr:col>15</xdr:col>
      <xdr:colOff>404809</xdr:colOff>
      <xdr:row>16</xdr:row>
      <xdr:rowOff>59532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128585</xdr:colOff>
      <xdr:row>16</xdr:row>
      <xdr:rowOff>104775</xdr:rowOff>
    </xdr:from>
    <xdr:to>
      <xdr:col>15</xdr:col>
      <xdr:colOff>433386</xdr:colOff>
      <xdr:row>30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404809</xdr:colOff>
      <xdr:row>1</xdr:row>
      <xdr:rowOff>178594</xdr:rowOff>
    </xdr:from>
    <xdr:to>
      <xdr:col>23</xdr:col>
      <xdr:colOff>102391</xdr:colOff>
      <xdr:row>16</xdr:row>
      <xdr:rowOff>64294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464343</xdr:colOff>
      <xdr:row>16</xdr:row>
      <xdr:rowOff>107157</xdr:rowOff>
    </xdr:from>
    <xdr:to>
      <xdr:col>23</xdr:col>
      <xdr:colOff>178593</xdr:colOff>
      <xdr:row>30</xdr:row>
      <xdr:rowOff>183357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0</xdr:rowOff>
    </xdr:from>
    <xdr:to>
      <xdr:col>7</xdr:col>
      <xdr:colOff>542925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16</xdr:row>
      <xdr:rowOff>76200</xdr:rowOff>
    </xdr:from>
    <xdr:to>
      <xdr:col>7</xdr:col>
      <xdr:colOff>542925</xdr:colOff>
      <xdr:row>30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531020</xdr:colOff>
      <xdr:row>2</xdr:row>
      <xdr:rowOff>0</xdr:rowOff>
    </xdr:from>
    <xdr:to>
      <xdr:col>15</xdr:col>
      <xdr:colOff>226220</xdr:colOff>
      <xdr:row>16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521495</xdr:colOff>
      <xdr:row>16</xdr:row>
      <xdr:rowOff>66675</xdr:rowOff>
    </xdr:from>
    <xdr:to>
      <xdr:col>15</xdr:col>
      <xdr:colOff>219077</xdr:colOff>
      <xdr:row>30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226220</xdr:colOff>
      <xdr:row>2</xdr:row>
      <xdr:rowOff>0</xdr:rowOff>
    </xdr:from>
    <xdr:to>
      <xdr:col>22</xdr:col>
      <xdr:colOff>531020</xdr:colOff>
      <xdr:row>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226220</xdr:colOff>
      <xdr:row>16</xdr:row>
      <xdr:rowOff>95250</xdr:rowOff>
    </xdr:from>
    <xdr:to>
      <xdr:col>22</xdr:col>
      <xdr:colOff>547688</xdr:colOff>
      <xdr:row>30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316705</xdr:colOff>
      <xdr:row>2</xdr:row>
      <xdr:rowOff>0</xdr:rowOff>
    </xdr:from>
    <xdr:to>
      <xdr:col>16</xdr:col>
      <xdr:colOff>11905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11906</xdr:colOff>
      <xdr:row>16</xdr:row>
      <xdr:rowOff>59532</xdr:rowOff>
    </xdr:from>
    <xdr:to>
      <xdr:col>8</xdr:col>
      <xdr:colOff>316706</xdr:colOff>
      <xdr:row>30</xdr:row>
      <xdr:rowOff>135732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328612</xdr:colOff>
      <xdr:row>16</xdr:row>
      <xdr:rowOff>59531</xdr:rowOff>
    </xdr:from>
    <xdr:to>
      <xdr:col>16</xdr:col>
      <xdr:colOff>23812</xdr:colOff>
      <xdr:row>30</xdr:row>
      <xdr:rowOff>135731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609599</xdr:colOff>
      <xdr:row>2</xdr:row>
      <xdr:rowOff>0</xdr:rowOff>
    </xdr:from>
    <xdr:to>
      <xdr:col>23</xdr:col>
      <xdr:colOff>304799</xdr:colOff>
      <xdr:row>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35718</xdr:colOff>
      <xdr:row>16</xdr:row>
      <xdr:rowOff>47625</xdr:rowOff>
    </xdr:from>
    <xdr:to>
      <xdr:col>23</xdr:col>
      <xdr:colOff>340518</xdr:colOff>
      <xdr:row>30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1"/>
  <sheetViews>
    <sheetView topLeftCell="A2" zoomScaleNormal="100" zoomScaleSheetLayoutView="50" workbookViewId="0">
      <selection activeCell="J8" sqref="J8"/>
    </sheetView>
  </sheetViews>
  <sheetFormatPr defaultRowHeight="15" x14ac:dyDescent="0.25"/>
  <cols>
    <col min="1" max="1" width="6.28515625" customWidth="1"/>
    <col min="2" max="2" width="10.42578125" customWidth="1"/>
    <col min="3" max="3" width="24.5703125" customWidth="1"/>
    <col min="4" max="4" width="25" hidden="1" customWidth="1"/>
    <col min="5" max="5" width="17.85546875" hidden="1" customWidth="1"/>
    <col min="6" max="6" width="17.85546875" customWidth="1"/>
    <col min="7" max="7" width="13" hidden="1" customWidth="1"/>
    <col min="8" max="8" width="18.5703125" hidden="1" customWidth="1"/>
    <col min="9" max="10" width="18.5703125" customWidth="1"/>
    <col min="11" max="11" width="17.85546875" hidden="1" customWidth="1"/>
    <col min="12" max="12" width="12" hidden="1" customWidth="1"/>
    <col min="13" max="13" width="14.85546875" hidden="1" customWidth="1"/>
  </cols>
  <sheetData>
    <row r="3" spans="2:13" ht="12" customHeight="1" x14ac:dyDescent="0.25">
      <c r="B3" s="5"/>
      <c r="C3" s="1"/>
      <c r="D3" s="11" t="s">
        <v>16</v>
      </c>
      <c r="E3" s="12"/>
      <c r="F3" s="7" t="s">
        <v>17</v>
      </c>
      <c r="G3" s="7"/>
      <c r="H3" s="7"/>
      <c r="I3" s="7" t="s">
        <v>26</v>
      </c>
      <c r="J3" s="7"/>
      <c r="K3" s="7" t="s">
        <v>27</v>
      </c>
      <c r="L3" s="7"/>
      <c r="M3" s="7"/>
    </row>
    <row r="4" spans="2:13" ht="30" x14ac:dyDescent="0.25">
      <c r="B4" s="5"/>
      <c r="C4" s="1"/>
      <c r="D4" s="25" t="s">
        <v>34</v>
      </c>
      <c r="E4" s="6" t="s">
        <v>21</v>
      </c>
      <c r="F4" s="1" t="s">
        <v>4</v>
      </c>
      <c r="G4" s="1" t="s">
        <v>5</v>
      </c>
      <c r="H4" s="1" t="s">
        <v>6</v>
      </c>
      <c r="I4" s="4" t="s">
        <v>4</v>
      </c>
      <c r="J4" s="4" t="s">
        <v>6</v>
      </c>
      <c r="K4" s="1" t="s">
        <v>4</v>
      </c>
      <c r="L4" s="1" t="s">
        <v>5</v>
      </c>
      <c r="M4" s="1" t="s">
        <v>6</v>
      </c>
    </row>
    <row r="5" spans="2:13" x14ac:dyDescent="0.25">
      <c r="B5" s="5"/>
      <c r="C5" s="8" t="s">
        <v>0</v>
      </c>
      <c r="D5" s="9"/>
      <c r="E5" s="9"/>
      <c r="F5" s="9"/>
      <c r="G5" s="9"/>
      <c r="H5" s="9"/>
      <c r="I5" s="9"/>
      <c r="J5" s="9"/>
      <c r="K5" s="9"/>
      <c r="L5" s="9"/>
      <c r="M5" s="10"/>
    </row>
    <row r="6" spans="2:13" x14ac:dyDescent="0.25">
      <c r="B6" s="5"/>
      <c r="C6" s="2" t="s">
        <v>24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</row>
    <row r="7" spans="2:13" ht="15" customHeight="1" x14ac:dyDescent="0.25">
      <c r="B7" s="5"/>
      <c r="C7" s="15" t="s">
        <v>25</v>
      </c>
      <c r="D7" s="15">
        <v>275379767</v>
      </c>
      <c r="E7" s="15">
        <v>61719052</v>
      </c>
      <c r="F7" s="15">
        <v>61997119</v>
      </c>
      <c r="G7" s="15">
        <v>61719052</v>
      </c>
      <c r="H7" s="15">
        <v>61788519</v>
      </c>
      <c r="I7" s="15">
        <v>61794192</v>
      </c>
      <c r="J7" s="15">
        <v>61901462</v>
      </c>
      <c r="K7" s="15">
        <v>61997080</v>
      </c>
      <c r="L7" s="15">
        <v>61719052</v>
      </c>
      <c r="M7" s="16">
        <v>61788519</v>
      </c>
    </row>
    <row r="8" spans="2:13" x14ac:dyDescent="0.25">
      <c r="B8" s="5"/>
      <c r="C8" s="15" t="s">
        <v>10</v>
      </c>
      <c r="D8" s="15">
        <v>1928389</v>
      </c>
      <c r="E8" s="15">
        <v>248950</v>
      </c>
      <c r="F8" s="15">
        <v>939524</v>
      </c>
      <c r="G8" s="15">
        <v>248950</v>
      </c>
      <c r="H8" s="15">
        <v>1066496</v>
      </c>
      <c r="I8" s="15">
        <v>1066704</v>
      </c>
      <c r="J8" s="15">
        <v>1169154</v>
      </c>
      <c r="K8" s="15">
        <v>939520</v>
      </c>
      <c r="L8" s="15">
        <v>1002007</v>
      </c>
      <c r="M8" s="16">
        <v>1066498</v>
      </c>
    </row>
    <row r="9" spans="2:13" x14ac:dyDescent="0.25">
      <c r="B9" s="5"/>
      <c r="C9" s="15" t="s">
        <v>11</v>
      </c>
      <c r="D9" s="15">
        <v>277308156</v>
      </c>
      <c r="E9" s="15">
        <f>SUM(E7:E8)</f>
        <v>61968002</v>
      </c>
      <c r="F9" s="15">
        <f>SUM(F7:F8)</f>
        <v>62936643</v>
      </c>
      <c r="G9" s="15">
        <f>SUM(G7:G8)</f>
        <v>61968002</v>
      </c>
      <c r="H9" s="15">
        <f t="shared" ref="H9:K9" si="0">SUM(H7:H8)</f>
        <v>62855015</v>
      </c>
      <c r="I9" s="15">
        <f t="shared" ref="I9:J9" si="1">SUM(I7:I8)</f>
        <v>62860896</v>
      </c>
      <c r="J9" s="15">
        <f t="shared" si="1"/>
        <v>63070616</v>
      </c>
      <c r="K9" s="15">
        <f t="shared" si="0"/>
        <v>62936600</v>
      </c>
      <c r="L9" s="15">
        <f>SUM(L7:L8)</f>
        <v>62721059</v>
      </c>
      <c r="M9" s="16">
        <v>62855017</v>
      </c>
    </row>
    <row r="10" spans="2:13" x14ac:dyDescent="0.25">
      <c r="B10" s="5"/>
      <c r="C10" s="15" t="s">
        <v>18</v>
      </c>
      <c r="D10" s="15">
        <f t="shared" ref="D10:M10" si="2">(1- D8/D9)*100</f>
        <v>99.304604297321859</v>
      </c>
      <c r="E10" s="15">
        <f t="shared" si="2"/>
        <v>99.598260405426657</v>
      </c>
      <c r="F10" s="15">
        <f t="shared" si="2"/>
        <v>98.507190795034944</v>
      </c>
      <c r="G10" s="15">
        <f t="shared" si="2"/>
        <v>99.598260405426657</v>
      </c>
      <c r="H10" s="15">
        <f t="shared" si="2"/>
        <v>98.303244379147799</v>
      </c>
      <c r="I10" s="15">
        <f t="shared" si="2"/>
        <v>98.303072231105332</v>
      </c>
      <c r="J10" s="15">
        <f t="shared" si="2"/>
        <v>98.146277816598456</v>
      </c>
      <c r="K10" s="15">
        <f t="shared" si="2"/>
        <v>98.507196130709318</v>
      </c>
      <c r="L10" s="15">
        <f t="shared" si="2"/>
        <v>98.402439282793367</v>
      </c>
      <c r="M10" s="15">
        <f t="shared" si="2"/>
        <v>98.303241251211503</v>
      </c>
    </row>
    <row r="11" spans="2:13" x14ac:dyDescent="0.25">
      <c r="B11" s="5"/>
      <c r="C11" s="16" t="s">
        <v>8</v>
      </c>
      <c r="D11" s="15">
        <v>1</v>
      </c>
      <c r="E11" s="15">
        <f>(D$8-E8)*100/D$8</f>
        <v>87.090260315735051</v>
      </c>
      <c r="F11" s="15">
        <f>(D$8-F8)*100/D$8</f>
        <v>51.279332126453738</v>
      </c>
      <c r="G11" s="15">
        <f>(D$8-G8)*100/D$8</f>
        <v>87.090260315735051</v>
      </c>
      <c r="H11" s="15">
        <f>(D$8-H8)*100/D$8</f>
        <v>44.694975961800239</v>
      </c>
      <c r="I11" s="15">
        <f>(D$8-I8)*100/D$8</f>
        <v>44.68418975631991</v>
      </c>
      <c r="J11" s="15">
        <f>(D$8-J8)*100/D$8</f>
        <v>39.371464989688285</v>
      </c>
      <c r="K11" s="15">
        <f>(D$8-K8)/D$8 * 100</f>
        <v>51.279539553482209</v>
      </c>
      <c r="L11" s="15">
        <f>(D$8-L8)/D$8 * 100</f>
        <v>48.039166371515293</v>
      </c>
      <c r="M11" s="15">
        <f>(D$8-M8)/D$8 * 100</f>
        <v>44.694872248286003</v>
      </c>
    </row>
    <row r="12" spans="2:13" x14ac:dyDescent="0.25">
      <c r="B12" s="5"/>
      <c r="C12" s="15" t="s">
        <v>12</v>
      </c>
      <c r="D12" s="15">
        <v>29.49</v>
      </c>
      <c r="E12" s="15">
        <v>46.39</v>
      </c>
      <c r="F12" s="15">
        <v>3.9</v>
      </c>
      <c r="G12" s="15">
        <v>46.39</v>
      </c>
      <c r="H12" s="15">
        <v>3.86</v>
      </c>
      <c r="I12" s="15">
        <v>3.9</v>
      </c>
      <c r="J12" s="15">
        <v>3.82</v>
      </c>
      <c r="K12" s="15">
        <v>3.9</v>
      </c>
      <c r="L12" s="15">
        <v>46.39</v>
      </c>
      <c r="M12" s="16">
        <v>3.86</v>
      </c>
    </row>
    <row r="13" spans="2:13" x14ac:dyDescent="0.25">
      <c r="B13" s="5"/>
      <c r="C13" s="15" t="s">
        <v>13</v>
      </c>
      <c r="D13" s="15">
        <v>35.03</v>
      </c>
      <c r="E13" s="15">
        <v>38.44</v>
      </c>
      <c r="F13" s="15">
        <v>5.29</v>
      </c>
      <c r="G13" s="15">
        <v>38.44</v>
      </c>
      <c r="H13" s="15">
        <v>5.25</v>
      </c>
      <c r="I13" s="15">
        <v>5.28</v>
      </c>
      <c r="J13" s="15">
        <v>5.18</v>
      </c>
      <c r="K13" s="15">
        <v>5.29</v>
      </c>
      <c r="L13" s="15">
        <v>38.44</v>
      </c>
      <c r="M13" s="16">
        <v>5.25</v>
      </c>
    </row>
    <row r="14" spans="2:13" x14ac:dyDescent="0.25">
      <c r="B14" s="5"/>
      <c r="C14" s="16" t="s">
        <v>15</v>
      </c>
      <c r="D14" s="15">
        <f>885655972.588054/62818853</f>
        <v>14.098569621894464</v>
      </c>
      <c r="E14" s="15">
        <f>645484350.872108/63384889</f>
        <v>10.183568371826098</v>
      </c>
      <c r="F14" s="15">
        <f>613978352.25408/62729751</f>
        <v>9.7876739898757137</v>
      </c>
      <c r="G14" s="15">
        <f>645484350.872108/63384889</f>
        <v>10.183568371826098</v>
      </c>
      <c r="H14" s="15">
        <f>621141683.142074/62648301</f>
        <v>9.9147410740168986</v>
      </c>
      <c r="I14" s="15">
        <f>616550530.244077/62654274</f>
        <v>9.8405183059670751</v>
      </c>
      <c r="J14" s="15">
        <f>623419472.892095/62662423</f>
        <v>9.9488567955965408</v>
      </c>
      <c r="K14" s="15">
        <f>614052662.25408/62729695</f>
        <v>9.7888673339489394</v>
      </c>
      <c r="L14" s="15">
        <f>645484350.872108/63384889</f>
        <v>10.183568371826098</v>
      </c>
      <c r="M14" s="16">
        <f>621141687.142074/62648300</f>
        <v>9.9147412961257366</v>
      </c>
    </row>
    <row r="15" spans="2:13" x14ac:dyDescent="0.25">
      <c r="B15" s="5"/>
      <c r="C15" s="17" t="s">
        <v>1</v>
      </c>
      <c r="D15" s="18"/>
      <c r="E15" s="18"/>
      <c r="F15" s="18"/>
      <c r="G15" s="18"/>
      <c r="H15" s="18"/>
      <c r="I15" s="18"/>
      <c r="J15" s="18"/>
      <c r="K15" s="18"/>
      <c r="L15" s="18"/>
      <c r="M15" s="19"/>
    </row>
    <row r="16" spans="2:13" ht="15" customHeight="1" x14ac:dyDescent="0.25">
      <c r="B16" s="5"/>
      <c r="C16" s="15" t="s">
        <v>9</v>
      </c>
      <c r="D16" s="15">
        <v>277876202</v>
      </c>
      <c r="E16" s="15">
        <v>61498945</v>
      </c>
      <c r="F16" s="15">
        <v>61254576</v>
      </c>
      <c r="G16" s="15">
        <v>61498945</v>
      </c>
      <c r="H16" s="15">
        <v>61254578</v>
      </c>
      <c r="I16" s="15">
        <v>61114012</v>
      </c>
      <c r="J16" s="15">
        <v>61057854</v>
      </c>
      <c r="K16" s="15">
        <v>61254578</v>
      </c>
      <c r="L16" s="15">
        <v>61498945</v>
      </c>
      <c r="M16" s="16">
        <v>61130980</v>
      </c>
    </row>
    <row r="17" spans="2:13" x14ac:dyDescent="0.25">
      <c r="B17" s="5"/>
      <c r="C17" s="15" t="s">
        <v>10</v>
      </c>
      <c r="D17" s="15">
        <v>1359122</v>
      </c>
      <c r="E17" s="15">
        <v>74692</v>
      </c>
      <c r="F17" s="15">
        <v>654451</v>
      </c>
      <c r="G17" s="15">
        <v>74692</v>
      </c>
      <c r="H17" s="15">
        <v>654450</v>
      </c>
      <c r="I17" s="15">
        <v>758321</v>
      </c>
      <c r="J17" s="15">
        <v>826077</v>
      </c>
      <c r="K17" s="15">
        <v>654450</v>
      </c>
      <c r="L17" s="15">
        <v>632846</v>
      </c>
      <c r="M17" s="16">
        <v>735421</v>
      </c>
    </row>
    <row r="18" spans="2:13" x14ac:dyDescent="0.25">
      <c r="B18" s="5"/>
      <c r="C18" s="15" t="s">
        <v>11</v>
      </c>
      <c r="D18" s="15">
        <v>279235324</v>
      </c>
      <c r="E18" s="15">
        <f>SUM(E16:E17)</f>
        <v>61573637</v>
      </c>
      <c r="F18" s="15">
        <v>61909028</v>
      </c>
      <c r="G18" s="15">
        <f>SUM(G16:G17)</f>
        <v>61573637</v>
      </c>
      <c r="H18" s="15">
        <v>61909028</v>
      </c>
      <c r="I18" s="15">
        <f t="shared" ref="I18:J18" si="3">SUM(I16:I17)</f>
        <v>61872333</v>
      </c>
      <c r="J18" s="15">
        <f t="shared" si="3"/>
        <v>61883931</v>
      </c>
      <c r="K18" s="15">
        <v>61909028</v>
      </c>
      <c r="L18" s="15">
        <f>SUM(L16:L17)</f>
        <v>62131791</v>
      </c>
      <c r="M18" s="16">
        <v>61866401</v>
      </c>
    </row>
    <row r="19" spans="2:13" x14ac:dyDescent="0.25">
      <c r="B19" s="5"/>
      <c r="C19" s="15" t="s">
        <v>18</v>
      </c>
      <c r="D19" s="15">
        <f t="shared" ref="D19:M19" si="4">(1- D17/D18)*100</f>
        <v>99.513270033128038</v>
      </c>
      <c r="E19" s="15">
        <f t="shared" si="4"/>
        <v>99.878694838182128</v>
      </c>
      <c r="F19" s="15">
        <f t="shared" si="4"/>
        <v>98.942882773090872</v>
      </c>
      <c r="G19" s="15">
        <f t="shared" si="4"/>
        <v>99.878694838182128</v>
      </c>
      <c r="H19" s="15">
        <f t="shared" si="4"/>
        <v>98.942884388364163</v>
      </c>
      <c r="I19" s="15">
        <f>(1- I17/I18)*100</f>
        <v>98.774377879043286</v>
      </c>
      <c r="J19" s="15">
        <f>(1- J17/J18)*100</f>
        <v>98.665118736558611</v>
      </c>
      <c r="K19" s="15">
        <f t="shared" si="4"/>
        <v>98.942884388364163</v>
      </c>
      <c r="L19" s="15">
        <f t="shared" si="4"/>
        <v>98.981445746510033</v>
      </c>
      <c r="M19" s="15">
        <f t="shared" si="4"/>
        <v>98.811275606609144</v>
      </c>
    </row>
    <row r="20" spans="2:13" x14ac:dyDescent="0.25">
      <c r="B20" s="5"/>
      <c r="C20" s="16" t="s">
        <v>8</v>
      </c>
      <c r="D20" s="15">
        <v>1</v>
      </c>
      <c r="E20" s="15">
        <f>(D$17-E17)*100/D$17</f>
        <v>94.504393277424697</v>
      </c>
      <c r="F20" s="15">
        <f>(D$17-F17)*100/D$17</f>
        <v>51.847516264176434</v>
      </c>
      <c r="G20" s="15">
        <f>(D$17-G17)*100/D$17</f>
        <v>94.504393277424697</v>
      </c>
      <c r="H20" s="15">
        <f>(D$17-H17)*100/D$17</f>
        <v>51.847589841088585</v>
      </c>
      <c r="I20" s="15">
        <f>(D$17-I17)*100/D$17</f>
        <v>44.205082398783922</v>
      </c>
      <c r="J20" s="15">
        <f>(D$17-J17)*100/D$17</f>
        <v>39.219805138905855</v>
      </c>
      <c r="K20" s="15">
        <f>(D$17-K17)/D$17 * 100</f>
        <v>51.847589841088585</v>
      </c>
      <c r="L20" s="15">
        <f>(D$17-L17)/D$17 * 100</f>
        <v>53.437145451254565</v>
      </c>
      <c r="M20" s="15">
        <f>(D$17-M17)/D$17 * 100</f>
        <v>45.88999368710094</v>
      </c>
    </row>
    <row r="21" spans="2:13" x14ac:dyDescent="0.25">
      <c r="B21" s="5"/>
      <c r="C21" s="15" t="s">
        <v>12</v>
      </c>
      <c r="D21" s="15">
        <v>24.06</v>
      </c>
      <c r="E21" s="15">
        <v>13.85</v>
      </c>
      <c r="F21" s="15">
        <v>1.08</v>
      </c>
      <c r="G21" s="15">
        <v>13.85</v>
      </c>
      <c r="H21" s="15">
        <v>1.0900000000000001</v>
      </c>
      <c r="I21" s="15">
        <v>1.07</v>
      </c>
      <c r="J21" s="15">
        <v>1.08</v>
      </c>
      <c r="K21" s="15">
        <v>1.0900000000000001</v>
      </c>
      <c r="L21" s="15">
        <v>13.85</v>
      </c>
      <c r="M21" s="16">
        <v>1.06</v>
      </c>
    </row>
    <row r="22" spans="2:13" x14ac:dyDescent="0.25">
      <c r="B22" s="5"/>
      <c r="C22" s="15" t="s">
        <v>13</v>
      </c>
      <c r="D22" s="15">
        <v>27.89</v>
      </c>
      <c r="E22" s="15">
        <v>12.65</v>
      </c>
      <c r="F22" s="15">
        <v>1.53</v>
      </c>
      <c r="G22" s="15">
        <v>12.65</v>
      </c>
      <c r="H22" s="15">
        <v>1.53</v>
      </c>
      <c r="I22" s="15">
        <v>1.49</v>
      </c>
      <c r="J22" s="15">
        <v>1.48</v>
      </c>
      <c r="K22" s="15">
        <v>1.53</v>
      </c>
      <c r="L22" s="15">
        <v>12.65</v>
      </c>
      <c r="M22" s="15">
        <v>1.5</v>
      </c>
    </row>
    <row r="23" spans="2:13" x14ac:dyDescent="0.25">
      <c r="B23" s="5"/>
      <c r="C23" s="16" t="s">
        <v>15</v>
      </c>
      <c r="D23" s="15">
        <f>775444952.892084/60981937</f>
        <v>12.715977731112149</v>
      </c>
      <c r="E23" s="15">
        <f>615648558.56819/62198134</f>
        <v>9.8981837392129801</v>
      </c>
      <c r="F23" s="15">
        <f>594239311.554109/61695233</f>
        <v>9.6318513223559581</v>
      </c>
      <c r="G23" s="15">
        <f>615648558.56819/62198134</f>
        <v>9.8981837392129801</v>
      </c>
      <c r="H23" s="15">
        <f>594239309.554109/61695233</f>
        <v>9.6318512899385436</v>
      </c>
      <c r="I23" s="15">
        <f>596081273.144168/61658868</f>
        <v>9.6674053948601202</v>
      </c>
      <c r="J23" s="15">
        <f>599101355.998179/61670786</f>
        <v>9.7145081951473582</v>
      </c>
      <c r="K23" s="15">
        <f>594239309.554109/61695233</f>
        <v>9.6318512899385436</v>
      </c>
      <c r="L23" s="15">
        <f>615648558.56819/62198134</f>
        <v>9.8981837392129801</v>
      </c>
      <c r="M23" s="15">
        <f>596814174.938165/61653141</f>
        <v>9.6801909076808421</v>
      </c>
    </row>
    <row r="24" spans="2:13" x14ac:dyDescent="0.25">
      <c r="B24" s="5"/>
      <c r="C24" s="20" t="s">
        <v>3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2:13" x14ac:dyDescent="0.25">
      <c r="B25" s="5"/>
      <c r="C25" s="15" t="s">
        <v>9</v>
      </c>
      <c r="D25" s="15">
        <v>615592912</v>
      </c>
      <c r="E25" s="15">
        <v>7434830</v>
      </c>
      <c r="F25" s="15">
        <v>64043211</v>
      </c>
      <c r="G25" s="15">
        <v>615592913</v>
      </c>
      <c r="H25" s="15">
        <v>477048138</v>
      </c>
      <c r="I25" s="15">
        <v>64358811</v>
      </c>
      <c r="J25" s="15">
        <v>63784847</v>
      </c>
      <c r="K25" s="15">
        <v>64043128</v>
      </c>
      <c r="L25" s="15">
        <v>63660944</v>
      </c>
      <c r="M25" s="15">
        <v>63664758</v>
      </c>
    </row>
    <row r="26" spans="2:13" x14ac:dyDescent="0.25">
      <c r="B26" s="5"/>
      <c r="C26" s="15" t="s">
        <v>10</v>
      </c>
      <c r="D26" s="15">
        <v>9147623</v>
      </c>
      <c r="E26" s="15">
        <v>1088468</v>
      </c>
      <c r="F26" s="15">
        <v>1227765</v>
      </c>
      <c r="G26" s="15">
        <v>9147623</v>
      </c>
      <c r="H26" s="15">
        <v>3746497</v>
      </c>
      <c r="I26" s="15">
        <v>1045092</v>
      </c>
      <c r="J26" s="15">
        <v>1448997</v>
      </c>
      <c r="K26" s="15">
        <v>1227736</v>
      </c>
      <c r="L26" s="15">
        <v>1154795</v>
      </c>
      <c r="M26" s="15">
        <v>1311417</v>
      </c>
    </row>
    <row r="27" spans="2:13" x14ac:dyDescent="0.25">
      <c r="B27" s="5"/>
      <c r="C27" s="15" t="s">
        <v>11</v>
      </c>
      <c r="D27" s="15">
        <v>624740536</v>
      </c>
      <c r="E27" s="15">
        <v>8523298</v>
      </c>
      <c r="F27" s="15">
        <v>480794635</v>
      </c>
      <c r="G27" s="15">
        <v>624740536</v>
      </c>
      <c r="H27" s="15">
        <v>480794635</v>
      </c>
      <c r="I27" s="15">
        <f t="shared" ref="I27:J27" si="5">SUM(I25:I26)</f>
        <v>65403903</v>
      </c>
      <c r="J27" s="15">
        <f t="shared" si="5"/>
        <v>65233844</v>
      </c>
      <c r="K27" s="15">
        <v>65270864</v>
      </c>
      <c r="L27" s="15">
        <f>SUM(L25:L26)</f>
        <v>64815739</v>
      </c>
      <c r="M27" s="15">
        <v>64976175</v>
      </c>
    </row>
    <row r="28" spans="2:13" x14ac:dyDescent="0.25">
      <c r="B28" s="5"/>
      <c r="C28" s="15" t="s">
        <v>18</v>
      </c>
      <c r="D28" s="15">
        <f t="shared" ref="D28:M28" si="6">(1- D26/D27)*100</f>
        <v>98.535772457063672</v>
      </c>
      <c r="E28" s="15">
        <f t="shared" si="6"/>
        <v>87.22949731430252</v>
      </c>
      <c r="F28" s="15">
        <f t="shared" si="6"/>
        <v>99.744638373512629</v>
      </c>
      <c r="G28" s="15">
        <f t="shared" si="6"/>
        <v>98.535772457063672</v>
      </c>
      <c r="H28" s="15">
        <f t="shared" si="6"/>
        <v>99.220769799147206</v>
      </c>
      <c r="I28" s="15">
        <f>(1- I26/I27)*100</f>
        <v>98.40209536118968</v>
      </c>
      <c r="J28" s="15">
        <f>(1- J26/J27)*100</f>
        <v>97.778764961328974</v>
      </c>
      <c r="K28" s="15">
        <f t="shared" si="6"/>
        <v>98.119013714909613</v>
      </c>
      <c r="L28" s="15">
        <f t="shared" si="6"/>
        <v>98.218341690125598</v>
      </c>
      <c r="M28" s="15">
        <f t="shared" si="6"/>
        <v>97.981695598425105</v>
      </c>
    </row>
    <row r="29" spans="2:13" x14ac:dyDescent="0.25">
      <c r="B29" s="5"/>
      <c r="C29" s="16" t="s">
        <v>8</v>
      </c>
      <c r="D29" s="16">
        <f>D26/D26</f>
        <v>1</v>
      </c>
      <c r="E29" s="15">
        <f>(D$26-E26)/D$26 *100</f>
        <v>88.101083746017949</v>
      </c>
      <c r="F29" s="15">
        <f>(D26-F26)/D26 * 100</f>
        <v>86.578316574699244</v>
      </c>
      <c r="G29" s="15">
        <f>(D$26-G26)/D$26 * 100</f>
        <v>0</v>
      </c>
      <c r="H29" s="15">
        <f>(D$26-H26)/D$26 * 100</f>
        <v>59.044037997630639</v>
      </c>
      <c r="I29" s="15">
        <f>(D$26-I26)*100/D$26</f>
        <v>88.575261573416398</v>
      </c>
      <c r="J29" s="15">
        <f>(D$26-J26)*100/D$26</f>
        <v>84.159852237023756</v>
      </c>
      <c r="K29" s="15">
        <f>(D$26-K26)/D$26 * 100</f>
        <v>86.578633596946446</v>
      </c>
      <c r="L29" s="15">
        <f>(D$26-L26)/D$26 * 100</f>
        <v>87.37601013946464</v>
      </c>
      <c r="M29" s="15">
        <f>(D$26-M26)/D$26 * 100</f>
        <v>85.663849504947905</v>
      </c>
    </row>
    <row r="30" spans="2:13" x14ac:dyDescent="0.25">
      <c r="B30" s="5"/>
      <c r="C30" s="15" t="s">
        <v>12</v>
      </c>
      <c r="D30" s="15">
        <v>44</v>
      </c>
      <c r="E30" s="15">
        <v>84</v>
      </c>
      <c r="F30" s="15">
        <v>5.97</v>
      </c>
      <c r="G30" s="15">
        <v>44</v>
      </c>
      <c r="H30" s="15">
        <v>75.12</v>
      </c>
      <c r="I30" s="15">
        <v>6.04</v>
      </c>
      <c r="J30" s="15">
        <v>5.91</v>
      </c>
      <c r="K30" s="15">
        <v>5.97</v>
      </c>
      <c r="L30" s="15">
        <v>69.66</v>
      </c>
      <c r="M30" s="15">
        <v>6.06</v>
      </c>
    </row>
    <row r="31" spans="2:13" x14ac:dyDescent="0.25">
      <c r="B31" s="5"/>
      <c r="C31" s="15" t="s">
        <v>13</v>
      </c>
      <c r="D31" s="15">
        <v>52.11</v>
      </c>
      <c r="E31" s="15">
        <v>42</v>
      </c>
      <c r="F31" s="15">
        <v>7.07</v>
      </c>
      <c r="G31" s="15">
        <v>53.95</v>
      </c>
      <c r="H31" s="15">
        <v>75</v>
      </c>
      <c r="I31" s="15">
        <v>6.56</v>
      </c>
      <c r="J31" s="15">
        <v>6.99</v>
      </c>
      <c r="K31" s="15">
        <v>7.07</v>
      </c>
      <c r="L31" s="15">
        <v>56.08</v>
      </c>
      <c r="M31" s="15">
        <v>7.09</v>
      </c>
    </row>
    <row r="32" spans="2:13" x14ac:dyDescent="0.25">
      <c r="B32" s="5"/>
      <c r="C32" s="16" t="s">
        <v>15</v>
      </c>
      <c r="D32" s="16">
        <f>2590776865.58601/141921282</f>
        <v>18.25502721703155</v>
      </c>
      <c r="E32" s="16">
        <f>1619479860.87204/141823146</f>
        <v>11.419009566125688</v>
      </c>
      <c r="F32" s="16">
        <f>642721491.256077/64486104</f>
        <v>9.9668215536183897</v>
      </c>
      <c r="G32" s="15">
        <f>2590776865.58601/141921282</f>
        <v>18.25502721703155</v>
      </c>
      <c r="H32" s="15">
        <f>2590676835.501/121021892</f>
        <v>21.406679342783701</v>
      </c>
      <c r="I32" s="15">
        <f>621437411.252076/65136851</f>
        <v>9.5404890121580497</v>
      </c>
      <c r="J32" s="15">
        <f>654357748.352069/64451794</f>
        <v>10.152669270184614</v>
      </c>
      <c r="K32" s="16">
        <f>642644016.256077/64486149</f>
        <v>9.9656131777395647</v>
      </c>
      <c r="L32" s="16">
        <f>692908591.8721/64871216</f>
        <v>10.681294950168654</v>
      </c>
      <c r="M32" s="15">
        <f>651154128.144071/64284356</f>
        <v>10.12927823596881</v>
      </c>
    </row>
    <row r="33" spans="2:13" x14ac:dyDescent="0.25">
      <c r="B33" s="5"/>
      <c r="C33" s="20" t="s">
        <v>2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2:13" x14ac:dyDescent="0.25">
      <c r="B34" s="5"/>
      <c r="C34" s="15" t="s">
        <v>9</v>
      </c>
      <c r="D34" s="15">
        <v>3564126499</v>
      </c>
      <c r="E34" s="15">
        <v>2678243</v>
      </c>
      <c r="F34" s="15">
        <v>64544047</v>
      </c>
      <c r="G34" s="15">
        <v>3564126499</v>
      </c>
      <c r="H34" s="15">
        <v>2871504992</v>
      </c>
      <c r="I34" s="15">
        <v>63712743</v>
      </c>
      <c r="J34" s="15">
        <v>64276316</v>
      </c>
      <c r="K34" s="15">
        <v>64544058</v>
      </c>
      <c r="L34" s="15">
        <v>64775805</v>
      </c>
      <c r="M34" s="15">
        <v>64369868</v>
      </c>
    </row>
    <row r="35" spans="2:13" x14ac:dyDescent="0.25">
      <c r="B35" s="5"/>
      <c r="C35" s="15" t="s">
        <v>10</v>
      </c>
      <c r="D35" s="15">
        <v>4662140</v>
      </c>
      <c r="E35" s="15">
        <v>1499535</v>
      </c>
      <c r="F35" s="15">
        <v>932764</v>
      </c>
      <c r="G35" s="15">
        <v>4662140</v>
      </c>
      <c r="H35" s="15">
        <v>564399</v>
      </c>
      <c r="I35" s="15">
        <v>1307893</v>
      </c>
      <c r="J35" s="15">
        <v>1133178</v>
      </c>
      <c r="K35" s="15">
        <v>932743</v>
      </c>
      <c r="L35" s="15">
        <v>925316</v>
      </c>
      <c r="M35" s="15">
        <v>1030411</v>
      </c>
    </row>
    <row r="36" spans="2:13" x14ac:dyDescent="0.25">
      <c r="B36" s="5"/>
      <c r="C36" s="15" t="s">
        <v>11</v>
      </c>
      <c r="D36" s="15">
        <v>3568788639</v>
      </c>
      <c r="E36" s="15">
        <v>4177778</v>
      </c>
      <c r="F36" s="15">
        <f>SUM(F34:F35)</f>
        <v>65476811</v>
      </c>
      <c r="G36" s="15">
        <v>3568788639</v>
      </c>
      <c r="H36" s="15">
        <f>SUM(H34:H35)</f>
        <v>2872069391</v>
      </c>
      <c r="I36" s="15">
        <f t="shared" ref="I36:J36" si="7">SUM(I34:I35)</f>
        <v>65020636</v>
      </c>
      <c r="J36" s="15">
        <f t="shared" si="7"/>
        <v>65409494</v>
      </c>
      <c r="K36" s="15">
        <v>65476801</v>
      </c>
      <c r="L36" s="15">
        <f>SUM(L34:L35)</f>
        <v>65701121</v>
      </c>
      <c r="M36" s="15">
        <v>65400279</v>
      </c>
    </row>
    <row r="37" spans="2:13" x14ac:dyDescent="0.25">
      <c r="B37" s="5"/>
      <c r="C37" s="15" t="s">
        <v>18</v>
      </c>
      <c r="D37" s="15">
        <f t="shared" ref="D37:M37" si="8">(1- D35/D36)*100</f>
        <v>99.869363515982656</v>
      </c>
      <c r="E37" s="15">
        <f t="shared" si="8"/>
        <v>64.10687690920868</v>
      </c>
      <c r="F37" s="15">
        <f t="shared" si="8"/>
        <v>98.575428482611954</v>
      </c>
      <c r="G37" s="15">
        <f t="shared" si="8"/>
        <v>99.869363515982656</v>
      </c>
      <c r="H37" s="15">
        <f t="shared" si="8"/>
        <v>99.980348699033229</v>
      </c>
      <c r="I37" s="15">
        <f>(1- I35/I36)*100</f>
        <v>97.988495529327025</v>
      </c>
      <c r="J37" s="15">
        <f>(1- J35/J36)*100</f>
        <v>98.267563421297837</v>
      </c>
      <c r="K37" s="15">
        <f t="shared" si="8"/>
        <v>98.575460337471284</v>
      </c>
      <c r="L37" s="15">
        <f t="shared" si="8"/>
        <v>98.59162829200433</v>
      </c>
      <c r="M37" s="15">
        <f t="shared" si="8"/>
        <v>98.42445473359524</v>
      </c>
    </row>
    <row r="38" spans="2:13" x14ac:dyDescent="0.25">
      <c r="B38" s="5"/>
      <c r="C38" s="16" t="s">
        <v>14</v>
      </c>
      <c r="D38" s="15">
        <v>1</v>
      </c>
      <c r="E38" s="15">
        <f>(D$35-E35)*100/D$35</f>
        <v>67.835907973591532</v>
      </c>
      <c r="F38" s="15">
        <f>(D$35-F35)*100/D$35</f>
        <v>79.992793009218943</v>
      </c>
      <c r="G38" s="15">
        <f>(D$35-G35)*100/D$35</f>
        <v>0</v>
      </c>
      <c r="H38" s="15">
        <f>(D$35-H35)*100/D$35</f>
        <v>87.893992887386474</v>
      </c>
      <c r="I38" s="15">
        <f>(D$35-I35)*100/D$35</f>
        <v>71.946509542827968</v>
      </c>
      <c r="J38" s="15">
        <f>(D$35-J35)*100/D$35</f>
        <v>75.694037502091319</v>
      </c>
      <c r="K38" s="15">
        <f>(D$35-K35)/D$35 * 100</f>
        <v>79.993243446142756</v>
      </c>
      <c r="L38" s="15">
        <f>(D$35-L35)/D$35 * 100</f>
        <v>80.152547971532385</v>
      </c>
      <c r="M38" s="15">
        <f>(D$35-M35)/D$35 * 100</f>
        <v>77.898325661606037</v>
      </c>
    </row>
    <row r="39" spans="2:13" x14ac:dyDescent="0.25">
      <c r="B39" s="5"/>
      <c r="C39" s="15" t="s">
        <v>12</v>
      </c>
      <c r="D39" s="15">
        <v>7.97</v>
      </c>
      <c r="E39" s="15">
        <v>25.2</v>
      </c>
      <c r="F39" s="15">
        <v>6.05</v>
      </c>
      <c r="G39" s="15">
        <v>7.97</v>
      </c>
      <c r="H39" s="15">
        <f>28.3</f>
        <v>28.3</v>
      </c>
      <c r="I39" s="15">
        <v>6.15</v>
      </c>
      <c r="J39" s="15">
        <v>5.9</v>
      </c>
      <c r="K39" s="15">
        <v>6.05</v>
      </c>
      <c r="L39" s="15">
        <v>57.1</v>
      </c>
      <c r="M39" s="15">
        <v>5.96</v>
      </c>
    </row>
    <row r="40" spans="2:13" x14ac:dyDescent="0.25">
      <c r="B40" s="5"/>
      <c r="C40" s="15" t="s">
        <v>13</v>
      </c>
      <c r="D40" s="15">
        <v>8.9600000000000009</v>
      </c>
      <c r="E40" s="15">
        <v>17</v>
      </c>
      <c r="F40" s="15">
        <v>6.58</v>
      </c>
      <c r="G40" s="15">
        <v>8.9600000000000009</v>
      </c>
      <c r="H40" s="15">
        <v>18</v>
      </c>
      <c r="I40" s="15">
        <v>7.18</v>
      </c>
      <c r="J40" s="15">
        <v>6.41</v>
      </c>
      <c r="K40" s="15">
        <v>6.58</v>
      </c>
      <c r="L40" s="15">
        <v>53.55</v>
      </c>
      <c r="M40" s="15">
        <v>6.5</v>
      </c>
    </row>
    <row r="41" spans="2:13" x14ac:dyDescent="0.25">
      <c r="B41" s="5"/>
      <c r="C41" s="16" t="s">
        <v>15</v>
      </c>
      <c r="D41" s="15">
        <f>8425372504.588/690977501</f>
        <v>12.193410772991291</v>
      </c>
      <c r="E41" s="15">
        <f>7571472136.872/691315014</f>
        <v>10.952274988305113</v>
      </c>
      <c r="F41" s="15">
        <f>619807729.260079/65208289</f>
        <v>9.505045121795467</v>
      </c>
      <c r="G41" s="15">
        <f>8425372504.588/690977501</f>
        <v>12.193410772991291</v>
      </c>
      <c r="H41" s="16">
        <f>(D41+E41)/2</f>
        <v>11.572842880648203</v>
      </c>
      <c r="I41" s="16">
        <f>643834743.248074/64307348</f>
        <v>10.011837889008797</v>
      </c>
      <c r="J41" s="16">
        <f>632065020.898094/65143118</f>
        <v>9.7027136603761281</v>
      </c>
      <c r="K41" s="15">
        <f>619794410.260079/65208295</f>
        <v>9.5048399940541159</v>
      </c>
      <c r="L41" s="15">
        <f>634360597.872109/65860670</f>
        <v>9.6318576454219045</v>
      </c>
      <c r="M41" s="15">
        <f>630120223.150073/65133649</f>
        <v>9.6742656495427273</v>
      </c>
    </row>
  </sheetData>
  <customSheetViews>
    <customSheetView guid="{3F0671C6-E8A1-4707-83F8-8C7D5A2AB6F5}" topLeftCell="A8">
      <selection activeCell="C10" sqref="C10:L29"/>
      <pageMargins left="0.7" right="0.7" top="0.75" bottom="0.75" header="0.3" footer="0.3"/>
      <pageSetup orientation="portrait" horizontalDpi="1200" verticalDpi="1200" r:id="rId1"/>
    </customSheetView>
  </customSheetViews>
  <mergeCells count="8">
    <mergeCell ref="C33:M33"/>
    <mergeCell ref="F3:H3"/>
    <mergeCell ref="K3:M3"/>
    <mergeCell ref="C5:M5"/>
    <mergeCell ref="C15:M15"/>
    <mergeCell ref="D3:E3"/>
    <mergeCell ref="C24:M24"/>
    <mergeCell ref="I3:J3"/>
  </mergeCell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60:T64"/>
  <sheetViews>
    <sheetView workbookViewId="0">
      <selection activeCell="R60" sqref="R60:T64"/>
    </sheetView>
  </sheetViews>
  <sheetFormatPr defaultRowHeight="15" x14ac:dyDescent="0.25"/>
  <cols>
    <col min="17" max="18" width="11.42578125" bestFit="1" customWidth="1"/>
    <col min="19" max="19" width="10" bestFit="1" customWidth="1"/>
    <col min="21" max="21" width="10" bestFit="1" customWidth="1"/>
  </cols>
  <sheetData>
    <row r="60" spans="18:20" x14ac:dyDescent="0.25">
      <c r="R60" s="21"/>
      <c r="S60" s="22" t="s">
        <v>28</v>
      </c>
      <c r="T60" s="22" t="s">
        <v>29</v>
      </c>
    </row>
    <row r="61" spans="18:20" x14ac:dyDescent="0.25">
      <c r="R61" s="23" t="s">
        <v>30</v>
      </c>
      <c r="S61" s="24">
        <v>555</v>
      </c>
      <c r="T61" s="24">
        <v>517</v>
      </c>
    </row>
    <row r="62" spans="18:20" x14ac:dyDescent="0.25">
      <c r="R62" s="23" t="s">
        <v>31</v>
      </c>
      <c r="S62" s="24">
        <v>18306139</v>
      </c>
      <c r="T62" s="24">
        <v>15085931</v>
      </c>
    </row>
    <row r="63" spans="18:20" x14ac:dyDescent="0.25">
      <c r="R63" s="23" t="s">
        <v>32</v>
      </c>
      <c r="S63" s="24">
        <v>511</v>
      </c>
      <c r="T63" s="24">
        <v>15702926</v>
      </c>
    </row>
    <row r="64" spans="18:20" x14ac:dyDescent="0.25">
      <c r="R64" s="23" t="s">
        <v>33</v>
      </c>
      <c r="S64" s="24">
        <f>(S63-SUM(S61:S62))*100/(SUM(S61:S62))</f>
        <v>-99.997208671319896</v>
      </c>
      <c r="T64" s="24">
        <f>(T63-SUM(T61:T62))*100/(SUM(T61:T62))</f>
        <v>4.0863031510134125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R3"/>
  <sheetViews>
    <sheetView showGridLines="0" topLeftCell="B1" zoomScale="90" zoomScaleNormal="90" workbookViewId="0">
      <selection activeCell="M39" sqref="M39"/>
    </sheetView>
  </sheetViews>
  <sheetFormatPr defaultRowHeight="15" x14ac:dyDescent="0.25"/>
  <sheetData>
    <row r="2" spans="10:18" x14ac:dyDescent="0.25">
      <c r="J2" s="13" t="s">
        <v>23</v>
      </c>
      <c r="K2" s="13"/>
      <c r="L2" s="13"/>
      <c r="M2" s="13"/>
      <c r="N2" s="13"/>
      <c r="O2" s="13"/>
      <c r="P2" s="13"/>
      <c r="Q2" s="13"/>
      <c r="R2" s="3"/>
    </row>
    <row r="3" spans="10:18" x14ac:dyDescent="0.25">
      <c r="J3" s="3"/>
      <c r="K3" s="3"/>
      <c r="L3" s="3"/>
      <c r="M3" s="3"/>
      <c r="N3" s="3"/>
      <c r="O3" s="3"/>
      <c r="P3" s="3"/>
      <c r="Q3" s="3"/>
      <c r="R3" s="3"/>
    </row>
  </sheetData>
  <mergeCells count="1">
    <mergeCell ref="J2:Q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P43"/>
  <sheetViews>
    <sheetView showGridLines="0" tabSelected="1" zoomScale="80" zoomScaleNormal="80" workbookViewId="0">
      <selection activeCell="L42" sqref="L42:N43"/>
    </sheetView>
  </sheetViews>
  <sheetFormatPr defaultRowHeight="15" x14ac:dyDescent="0.25"/>
  <sheetData>
    <row r="2" spans="8:16" x14ac:dyDescent="0.25">
      <c r="H2" s="14" t="s">
        <v>19</v>
      </c>
      <c r="I2" s="14"/>
      <c r="J2" s="14"/>
      <c r="K2" s="14"/>
      <c r="L2" s="14"/>
      <c r="M2" s="14"/>
      <c r="N2" s="14"/>
      <c r="O2" s="14"/>
      <c r="P2" s="14"/>
    </row>
    <row r="42" spans="12:14" x14ac:dyDescent="0.25">
      <c r="L42" s="26"/>
      <c r="M42" s="26" t="s">
        <v>36</v>
      </c>
      <c r="N42" s="26" t="s">
        <v>7</v>
      </c>
    </row>
    <row r="43" spans="12:14" x14ac:dyDescent="0.25">
      <c r="L43" s="26" t="s">
        <v>35</v>
      </c>
      <c r="M43" s="26">
        <v>460721</v>
      </c>
      <c r="N43" s="26">
        <v>54015</v>
      </c>
    </row>
  </sheetData>
  <customSheetViews>
    <customSheetView guid="{3F0671C6-E8A1-4707-83F8-8C7D5A2AB6F5}" scale="80">
      <selection activeCell="Q24" sqref="Q24"/>
      <pageMargins left="0.7" right="0.7" top="0.75" bottom="0.75" header="0.3" footer="0.3"/>
      <pageSetup orientation="portrait" horizontalDpi="1200" verticalDpi="1200" r:id="rId1"/>
    </customSheetView>
  </customSheetViews>
  <mergeCells count="1">
    <mergeCell ref="H2:P2"/>
  </mergeCells>
  <pageMargins left="0.7" right="0.7" top="0.75" bottom="0.75" header="0.3" footer="0.3"/>
  <pageSetup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O2"/>
  <sheetViews>
    <sheetView showGridLines="0" zoomScale="80" zoomScaleNormal="80" workbookViewId="0">
      <selection activeCell="Z14" sqref="Z14"/>
    </sheetView>
  </sheetViews>
  <sheetFormatPr defaultRowHeight="15" x14ac:dyDescent="0.25"/>
  <sheetData>
    <row r="2" spans="9:15" x14ac:dyDescent="0.25">
      <c r="I2" s="14" t="s">
        <v>20</v>
      </c>
      <c r="J2" s="14"/>
      <c r="K2" s="14"/>
      <c r="L2" s="14"/>
      <c r="M2" s="14"/>
      <c r="N2" s="14"/>
      <c r="O2" s="14"/>
    </row>
  </sheetData>
  <customSheetViews>
    <customSheetView guid="{3F0671C6-E8A1-4707-83F8-8C7D5A2AB6F5}">
      <selection activeCell="R20" sqref="R20"/>
      <pageMargins left="0.7" right="0.7" top="0.75" bottom="0.75" header="0.3" footer="0.3"/>
    </customSheetView>
  </customSheetViews>
  <mergeCells count="1">
    <mergeCell ref="I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Q2"/>
  <sheetViews>
    <sheetView showGridLines="0" zoomScale="90" zoomScaleNormal="90" workbookViewId="0">
      <selection activeCell="X35" sqref="X35"/>
    </sheetView>
  </sheetViews>
  <sheetFormatPr defaultRowHeight="15" x14ac:dyDescent="0.25"/>
  <sheetData>
    <row r="2" spans="8:17" x14ac:dyDescent="0.25">
      <c r="H2" s="13" t="s">
        <v>22</v>
      </c>
      <c r="I2" s="13"/>
      <c r="J2" s="13"/>
      <c r="K2" s="13"/>
      <c r="L2" s="13"/>
      <c r="M2" s="13"/>
      <c r="N2" s="13"/>
      <c r="O2" s="13"/>
      <c r="P2" s="13"/>
      <c r="Q2" s="13"/>
    </row>
  </sheetData>
  <mergeCells count="1">
    <mergeCell ref="H2:Q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BP Acc</vt:lpstr>
      <vt:lpstr>Sheet1</vt:lpstr>
      <vt:lpstr>blackscholes</vt:lpstr>
      <vt:lpstr>x264</vt:lpstr>
      <vt:lpstr>fluidanimate</vt:lpstr>
      <vt:lpstr>bodytrack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2017-09-19T16:59:04Z</dcterms:created>
  <dcterms:modified xsi:type="dcterms:W3CDTF">2017-10-29T01:02:06Z</dcterms:modified>
</cp:coreProperties>
</file>